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 /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4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28\AC\Temp\"/>
    </mc:Choice>
  </mc:AlternateContent>
  <xr:revisionPtr revIDLastSave="0" documentId="8_{B7C26F65-39E4-8348-BCEA-E107B03BC719}" xr6:coauthVersionLast="46" xr6:coauthVersionMax="46" xr10:uidLastSave="{00000000-0000-0000-0000-000000000000}"/>
  <bookViews>
    <workbookView xWindow="-105" yWindow="-105" windowWidth="23250" windowHeight="12570" firstSheet="1" activeTab="1" xr2:uid="{B184F81B-EF06-467B-A3F4-F3E977415D2E}"/>
  </bookViews>
  <sheets>
    <sheet name="Purcahse" sheetId="5" r:id="rId1"/>
    <sheet name="INVENTORY LIST ALL" sheetId="1" r:id="rId2"/>
    <sheet name="E AND N LOCATION" sheetId="6" r:id="rId3"/>
  </sheets>
  <definedNames>
    <definedName name="_xlnm._FilterDatabase" localSheetId="1" hidden="1">'INVENTORY LIST ALL'!$A$1:$AA$2769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84" i="1" l="1"/>
  <c r="J444" i="1"/>
  <c r="J2459" i="1"/>
  <c r="J2460" i="1"/>
  <c r="J892" i="1"/>
  <c r="J597" i="1"/>
  <c r="J600" i="1"/>
  <c r="J418" i="1"/>
  <c r="J375" i="1"/>
  <c r="J373" i="1"/>
  <c r="J548" i="1"/>
  <c r="J485" i="1"/>
  <c r="J487" i="1"/>
  <c r="J2031" i="1"/>
  <c r="J2041" i="1"/>
  <c r="J2035" i="1"/>
  <c r="J2080" i="1"/>
  <c r="J755" i="1"/>
  <c r="J2666" i="1"/>
  <c r="J447" i="1"/>
  <c r="J440" i="1"/>
  <c r="J234" i="1"/>
  <c r="J2469" i="1"/>
  <c r="J1559" i="1"/>
  <c r="J3787" i="1"/>
  <c r="J2530" i="1"/>
  <c r="J4137" i="1"/>
  <c r="J2030" i="1"/>
  <c r="J636" i="1"/>
  <c r="J1151" i="1"/>
  <c r="J1532" i="1"/>
  <c r="J2776" i="1"/>
  <c r="J2779" i="1"/>
  <c r="J3928" i="1"/>
  <c r="J3927" i="1"/>
  <c r="J1438" i="1"/>
  <c r="J2476" i="1"/>
  <c r="J1750" i="1"/>
  <c r="J727" i="1"/>
  <c r="J3841" i="1"/>
  <c r="J4161" i="1"/>
  <c r="J3839" i="1"/>
  <c r="J2498" i="1"/>
  <c r="J4160" i="1"/>
  <c r="J3805" i="1"/>
  <c r="J3518" i="1"/>
  <c r="J3516" i="1"/>
  <c r="J4698" i="1"/>
  <c r="J1386" i="1"/>
  <c r="J1297" i="1"/>
  <c r="J1296" i="1"/>
  <c r="J1295" i="1"/>
  <c r="J1294" i="1"/>
  <c r="J1293" i="1"/>
  <c r="J2490" i="1"/>
  <c r="J2489" i="1"/>
  <c r="J960" i="1"/>
  <c r="J959" i="1"/>
  <c r="J958" i="1"/>
  <c r="J1169" i="1"/>
  <c r="J1168" i="1"/>
  <c r="J459" i="1"/>
  <c r="J3520" i="1"/>
  <c r="J3514" i="1"/>
  <c r="J3597" i="1"/>
  <c r="J4132" i="1"/>
  <c r="J3785" i="1"/>
  <c r="J2567" i="1"/>
  <c r="J1819" i="1"/>
  <c r="J3903" i="1"/>
  <c r="J4703" i="1"/>
  <c r="J2034" i="1"/>
  <c r="J3789" i="1"/>
  <c r="J4021" i="1"/>
  <c r="J4019" i="1"/>
  <c r="J3929" i="1"/>
  <c r="J3902" i="1"/>
  <c r="J2507" i="1"/>
  <c r="J2032" i="1"/>
  <c r="J4134" i="1"/>
  <c r="J3594" i="1"/>
  <c r="J4078" i="1"/>
  <c r="J343" i="1"/>
  <c r="J4120" i="1"/>
  <c r="J4138" i="1"/>
  <c r="J4121" i="1"/>
  <c r="J4124" i="1"/>
  <c r="J4125" i="1"/>
  <c r="J4136" i="1"/>
  <c r="J2458" i="1"/>
  <c r="J2496" i="1"/>
  <c r="J2457" i="1"/>
  <c r="J2495" i="1"/>
  <c r="J1593" i="1"/>
  <c r="J1590" i="1"/>
  <c r="J2552" i="1"/>
  <c r="J2082" i="1"/>
  <c r="J4206" i="1"/>
  <c r="J4173" i="1"/>
  <c r="J1143" i="1"/>
  <c r="J2069" i="1"/>
  <c r="J2747" i="1"/>
  <c r="J2055" i="1"/>
  <c r="J975" i="1"/>
  <c r="J2994" i="1"/>
  <c r="J2068" i="1"/>
  <c r="J2502" i="1"/>
  <c r="J4157" i="1"/>
  <c r="J3804" i="1"/>
  <c r="J912" i="1"/>
  <c r="J227" i="1"/>
  <c r="J4127" i="1"/>
  <c r="J3182" i="1"/>
  <c r="J1831" i="1"/>
  <c r="J1498" i="1"/>
  <c r="J3802" i="1"/>
  <c r="J4148" i="1"/>
  <c r="J4122" i="1"/>
  <c r="J4152" i="1"/>
  <c r="J4147" i="1"/>
  <c r="J4146" i="1"/>
  <c r="J1094" i="1"/>
  <c r="J1093" i="1"/>
  <c r="J3161" i="1"/>
  <c r="J3102" i="1"/>
  <c r="J381" i="1"/>
  <c r="J3106" i="1"/>
  <c r="J3105" i="1"/>
  <c r="J3104" i="1"/>
  <c r="J3103" i="1"/>
  <c r="J3101" i="1"/>
  <c r="J3100" i="1"/>
  <c r="J3099" i="1"/>
  <c r="J3098" i="1"/>
  <c r="J3097" i="1"/>
  <c r="J3096" i="1"/>
  <c r="J3095" i="1"/>
  <c r="J3094" i="1"/>
  <c r="J3093" i="1"/>
  <c r="J3092" i="1"/>
  <c r="J805" i="1"/>
  <c r="J4077" i="1"/>
  <c r="J1815" i="1"/>
  <c r="J3154" i="1"/>
  <c r="J1533" i="1"/>
  <c r="J1516" i="1"/>
  <c r="J1279" i="1"/>
  <c r="J3685" i="1"/>
  <c r="J1425" i="1"/>
  <c r="J1154" i="1"/>
  <c r="J3838" i="1"/>
  <c r="J2868" i="1"/>
  <c r="J4111" i="1"/>
  <c r="J3968" i="1"/>
  <c r="J3788" i="1"/>
  <c r="J3974" i="1"/>
  <c r="J1604" i="1"/>
  <c r="J945" i="1"/>
  <c r="J935" i="1"/>
  <c r="J1144" i="1"/>
  <c r="J1051" i="1"/>
  <c r="J3935" i="1"/>
  <c r="J1157" i="1"/>
  <c r="J3457" i="1"/>
  <c r="J1518" i="1"/>
  <c r="J3914" i="1"/>
  <c r="J2565" i="1"/>
  <c r="J3924" i="1"/>
  <c r="J61" i="1"/>
  <c r="J5" i="1"/>
  <c r="J60" i="1"/>
  <c r="J3791" i="1"/>
  <c r="J3778" i="1"/>
  <c r="J3767" i="1"/>
  <c r="J143" i="1"/>
  <c r="J134" i="1"/>
  <c r="J133" i="1"/>
  <c r="J2367" i="1"/>
  <c r="J1514" i="1"/>
  <c r="J4105" i="1"/>
  <c r="J101" i="1"/>
  <c r="J2706" i="1"/>
  <c r="J2682" i="1"/>
  <c r="J2681" i="1"/>
  <c r="J2578" i="1"/>
  <c r="J4159" i="1"/>
  <c r="J4004" i="1"/>
  <c r="J1696" i="1"/>
  <c r="J1684" i="1"/>
  <c r="J870" i="1"/>
  <c r="J666" i="1"/>
  <c r="J1213" i="1"/>
  <c r="J214" i="1"/>
  <c r="J3951" i="1"/>
  <c r="J1189" i="1"/>
  <c r="J2650" i="1"/>
  <c r="J2555" i="1"/>
  <c r="J2595" i="1"/>
  <c r="J452" i="1"/>
  <c r="J2492" i="1"/>
  <c r="J2801" i="1"/>
  <c r="J1276" i="1"/>
  <c r="J1066" i="1"/>
  <c r="J2636" i="1"/>
  <c r="J2072" i="1"/>
  <c r="J2039" i="1"/>
  <c r="J1623" i="1"/>
  <c r="J4112" i="1"/>
  <c r="J1622" i="1"/>
  <c r="J4109" i="1"/>
  <c r="J3801" i="1"/>
  <c r="J3911" i="1"/>
  <c r="J4186" i="1"/>
  <c r="J3731" i="1"/>
  <c r="J4058" i="1"/>
  <c r="J2500" i="1"/>
  <c r="J4143" i="1"/>
  <c r="J1628" i="1"/>
  <c r="J2473" i="1"/>
  <c r="J1486" i="1"/>
  <c r="J1360" i="1"/>
  <c r="J598" i="1"/>
  <c r="J593" i="1"/>
  <c r="J588" i="1"/>
  <c r="J2422" i="1"/>
  <c r="J2421" i="1"/>
  <c r="J498" i="1"/>
  <c r="J2393" i="1"/>
  <c r="J1749" i="1"/>
  <c r="J128" i="1"/>
  <c r="J1535" i="1"/>
  <c r="J3586" i="1"/>
  <c r="J4719" i="1"/>
  <c r="J2478" i="1"/>
  <c r="J2233" i="1"/>
  <c r="J2095" i="1"/>
  <c r="J2027" i="1"/>
  <c r="J858" i="1"/>
  <c r="J1030" i="1"/>
  <c r="J1643" i="1"/>
  <c r="J864" i="1"/>
  <c r="J4204" i="1"/>
  <c r="J185" i="1"/>
  <c r="J589" i="1"/>
  <c r="J2383" i="1"/>
  <c r="J330" i="1"/>
  <c r="J279" i="1"/>
  <c r="J1505" i="1"/>
  <c r="J4707" i="1"/>
  <c r="J4683" i="1"/>
  <c r="J3684" i="1"/>
  <c r="J4301" i="1"/>
  <c r="J2075" i="1"/>
  <c r="J1699" i="1"/>
  <c r="J1713" i="1"/>
  <c r="J1663" i="1"/>
  <c r="J799" i="1"/>
  <c r="J1730" i="1"/>
  <c r="J1727" i="1"/>
  <c r="J1651" i="1"/>
  <c r="J192" i="1"/>
  <c r="J4688" i="1"/>
  <c r="J4689" i="1"/>
  <c r="J4421" i="1"/>
  <c r="J4423" i="1"/>
  <c r="J4422" i="1"/>
  <c r="J4426" i="1"/>
  <c r="J4429" i="1"/>
  <c r="J4302" i="1"/>
  <c r="J4702" i="1"/>
  <c r="J4708" i="1"/>
  <c r="J4705" i="1"/>
  <c r="J1357" i="1"/>
  <c r="J125" i="1"/>
  <c r="J4187" i="1"/>
  <c r="J4166" i="1"/>
  <c r="J4158" i="1"/>
  <c r="J1875" i="1"/>
  <c r="J3012" i="1"/>
  <c r="J3134" i="1"/>
  <c r="J1095" i="1"/>
  <c r="J1362" i="1"/>
  <c r="J2616" i="1"/>
  <c r="J3803" i="1"/>
  <c r="J2630" i="1"/>
  <c r="J2525" i="1"/>
  <c r="J2629" i="1"/>
  <c r="J2617" i="1"/>
  <c r="J2752" i="1"/>
  <c r="J2561" i="1"/>
  <c r="J2479" i="1"/>
  <c r="J2480" i="1"/>
  <c r="J3070" i="1"/>
  <c r="J987" i="1"/>
  <c r="J2234" i="1"/>
  <c r="J3887" i="1"/>
  <c r="J374" i="1"/>
  <c r="J1074" i="1"/>
  <c r="J2685" i="1"/>
  <c r="J863" i="1"/>
  <c r="J119" i="1"/>
  <c r="J118" i="1"/>
  <c r="J120" i="1"/>
  <c r="J4015" i="1"/>
  <c r="J4154" i="1"/>
  <c r="J4180" i="1"/>
  <c r="J116" i="1"/>
  <c r="J3157" i="1"/>
  <c r="J2462" i="1"/>
  <c r="J2748" i="1"/>
  <c r="J4133" i="1"/>
  <c r="J2709" i="1"/>
  <c r="J2708" i="1"/>
  <c r="J2711" i="1"/>
  <c r="J1606" i="1"/>
  <c r="J1680" i="1"/>
  <c r="J1796" i="1"/>
  <c r="J1307" i="1"/>
  <c r="J1808" i="1"/>
  <c r="J455" i="1"/>
  <c r="J3783" i="1"/>
  <c r="J1090" i="1"/>
  <c r="J249" i="1"/>
  <c r="J836" i="1"/>
  <c r="J834" i="1"/>
  <c r="J899" i="1"/>
  <c r="J240" i="1"/>
  <c r="J246" i="1"/>
  <c r="J247" i="1"/>
  <c r="J248" i="1"/>
  <c r="J361" i="1"/>
  <c r="J1153" i="1"/>
  <c r="J1149" i="1"/>
  <c r="J1082" i="1"/>
  <c r="J2112" i="1"/>
  <c r="J2113" i="1"/>
  <c r="J2440" i="1"/>
  <c r="J1283" i="1"/>
  <c r="J1284" i="1"/>
  <c r="J1278" i="1"/>
  <c r="J1164" i="1"/>
  <c r="J1343" i="1"/>
  <c r="J1150" i="1"/>
  <c r="J1163" i="1"/>
  <c r="J1160" i="1"/>
  <c r="J495" i="1"/>
  <c r="J2800" i="1"/>
  <c r="J382" i="1"/>
  <c r="J657" i="1"/>
  <c r="J1852" i="1"/>
  <c r="J651" i="1"/>
  <c r="J4104" i="1"/>
  <c r="J989" i="1"/>
  <c r="J1306" i="1"/>
  <c r="J4140" i="1"/>
  <c r="J4164" i="1"/>
  <c r="J4163" i="1"/>
  <c r="J2620" i="1"/>
  <c r="J2566" i="1"/>
  <c r="J2531" i="1"/>
  <c r="J2532" i="1"/>
  <c r="J2154" i="1"/>
  <c r="J1356" i="1"/>
  <c r="J4182" i="1"/>
  <c r="J1380" i="1"/>
  <c r="J2734" i="1"/>
  <c r="J2731" i="1"/>
  <c r="J759" i="1"/>
  <c r="J1344" i="1"/>
  <c r="J2730" i="1"/>
  <c r="J4075" i="1"/>
  <c r="J2037" i="1"/>
  <c r="J2036" i="1"/>
  <c r="J3667" i="1"/>
  <c r="J1176" i="1"/>
  <c r="J86" i="1"/>
  <c r="J3842" i="1"/>
  <c r="J2474" i="1"/>
  <c r="J2550" i="1"/>
  <c r="J4213" i="1"/>
  <c r="J4214" i="1"/>
  <c r="J4210" i="1"/>
  <c r="J4212" i="1"/>
  <c r="J977" i="1"/>
  <c r="J2419" i="1"/>
  <c r="J2390" i="1"/>
  <c r="J1489" i="1"/>
  <c r="J1480" i="1"/>
  <c r="J4219" i="1"/>
  <c r="J1347" i="1"/>
  <c r="J2553" i="1"/>
  <c r="J1349" i="1"/>
  <c r="J2015" i="1"/>
  <c r="J1635" i="1"/>
  <c r="J3108" i="1"/>
  <c r="J3107" i="1"/>
  <c r="J929" i="1"/>
  <c r="J2220" i="1"/>
  <c r="J585" i="1"/>
  <c r="J4205" i="1"/>
  <c r="J747" i="1"/>
  <c r="J808" i="1"/>
  <c r="J2463" i="1"/>
  <c r="J754" i="1"/>
  <c r="J2499" i="1"/>
  <c r="J758" i="1"/>
  <c r="J3806" i="1"/>
  <c r="J4071" i="1"/>
  <c r="J546" i="1"/>
  <c r="J4165" i="1"/>
  <c r="J3827" i="1"/>
  <c r="J2320" i="1"/>
  <c r="J2319" i="1"/>
  <c r="J497" i="1"/>
  <c r="J2527" i="1"/>
  <c r="J2544" i="1"/>
  <c r="J704" i="1"/>
  <c r="J545" i="1"/>
  <c r="J537" i="1"/>
  <c r="J536" i="1"/>
  <c r="J733" i="1"/>
  <c r="J415" i="1"/>
  <c r="J2524" i="1"/>
  <c r="J364" i="1"/>
  <c r="J684" i="1"/>
  <c r="J807" i="1"/>
  <c r="J228" i="1"/>
  <c r="J647" i="1"/>
  <c r="J813" i="1"/>
  <c r="J3824" i="1"/>
  <c r="J3823" i="1"/>
  <c r="J1384" i="1"/>
  <c r="J875" i="1"/>
  <c r="J4207" i="1"/>
  <c r="J814" i="1"/>
  <c r="J1810" i="1"/>
  <c r="J2043" i="1"/>
  <c r="J2045" i="1"/>
  <c r="J230" i="1"/>
  <c r="J2038" i="1"/>
  <c r="J1776" i="1"/>
  <c r="J2623" i="1"/>
  <c r="J3587" i="1"/>
  <c r="J2273" i="1"/>
  <c r="J2542" i="1"/>
  <c r="J1162" i="1"/>
  <c r="J985" i="1"/>
  <c r="J4088" i="1"/>
  <c r="J3808" i="1"/>
  <c r="J4237" i="1"/>
  <c r="J264" i="1"/>
  <c r="J197" i="1"/>
  <c r="J2135" i="1"/>
  <c r="J3459" i="1"/>
  <c r="J4428" i="1"/>
  <c r="J2651" i="1"/>
  <c r="J3813" i="1"/>
  <c r="J4156" i="1"/>
  <c r="J2582" i="1"/>
  <c r="J2646" i="1"/>
  <c r="J2587" i="1"/>
  <c r="J1126" i="1"/>
  <c r="J166" i="1"/>
  <c r="J165" i="1"/>
  <c r="J1600" i="1"/>
  <c r="J1614" i="1"/>
  <c r="J1800" i="1"/>
  <c r="J1784" i="1"/>
  <c r="J1734" i="1"/>
  <c r="J1125" i="1"/>
  <c r="J1755" i="1"/>
  <c r="J221" i="1"/>
  <c r="J4080" i="1"/>
  <c r="J4141" i="1"/>
  <c r="J3034" i="1"/>
  <c r="J3793" i="1"/>
  <c r="J2070" i="1"/>
  <c r="J3912" i="1"/>
  <c r="J2475" i="1"/>
  <c r="J2574" i="1"/>
  <c r="J1444" i="1"/>
  <c r="J2579" i="1"/>
  <c r="J494" i="1"/>
  <c r="J499" i="1"/>
  <c r="J500" i="1"/>
  <c r="J229" i="1"/>
  <c r="J131" i="1"/>
  <c r="J2142" i="1"/>
  <c r="J8" i="1"/>
  <c r="J233" i="1"/>
  <c r="J137" i="1"/>
  <c r="J3820" i="1"/>
  <c r="J2272" i="1"/>
  <c r="J4179" i="1"/>
  <c r="J1822" i="1"/>
  <c r="J342" i="1"/>
  <c r="J3709" i="1"/>
  <c r="J4108" i="1"/>
  <c r="J944" i="1"/>
  <c r="J745" i="1"/>
  <c r="J67" i="1"/>
  <c r="J1553" i="1"/>
  <c r="J3401" i="1"/>
  <c r="J445" i="1"/>
  <c r="J403" i="1"/>
  <c r="J398" i="1"/>
  <c r="J1554" i="1"/>
  <c r="J623" i="1"/>
  <c r="J3217" i="1"/>
  <c r="J2528" i="1"/>
  <c r="J1605" i="1"/>
  <c r="J1361" i="1"/>
  <c r="J1565" i="1"/>
  <c r="J3893" i="1"/>
  <c r="J2773" i="1"/>
  <c r="J1511" i="1"/>
  <c r="J3909" i="1"/>
  <c r="J2637" i="1"/>
  <c r="J2778" i="1"/>
  <c r="J2467" i="1"/>
  <c r="J942" i="1"/>
  <c r="J1351" i="1"/>
  <c r="J1833" i="1"/>
  <c r="J2089" i="1"/>
  <c r="J1728" i="1"/>
  <c r="J3367" i="1"/>
  <c r="J1490" i="1"/>
  <c r="J2382" i="1"/>
  <c r="J2568" i="1"/>
  <c r="J4706" i="1"/>
  <c r="J4704" i="1"/>
  <c r="J94" i="1"/>
  <c r="J4142" i="1"/>
  <c r="J4427" i="1"/>
  <c r="J4425" i="1"/>
  <c r="J280" i="1"/>
  <c r="J764" i="1"/>
  <c r="J269" i="1"/>
  <c r="J4430" i="1"/>
  <c r="J243" i="1"/>
  <c r="J235" i="1"/>
  <c r="J3515" i="1"/>
  <c r="J218" i="1"/>
  <c r="J204" i="1"/>
  <c r="J190" i="1"/>
  <c r="J189" i="1"/>
  <c r="J187" i="1"/>
  <c r="J4300" i="1"/>
  <c r="J4299" i="1"/>
  <c r="J4259" i="1"/>
  <c r="J183" i="1"/>
  <c r="J177" i="1"/>
  <c r="J176" i="1"/>
  <c r="J175" i="1"/>
  <c r="J4216" i="1"/>
  <c r="J4289" i="1"/>
  <c r="J4298" i="1"/>
  <c r="J1406" i="1"/>
  <c r="J1407" i="1"/>
  <c r="J4245" i="1"/>
  <c r="J4256" i="1"/>
  <c r="J4262" i="1"/>
  <c r="J4247" i="1"/>
  <c r="J4255" i="1"/>
  <c r="J3816" i="1"/>
  <c r="J1845" i="1"/>
  <c r="J1786" i="1"/>
  <c r="J1780" i="1"/>
  <c r="J3814" i="1"/>
  <c r="J1064" i="1"/>
  <c r="J746" i="1"/>
  <c r="J1588" i="1"/>
  <c r="J1396" i="1"/>
  <c r="J1399" i="1"/>
  <c r="J3035" i="1"/>
  <c r="J3957" i="1"/>
  <c r="J1404" i="1"/>
  <c r="J4039" i="1"/>
  <c r="J4239" i="1"/>
  <c r="J2472" i="1"/>
  <c r="J3933" i="1"/>
  <c r="J2792" i="1"/>
  <c r="J2791" i="1"/>
  <c r="J3039" i="1"/>
  <c r="J2159" i="1"/>
  <c r="J3038" i="1"/>
  <c r="J1398" i="1"/>
  <c r="J3210" i="1"/>
  <c r="J3230" i="1"/>
  <c r="J4240" i="1"/>
  <c r="J1397" i="1"/>
  <c r="J4238" i="1"/>
  <c r="J4257" i="1"/>
  <c r="J1481" i="1"/>
  <c r="J2678" i="1"/>
  <c r="J168" i="1"/>
  <c r="J3179" i="1"/>
  <c r="J2543" i="1"/>
  <c r="J3172" i="1"/>
  <c r="J2064" i="1"/>
  <c r="J744" i="1"/>
  <c r="J738" i="1"/>
  <c r="J2217" i="1"/>
  <c r="J2216" i="1"/>
  <c r="J2215" i="1"/>
  <c r="J531" i="1"/>
  <c r="J2103" i="1"/>
  <c r="J4191" i="1"/>
  <c r="J2696" i="1"/>
  <c r="J2736" i="1"/>
  <c r="J1609" i="1"/>
  <c r="J3926" i="1"/>
  <c r="J3925" i="1"/>
  <c r="J3850" i="1"/>
  <c r="J3854" i="1"/>
  <c r="J4177" i="1"/>
  <c r="J3847" i="1"/>
  <c r="J2073" i="1"/>
  <c r="J397" i="1"/>
  <c r="J2717" i="1"/>
  <c r="J1908" i="1"/>
  <c r="J380" i="1"/>
  <c r="J438" i="1"/>
  <c r="J3478" i="1"/>
  <c r="J1512" i="1"/>
  <c r="J936" i="1"/>
  <c r="J4181" i="1"/>
  <c r="J2464" i="1"/>
  <c r="J544" i="1"/>
  <c r="J3960" i="1"/>
  <c r="J772" i="1"/>
  <c r="J3913" i="1"/>
  <c r="J2686" i="1"/>
  <c r="J551" i="1"/>
  <c r="J3955" i="1"/>
  <c r="J232" i="1"/>
  <c r="J231" i="1"/>
  <c r="J4409" i="1"/>
  <c r="J674" i="1"/>
  <c r="J1430" i="1"/>
  <c r="J3821" i="1"/>
  <c r="J1156" i="1"/>
  <c r="J2549" i="1"/>
  <c r="J869" i="1"/>
  <c r="J868" i="1"/>
  <c r="J867" i="1"/>
  <c r="J2551" i="1"/>
  <c r="J2554" i="1"/>
  <c r="J770" i="1"/>
  <c r="J1791" i="1"/>
  <c r="J2044" i="1"/>
  <c r="J2046" i="1"/>
  <c r="J2481" i="1"/>
  <c r="J2539" i="1"/>
  <c r="J2536" i="1"/>
  <c r="J2541" i="1"/>
  <c r="J2534" i="1"/>
  <c r="J3965" i="1"/>
  <c r="J1529" i="1"/>
  <c r="J4009" i="1"/>
  <c r="J226" i="1"/>
  <c r="J2484" i="1"/>
  <c r="J362" i="1"/>
  <c r="J998" i="1"/>
  <c r="J986" i="1"/>
  <c r="J4167" i="1"/>
  <c r="J159" i="1"/>
  <c r="J170" i="1"/>
  <c r="J171" i="1"/>
  <c r="J1561" i="1"/>
  <c r="J1112" i="1"/>
  <c r="J84" i="1"/>
  <c r="J1714" i="1"/>
  <c r="J2780" i="1"/>
  <c r="J3202" i="1"/>
  <c r="J4145" i="1"/>
  <c r="J1850" i="1"/>
  <c r="J1521" i="1"/>
  <c r="J1012" i="1"/>
  <c r="J2401" i="1"/>
  <c r="J2400" i="1"/>
  <c r="J2399" i="1"/>
  <c r="J2398" i="1"/>
  <c r="J2581" i="1"/>
  <c r="J2593" i="1"/>
  <c r="J931" i="1"/>
  <c r="J1364" i="1"/>
  <c r="J2816" i="1"/>
  <c r="J1432" i="1"/>
  <c r="J1578" i="1"/>
  <c r="J2596" i="1"/>
  <c r="J2157" i="1"/>
  <c r="J779" i="1"/>
  <c r="J3796" i="1"/>
  <c r="J3949" i="1"/>
  <c r="J1789" i="1"/>
  <c r="J2503" i="1"/>
  <c r="J1857" i="1"/>
  <c r="J2951" i="1"/>
  <c r="J558" i="1"/>
  <c r="J2465" i="1"/>
  <c r="J3201" i="1"/>
  <c r="J1805" i="1"/>
  <c r="J4184" i="1"/>
  <c r="J2683" i="1"/>
  <c r="J4183" i="1"/>
  <c r="J1721" i="1"/>
  <c r="J735" i="1"/>
  <c r="J395" i="1"/>
  <c r="J1751" i="1"/>
  <c r="J990" i="1"/>
  <c r="J591" i="1"/>
  <c r="J3987" i="1"/>
  <c r="J3797" i="1"/>
  <c r="J3950" i="1"/>
  <c r="J2692" i="1"/>
  <c r="J2580" i="1"/>
  <c r="J2158" i="1"/>
  <c r="J4194" i="1"/>
  <c r="J784" i="1"/>
  <c r="J4208" i="1"/>
  <c r="J1037" i="1"/>
  <c r="J2100" i="1"/>
  <c r="J1282" i="1"/>
  <c r="J454" i="1"/>
  <c r="J3975" i="1"/>
  <c r="J705" i="1"/>
  <c r="J737" i="1"/>
  <c r="J608" i="1"/>
  <c r="J4323" i="1"/>
  <c r="J2373" i="1"/>
  <c r="J2427" i="1"/>
  <c r="J2424" i="1"/>
  <c r="J2423" i="1"/>
  <c r="J1733" i="1"/>
  <c r="J4189" i="1"/>
  <c r="J1251" i="1"/>
  <c r="J774" i="1"/>
  <c r="J940" i="1"/>
  <c r="J2796" i="1"/>
  <c r="J932" i="1"/>
  <c r="J1174" i="1"/>
  <c r="J4074" i="1"/>
  <c r="J1860" i="1"/>
  <c r="J3071" i="1"/>
  <c r="J1433" i="1"/>
  <c r="J1414" i="1"/>
  <c r="J413" i="1"/>
  <c r="J2229" i="1"/>
  <c r="J2208" i="1"/>
  <c r="J1612" i="1"/>
  <c r="J414" i="1"/>
  <c r="J121" i="1"/>
  <c r="J1933" i="1"/>
  <c r="J1980" i="1"/>
  <c r="J4185" i="1"/>
  <c r="J3988" i="1"/>
  <c r="J2224" i="1"/>
  <c r="J2592" i="1"/>
  <c r="J4007" i="1"/>
  <c r="J3812" i="1"/>
  <c r="J669" i="1"/>
  <c r="J3923" i="1"/>
  <c r="J359" i="1"/>
  <c r="J1766" i="1"/>
  <c r="J1585" i="1"/>
  <c r="J3817" i="1"/>
  <c r="J1868" i="1"/>
  <c r="J1807" i="1"/>
  <c r="J1576" i="1"/>
  <c r="J4667" i="1"/>
  <c r="J530" i="1"/>
  <c r="J1045" i="1"/>
  <c r="J3989" i="1"/>
  <c r="J2742" i="1"/>
  <c r="J1496" i="1"/>
  <c r="J509" i="1"/>
  <c r="J2042" i="1"/>
  <c r="J2993" i="1"/>
  <c r="J2660" i="1"/>
  <c r="J1188" i="1"/>
  <c r="J1158" i="1"/>
  <c r="J1517" i="1"/>
  <c r="J1041" i="1"/>
  <c r="J1883" i="1"/>
  <c r="J1291" i="1"/>
  <c r="J1760" i="1"/>
  <c r="J3175" i="1"/>
  <c r="J1287" i="1"/>
  <c r="J2698" i="1"/>
  <c r="J1790" i="1"/>
  <c r="J1830" i="1"/>
  <c r="J2710" i="1"/>
  <c r="J3403" i="1"/>
  <c r="J3405" i="1"/>
  <c r="J3712" i="1"/>
  <c r="J1795" i="1"/>
  <c r="J1499" i="1"/>
  <c r="J1882" i="1"/>
  <c r="J1718" i="1"/>
  <c r="J3751" i="1"/>
  <c r="J3750" i="1"/>
  <c r="J3754" i="1"/>
  <c r="J3752" i="1"/>
  <c r="J3753" i="1"/>
  <c r="J3756" i="1"/>
  <c r="J3755" i="1"/>
  <c r="J3825" i="1"/>
  <c r="J4217" i="1"/>
  <c r="J78" i="1"/>
  <c r="J587" i="1"/>
  <c r="J555" i="1"/>
  <c r="J1804" i="1"/>
  <c r="J178" i="1"/>
  <c r="J172" i="1"/>
  <c r="J1757" i="1"/>
  <c r="J4100" i="1"/>
  <c r="J4073" i="1"/>
  <c r="J4072" i="1"/>
  <c r="J369" i="1"/>
  <c r="J4172" i="1"/>
  <c r="J3795" i="1"/>
  <c r="J12" i="1"/>
  <c r="J3840" i="1"/>
  <c r="J4" i="1"/>
  <c r="J56" i="1"/>
  <c r="J57" i="1"/>
  <c r="J53" i="1"/>
  <c r="J54" i="1"/>
  <c r="J2705" i="1"/>
  <c r="J71" i="1"/>
  <c r="J3200" i="1"/>
  <c r="J3986" i="1"/>
  <c r="J3985" i="1"/>
  <c r="J902" i="1"/>
  <c r="J401" i="1"/>
  <c r="J1065" i="1"/>
  <c r="J1062" i="1"/>
  <c r="J52" i="1"/>
  <c r="J1165" i="1"/>
  <c r="J449" i="1"/>
  <c r="J2279" i="1"/>
  <c r="J2280" i="1"/>
  <c r="J532" i="1"/>
  <c r="J617" i="1"/>
  <c r="J642" i="1"/>
  <c r="J668" i="1"/>
  <c r="J1527" i="1"/>
  <c r="J4215" i="1"/>
  <c r="J2695" i="1"/>
  <c r="J3966" i="1"/>
  <c r="J4107" i="1"/>
  <c r="J1841" i="1"/>
  <c r="J1620" i="1"/>
  <c r="J75" i="1"/>
  <c r="J3181" i="1"/>
  <c r="J3180" i="1"/>
  <c r="J1619" i="1"/>
  <c r="J848" i="1"/>
  <c r="J2110" i="1"/>
  <c r="J2148" i="1"/>
  <c r="J1117" i="1"/>
  <c r="J1116" i="1"/>
  <c r="J2798" i="1"/>
  <c r="J1615" i="1"/>
  <c r="J3256" i="1"/>
  <c r="J618" i="1"/>
  <c r="J1556" i="1"/>
  <c r="J2815" i="1"/>
  <c r="J2814" i="1"/>
  <c r="J371" i="1"/>
  <c r="J4062" i="1"/>
  <c r="J1258" i="1"/>
  <c r="J2700" i="1"/>
  <c r="J4119" i="1"/>
  <c r="J1640" i="1"/>
  <c r="J3208" i="1"/>
  <c r="J129" i="1"/>
  <c r="J592" i="1"/>
  <c r="J1816" i="1"/>
  <c r="J188" i="1"/>
  <c r="J2707" i="1"/>
  <c r="J50" i="1"/>
  <c r="J2145" i="1"/>
  <c r="J3964" i="1"/>
  <c r="J341" i="1"/>
  <c r="J2753" i="1"/>
  <c r="J1855" i="1"/>
  <c r="J1058" i="1"/>
  <c r="J1782" i="1"/>
  <c r="J3691" i="1"/>
  <c r="J3694" i="1"/>
  <c r="J3697" i="1"/>
  <c r="J1076" i="1"/>
  <c r="J1871" i="1"/>
  <c r="J1522" i="1"/>
  <c r="J1394" i="1"/>
  <c r="J1637" i="1"/>
  <c r="J478" i="1"/>
  <c r="J2557" i="1"/>
  <c r="J1858" i="1"/>
  <c r="J2744" i="1"/>
  <c r="J4006" i="1"/>
  <c r="J73" i="1"/>
  <c r="J590" i="1"/>
  <c r="J2227" i="1"/>
  <c r="J4139" i="1"/>
  <c r="J926" i="1"/>
  <c r="J3919" i="1"/>
  <c r="J4220" i="1"/>
  <c r="J2155" i="1"/>
  <c r="J1040" i="1"/>
  <c r="J4068" i="1"/>
  <c r="J2775" i="1"/>
  <c r="J2688" i="1"/>
  <c r="J486" i="1"/>
  <c r="J2520" i="1"/>
  <c r="J2058" i="1"/>
  <c r="J2053" i="1"/>
  <c r="J1741" i="1"/>
  <c r="J1289" i="1"/>
  <c r="J1500" i="1"/>
  <c r="J1515" i="1"/>
  <c r="J1539" i="1"/>
  <c r="J1525" i="1"/>
  <c r="J1538" i="1"/>
  <c r="J2137" i="1"/>
  <c r="J1446" i="1"/>
  <c r="J1806" i="1"/>
  <c r="J74" i="1"/>
  <c r="J1639" i="1"/>
  <c r="J1743" i="1"/>
  <c r="J1739" i="1"/>
  <c r="J379" i="1"/>
  <c r="J378" i="1"/>
  <c r="J1748" i="1"/>
  <c r="J1762" i="1"/>
  <c r="J561" i="1"/>
  <c r="J2817" i="1"/>
  <c r="J2812" i="1"/>
  <c r="J2811" i="1"/>
  <c r="J2802" i="1"/>
  <c r="J2104" i="1"/>
  <c r="J2101" i="1"/>
  <c r="J1184" i="1"/>
  <c r="J2795" i="1"/>
  <c r="J1627" i="1"/>
  <c r="J4022" i="1"/>
  <c r="J810" i="1"/>
  <c r="J596" i="1"/>
  <c r="J3211" i="1"/>
  <c r="J3209" i="1"/>
  <c r="J43" i="1"/>
  <c r="J3901" i="1"/>
  <c r="J4020" i="1"/>
  <c r="J751" i="1"/>
  <c r="J882" i="1"/>
  <c r="J1662" i="1"/>
  <c r="J4303" i="1"/>
  <c r="J798" i="1"/>
  <c r="J3853" i="1"/>
  <c r="J4727" i="1"/>
  <c r="J4709" i="1"/>
  <c r="J1096" i="1"/>
  <c r="J1388" i="1"/>
  <c r="J1392" i="1"/>
  <c r="J1183" i="1"/>
  <c r="J4420" i="1"/>
  <c r="J130" i="1"/>
  <c r="J763" i="1"/>
  <c r="J299" i="1"/>
  <c r="J1447" i="1"/>
  <c r="J2196" i="1"/>
  <c r="J4476" i="1"/>
  <c r="J1145" i="1"/>
  <c r="J520" i="1"/>
  <c r="J357" i="1"/>
  <c r="J562" i="1"/>
  <c r="J560" i="1"/>
  <c r="J3487" i="1"/>
  <c r="J39" i="1"/>
  <c r="J1471" i="1"/>
  <c r="J2837" i="1"/>
  <c r="J2826" i="1"/>
  <c r="J3000" i="1"/>
  <c r="J4130" i="1"/>
  <c r="J4203" i="1"/>
  <c r="J38" i="1"/>
  <c r="J732" i="1"/>
  <c r="J2825" i="1"/>
  <c r="J2824" i="1"/>
  <c r="J496" i="1"/>
  <c r="J14" i="1"/>
  <c r="J3810" i="1"/>
  <c r="J2133" i="1"/>
  <c r="J1865" i="1"/>
  <c r="J4010" i="1"/>
  <c r="J3177" i="1"/>
  <c r="J2813" i="1"/>
  <c r="J1440" i="1"/>
  <c r="J3551" i="1"/>
  <c r="J1039" i="1"/>
  <c r="J3411" i="1"/>
  <c r="J4418" i="1"/>
  <c r="J2267" i="1"/>
  <c r="J1424" i="1"/>
  <c r="J980" i="1"/>
  <c r="J2" i="1"/>
  <c r="J1299" i="1"/>
  <c r="J1798" i="1"/>
  <c r="J3178" i="1"/>
  <c r="J877" i="1"/>
  <c r="J3852" i="1"/>
  <c r="J938" i="1"/>
  <c r="J24" i="1"/>
  <c r="J4018" i="1"/>
  <c r="J3849" i="1"/>
  <c r="J100" i="1"/>
  <c r="J3973" i="1"/>
  <c r="J1534" i="1"/>
  <c r="J3040" i="1"/>
  <c r="J4335" i="1"/>
  <c r="J451" i="1"/>
  <c r="J2631" i="1"/>
  <c r="J44" i="1"/>
  <c r="J1063" i="1"/>
  <c r="J2694" i="1"/>
  <c r="J700" i="1"/>
  <c r="J1747" i="1"/>
  <c r="J1541" i="1"/>
  <c r="J1540" i="1"/>
  <c r="J324" i="1"/>
  <c r="J3792" i="1"/>
  <c r="J1829" i="1"/>
  <c r="J4188" i="1"/>
  <c r="J1429" i="1"/>
  <c r="J2439" i="1"/>
  <c r="J3679" i="1"/>
  <c r="J481" i="1"/>
  <c r="J2640" i="1"/>
  <c r="J2584" i="1"/>
  <c r="J1385" i="1"/>
  <c r="J3109" i="1"/>
  <c r="J3083" i="1"/>
  <c r="J2794" i="1"/>
  <c r="J2488" i="1"/>
  <c r="J4334" i="1"/>
  <c r="J996" i="1"/>
  <c r="J701" i="1"/>
  <c r="J2624" i="1"/>
  <c r="J3997" i="1"/>
  <c r="J3996" i="1"/>
  <c r="J3151" i="1"/>
  <c r="J999" i="1"/>
  <c r="J995" i="1"/>
  <c r="J1497" i="1"/>
  <c r="J2084" i="1"/>
  <c r="J65" i="1"/>
  <c r="J3747" i="1"/>
  <c r="J3745" i="1"/>
  <c r="J1745" i="1"/>
  <c r="J1740" i="1"/>
  <c r="J2591" i="1"/>
  <c r="J2556" i="1"/>
  <c r="J3771" i="1"/>
  <c r="J4113" i="1"/>
  <c r="J2508" i="1"/>
  <c r="J51" i="1"/>
  <c r="J340" i="1"/>
  <c r="J3932" i="1"/>
  <c r="J2884" i="1"/>
  <c r="J2885" i="1"/>
  <c r="J2886" i="1"/>
  <c r="J1526" i="1"/>
  <c r="J2883" i="1"/>
  <c r="J4046" i="1"/>
  <c r="J939" i="1"/>
  <c r="J1652" i="1"/>
  <c r="J4081" i="1"/>
  <c r="J4367" i="1"/>
  <c r="J1665" i="1"/>
  <c r="J4602" i="1"/>
  <c r="J4027" i="1"/>
  <c r="J4649" i="1"/>
  <c r="J66" i="1"/>
  <c r="J1584" i="1"/>
  <c r="J708" i="1"/>
  <c r="J1530" i="1"/>
  <c r="J4017" i="1"/>
  <c r="J4067" i="1"/>
  <c r="J4315" i="1"/>
  <c r="J477" i="1"/>
  <c r="J4222" i="1"/>
  <c r="J4192" i="1"/>
  <c r="J2585" i="1"/>
  <c r="J4169" i="1"/>
  <c r="J4168" i="1"/>
  <c r="J3506" i="1"/>
  <c r="J3504" i="1"/>
  <c r="J3503" i="1"/>
  <c r="J2684" i="1"/>
  <c r="J2509" i="1"/>
  <c r="J2134" i="1"/>
  <c r="J2219" i="1"/>
  <c r="J1161" i="1"/>
  <c r="J1383" i="1"/>
  <c r="J519" i="1"/>
  <c r="J719" i="1"/>
  <c r="J3291" i="1"/>
  <c r="J2262" i="1"/>
  <c r="J3608" i="1"/>
  <c r="J2195" i="1"/>
  <c r="J3199" i="1"/>
  <c r="J3198" i="1"/>
  <c r="J3195" i="1"/>
  <c r="J337" i="1"/>
  <c r="J3505" i="1"/>
  <c r="J2504" i="1"/>
  <c r="J3906" i="1"/>
  <c r="J3087" i="1"/>
  <c r="J72" i="1"/>
  <c r="J1624" i="1"/>
  <c r="J502" i="1"/>
  <c r="J662" i="1"/>
  <c r="J107" i="1"/>
  <c r="J105" i="1"/>
  <c r="J96" i="1"/>
  <c r="J95" i="1"/>
  <c r="J1828" i="1"/>
  <c r="J3807" i="1"/>
  <c r="J1103" i="1"/>
  <c r="J1573" i="1"/>
  <c r="J3677" i="1"/>
  <c r="J3672" i="1"/>
  <c r="J117" i="1"/>
  <c r="J302" i="1"/>
  <c r="J303" i="1"/>
  <c r="J1292" i="1"/>
  <c r="J2610" i="1"/>
  <c r="J4631" i="1"/>
  <c r="J4647" i="1"/>
  <c r="J2854" i="1"/>
  <c r="J2667" i="1"/>
  <c r="J1897" i="1"/>
  <c r="J2517" i="1"/>
  <c r="J2156" i="1"/>
  <c r="J3404" i="1"/>
  <c r="J1568" i="1"/>
  <c r="J3669" i="1"/>
  <c r="J1537" i="1"/>
  <c r="J955" i="1"/>
  <c r="J2606" i="1"/>
  <c r="Q2204" i="1"/>
  <c r="Q2203" i="1"/>
  <c r="J2662" i="1"/>
  <c r="J2663" i="1"/>
  <c r="J3714" i="1"/>
  <c r="J2823" i="1"/>
  <c r="J3961" i="1"/>
  <c r="J3959" i="1"/>
  <c r="J3958" i="1"/>
  <c r="J2325" i="1"/>
  <c r="J3953" i="1"/>
  <c r="J809" i="1"/>
  <c r="J3775" i="1"/>
  <c r="J1779" i="1"/>
  <c r="J671" i="1"/>
  <c r="J1636" i="1"/>
  <c r="J3794" i="1"/>
  <c r="J1814" i="1"/>
  <c r="J307" i="1"/>
  <c r="J2391" i="1"/>
  <c r="J1431" i="1"/>
  <c r="J1824" i="1"/>
  <c r="J881" i="1"/>
  <c r="J2746" i="1"/>
  <c r="J1502" i="1"/>
  <c r="J2146" i="1"/>
  <c r="J239" i="1"/>
  <c r="J699" i="1"/>
  <c r="J1010" i="1"/>
  <c r="J866" i="1"/>
  <c r="J158" i="1"/>
  <c r="J1898" i="1"/>
  <c r="J3197" i="1"/>
  <c r="J3196" i="1"/>
  <c r="J3194" i="1"/>
  <c r="J3241" i="1"/>
  <c r="J1579" i="1"/>
  <c r="J1939" i="1"/>
  <c r="J1938" i="1"/>
  <c r="J2733" i="1"/>
  <c r="J1826" i="1"/>
  <c r="J1825" i="1"/>
  <c r="J1793" i="1"/>
  <c r="J1792" i="1"/>
  <c r="J1881" i="1"/>
  <c r="J1774" i="1"/>
  <c r="J122" i="1"/>
  <c r="J567" i="1"/>
  <c r="J2732" i="1"/>
  <c r="J3461" i="1"/>
  <c r="J55" i="1"/>
  <c r="J1531" i="1"/>
  <c r="J599" i="1"/>
  <c r="J355" i="1"/>
  <c r="J1290" i="1"/>
  <c r="J1569" i="1"/>
  <c r="J1799" i="1"/>
  <c r="J3056" i="1"/>
  <c r="J3052" i="1"/>
  <c r="J1778" i="1"/>
  <c r="J2040" i="1"/>
  <c r="J1308" i="1"/>
  <c r="J1470" i="1"/>
  <c r="J2537" i="1"/>
  <c r="J1107" i="1"/>
  <c r="J1128" i="1"/>
  <c r="J1127" i="1"/>
  <c r="J1672" i="1"/>
  <c r="J3167" i="1"/>
  <c r="J2143" i="1"/>
  <c r="J2147" i="1"/>
  <c r="J1275" i="1"/>
  <c r="J1159" i="1"/>
  <c r="J13" i="1"/>
  <c r="J861" i="1"/>
  <c r="J3193" i="1"/>
  <c r="J3192" i="1"/>
  <c r="J1495" i="1"/>
  <c r="J3191" i="1"/>
  <c r="J3187" i="1"/>
  <c r="J3190" i="1"/>
  <c r="J3189" i="1"/>
  <c r="J3188" i="1"/>
  <c r="J1265" i="1"/>
  <c r="J1227" i="1"/>
  <c r="J3186" i="1"/>
  <c r="J3185" i="1"/>
  <c r="J3409" i="1"/>
  <c r="J1069" i="1"/>
  <c r="J1587" i="1"/>
  <c r="J3184" i="1"/>
  <c r="J3183" i="1"/>
  <c r="J1068" i="1"/>
  <c r="J1067" i="1"/>
  <c r="J3174" i="1"/>
  <c r="J3173" i="1"/>
  <c r="J3239" i="1"/>
  <c r="J3249" i="1"/>
  <c r="J1671" i="1"/>
  <c r="J3399" i="1"/>
  <c r="J1061" i="1"/>
  <c r="J3247" i="1"/>
  <c r="J3242" i="1"/>
  <c r="J3243" i="1"/>
  <c r="J3248" i="1"/>
  <c r="J3246" i="1"/>
  <c r="J3238" i="1"/>
  <c r="J1060" i="1"/>
  <c r="J1044" i="1"/>
  <c r="J1043" i="1"/>
  <c r="J2129" i="1"/>
  <c r="J3222" i="1"/>
  <c r="J3371" i="1"/>
  <c r="J2613" i="1"/>
  <c r="J2614" i="1"/>
  <c r="J2611" i="1"/>
  <c r="J2605" i="1"/>
  <c r="J2604" i="1"/>
  <c r="J2603" i="1"/>
  <c r="J2602" i="1"/>
  <c r="J3584" i="1"/>
  <c r="J2150" i="1"/>
  <c r="J285" i="1"/>
  <c r="J528" i="1"/>
  <c r="J2181" i="1"/>
  <c r="J3255" i="1"/>
  <c r="J377" i="1"/>
  <c r="J308" i="1"/>
  <c r="J1334" i="1"/>
  <c r="J3976" i="1"/>
  <c r="J1715" i="1"/>
  <c r="J586" i="1"/>
  <c r="J1861" i="1"/>
  <c r="J1846" i="1"/>
  <c r="J901" i="1"/>
  <c r="J157" i="1"/>
  <c r="J310" i="1"/>
  <c r="J3510" i="1"/>
  <c r="J3002" i="1"/>
  <c r="J1771" i="1"/>
  <c r="J1205" i="1"/>
  <c r="J2066" i="1"/>
  <c r="J1773" i="1"/>
  <c r="J1059" i="1"/>
  <c r="J2232" i="1"/>
  <c r="J2028" i="1"/>
  <c r="J284" i="1"/>
  <c r="J874" i="1"/>
  <c r="J282" i="1"/>
  <c r="J626" i="1"/>
  <c r="J946" i="1"/>
  <c r="J3027" i="1"/>
  <c r="J2672" i="1"/>
  <c r="J2533" i="1"/>
  <c r="J1567" i="1"/>
  <c r="J453" i="1"/>
  <c r="J3252" i="1"/>
  <c r="J3001" i="1"/>
  <c r="J1638" i="1"/>
  <c r="J3152" i="1"/>
  <c r="J3541" i="1"/>
  <c r="J783" i="1"/>
  <c r="J3954" i="1"/>
  <c r="J1185" i="1"/>
  <c r="J1219" i="1"/>
  <c r="J1218" i="1"/>
  <c r="J659" i="1"/>
  <c r="J329" i="1"/>
  <c r="J1341" i="1"/>
  <c r="J2737" i="1"/>
  <c r="J1552" i="1"/>
  <c r="J1551" i="1"/>
  <c r="J1167" i="1"/>
  <c r="J1166" i="1"/>
  <c r="J1772" i="1"/>
  <c r="J1770" i="1"/>
  <c r="J223" i="1"/>
  <c r="J3176" i="1"/>
  <c r="J191" i="1"/>
  <c r="J213" i="1"/>
  <c r="J212" i="1"/>
  <c r="J211" i="1"/>
  <c r="J210" i="1"/>
  <c r="J209" i="1"/>
  <c r="J208" i="1"/>
  <c r="J207" i="1"/>
  <c r="J665" i="1"/>
  <c r="J664" i="1"/>
  <c r="J663" i="1"/>
  <c r="J661" i="1"/>
  <c r="J660" i="1"/>
  <c r="J2954" i="1"/>
  <c r="J2947" i="1"/>
  <c r="J1543" i="1"/>
  <c r="J2958" i="1"/>
  <c r="J2956" i="1"/>
  <c r="J1542" i="1"/>
  <c r="J1769" i="1"/>
  <c r="J1768" i="1"/>
  <c r="J1767" i="1"/>
  <c r="J1765" i="1"/>
  <c r="J2925" i="1"/>
  <c r="J1217" i="1"/>
  <c r="J1216" i="1"/>
  <c r="J1214" i="1"/>
  <c r="J1212" i="1"/>
  <c r="J3218" i="1"/>
  <c r="J184" i="1"/>
  <c r="J1206" i="1"/>
  <c r="J3675" i="1"/>
  <c r="J3680" i="1"/>
  <c r="J3674" i="1"/>
  <c r="J3673" i="1"/>
  <c r="J3664" i="1"/>
  <c r="J3678" i="1"/>
  <c r="J1851" i="1"/>
  <c r="J3632" i="1"/>
  <c r="J3079" i="1"/>
  <c r="J1437" i="1"/>
  <c r="J1536" i="1"/>
  <c r="J1520" i="1"/>
  <c r="J1519" i="1"/>
  <c r="J1506" i="1"/>
  <c r="J1055" i="1"/>
  <c r="J2583" i="1"/>
  <c r="J3786" i="1"/>
  <c r="J997" i="1"/>
  <c r="J1333" i="1"/>
  <c r="J4218" i="1"/>
  <c r="J4202" i="1"/>
  <c r="J2518" i="1"/>
  <c r="J3920" i="1"/>
  <c r="J3922" i="1"/>
  <c r="J3921" i="1"/>
  <c r="J3931" i="1"/>
  <c r="J3944" i="1"/>
  <c r="J3934" i="1"/>
  <c r="J3936" i="1"/>
  <c r="J3937" i="1"/>
  <c r="J3940" i="1"/>
  <c r="J3941" i="1"/>
  <c r="J2598" i="1"/>
  <c r="J2586" i="1"/>
  <c r="J2572" i="1"/>
  <c r="J2571" i="1"/>
  <c r="J2569" i="1"/>
  <c r="J2570" i="1"/>
  <c r="J2573" i="1"/>
  <c r="J3888" i="1"/>
  <c r="J3890" i="1"/>
  <c r="J3891" i="1"/>
  <c r="J3892" i="1"/>
  <c r="J3899" i="1"/>
  <c r="J3900" i="1"/>
  <c r="J3908" i="1"/>
  <c r="J3910" i="1"/>
  <c r="J3918" i="1"/>
  <c r="J3904" i="1"/>
  <c r="J3905" i="1"/>
  <c r="J3915" i="1"/>
  <c r="J3671" i="1"/>
  <c r="J263" i="1"/>
  <c r="J300" i="1"/>
  <c r="J278" i="1"/>
  <c r="J238" i="1"/>
  <c r="J193" i="1"/>
  <c r="J153" i="1"/>
  <c r="J152" i="1"/>
  <c r="J2218" i="1"/>
  <c r="J2687" i="1"/>
  <c r="J3300" i="1"/>
  <c r="J2847" i="1"/>
  <c r="J2052" i="1"/>
  <c r="J1823" i="1"/>
  <c r="J85" i="1"/>
  <c r="J4494" i="1"/>
  <c r="J1488" i="1"/>
  <c r="J928" i="1"/>
  <c r="J385" i="1"/>
  <c r="J1545" i="1"/>
  <c r="J2065" i="1"/>
  <c r="J2293" i="1"/>
  <c r="J3229" i="1"/>
  <c r="J309" i="1"/>
  <c r="J283" i="1"/>
  <c r="J275" i="1"/>
  <c r="J1670" i="1"/>
  <c r="J1146" i="1"/>
  <c r="J638" i="1"/>
  <c r="J1139" i="1"/>
  <c r="J1138" i="1"/>
  <c r="J1137" i="1"/>
  <c r="J1136" i="1"/>
  <c r="J1111" i="1"/>
  <c r="J1085" i="1"/>
  <c r="J1075" i="1"/>
  <c r="J1073" i="1"/>
  <c r="J1072" i="1"/>
  <c r="J1071" i="1"/>
  <c r="J1070" i="1"/>
  <c r="J1054" i="1"/>
  <c r="J417" i="1"/>
  <c r="J411" i="1"/>
  <c r="J412" i="1"/>
  <c r="J1046" i="1"/>
  <c r="J1057" i="1"/>
  <c r="J1056" i="1"/>
  <c r="J954" i="1"/>
  <c r="J1050" i="1"/>
  <c r="J949" i="1"/>
  <c r="J1025" i="1"/>
  <c r="J979" i="1"/>
  <c r="J952" i="1"/>
  <c r="J1048" i="1"/>
  <c r="J1570" i="1"/>
  <c r="J1566" i="1"/>
  <c r="J1564" i="1"/>
  <c r="J1563" i="1"/>
  <c r="J1562" i="1"/>
  <c r="J1560" i="1"/>
  <c r="J1558" i="1"/>
  <c r="J1557" i="1"/>
  <c r="J1555" i="1"/>
  <c r="J1550" i="1"/>
  <c r="J1549" i="1"/>
  <c r="J1548" i="1"/>
  <c r="J1547" i="1"/>
  <c r="J1546" i="1"/>
  <c r="J1513" i="1"/>
  <c r="J1510" i="1"/>
  <c r="J1509" i="1"/>
  <c r="J1508" i="1"/>
  <c r="J1507" i="1"/>
  <c r="J1504" i="1"/>
  <c r="J1503" i="1"/>
  <c r="J1501" i="1"/>
  <c r="J1487" i="1"/>
  <c r="J1473" i="1"/>
  <c r="J1405" i="1"/>
  <c r="J1403" i="1"/>
  <c r="J1402" i="1"/>
  <c r="J1401" i="1"/>
  <c r="J1382" i="1"/>
  <c r="J1381" i="1"/>
  <c r="J1359" i="1"/>
  <c r="J1358" i="1"/>
  <c r="J1355" i="1"/>
  <c r="J1354" i="1"/>
  <c r="J1346" i="1"/>
  <c r="J1323" i="1"/>
  <c r="J1316" i="1"/>
  <c r="J1321" i="1"/>
  <c r="J1318" i="1"/>
  <c r="J1314" i="1"/>
  <c r="J1319" i="1"/>
  <c r="J1312" i="1"/>
  <c r="J1310" i="1"/>
  <c r="J1298" i="1"/>
  <c r="J1277" i="1"/>
  <c r="J1262" i="1"/>
  <c r="J1250" i="1"/>
  <c r="J1230" i="1"/>
  <c r="J1215" i="1"/>
  <c r="J1204" i="1"/>
  <c r="J1203" i="1"/>
  <c r="J1202" i="1"/>
  <c r="J1201" i="1"/>
  <c r="J1200" i="1"/>
  <c r="J1178" i="1"/>
  <c r="J1177" i="1"/>
  <c r="J1179" i="1"/>
  <c r="J376" i="1"/>
  <c r="J372" i="1"/>
  <c r="J370" i="1"/>
  <c r="J368" i="1"/>
  <c r="J367" i="1"/>
  <c r="J366" i="1"/>
  <c r="J365" i="1"/>
  <c r="J356" i="1"/>
  <c r="J346" i="1"/>
  <c r="J335" i="1"/>
  <c r="J334" i="1"/>
  <c r="J333" i="1"/>
  <c r="J339" i="1"/>
  <c r="J336" i="1"/>
  <c r="J331" i="1"/>
  <c r="J271" i="1"/>
  <c r="J322" i="1"/>
  <c r="J323" i="1"/>
  <c r="J321" i="1"/>
  <c r="J316" i="1"/>
  <c r="J317" i="1"/>
  <c r="J318" i="1"/>
  <c r="J320" i="1"/>
  <c r="J319" i="1"/>
  <c r="J313" i="1"/>
  <c r="J314" i="1"/>
  <c r="J315" i="1"/>
  <c r="J311" i="1"/>
  <c r="J312" i="1"/>
  <c r="J290" i="1"/>
  <c r="J262" i="1"/>
  <c r="J222" i="1"/>
  <c r="J220" i="1"/>
  <c r="J219" i="1"/>
  <c r="J217" i="1"/>
  <c r="J215" i="1"/>
  <c r="J216" i="1"/>
  <c r="J201" i="1"/>
  <c r="J186" i="1"/>
  <c r="J174" i="1"/>
  <c r="J167" i="1"/>
  <c r="J162" i="1"/>
  <c r="J164" i="1"/>
  <c r="J163" i="1"/>
  <c r="J160" i="1"/>
  <c r="J161" i="1"/>
  <c r="J156" i="1"/>
  <c r="J151" i="1"/>
  <c r="J155" i="1"/>
  <c r="J154" i="1"/>
  <c r="J141" i="1"/>
  <c r="J140" i="1"/>
  <c r="J136" i="1"/>
  <c r="J135" i="1"/>
  <c r="J127" i="1"/>
  <c r="J115" i="1"/>
  <c r="J114" i="1"/>
  <c r="J113" i="1"/>
  <c r="J112" i="1"/>
  <c r="J111" i="1"/>
  <c r="J110" i="1"/>
  <c r="J109" i="1"/>
  <c r="J108" i="1"/>
  <c r="J106" i="1"/>
  <c r="J102" i="1"/>
  <c r="J98" i="1"/>
  <c r="J90" i="1"/>
  <c r="J88" i="1"/>
  <c r="J87" i="1"/>
  <c r="J83" i="1"/>
  <c r="J82" i="1"/>
  <c r="J81" i="1"/>
  <c r="J80" i="1"/>
  <c r="J79" i="1"/>
  <c r="J77" i="1"/>
  <c r="J70" i="1"/>
  <c r="J68" i="1"/>
  <c r="J64" i="1"/>
  <c r="J63" i="1"/>
  <c r="J62" i="1"/>
  <c r="J59" i="1"/>
  <c r="J58" i="1"/>
  <c r="J48" i="1"/>
  <c r="J47" i="1"/>
  <c r="J46" i="1"/>
  <c r="J45" i="1"/>
  <c r="J42" i="1"/>
  <c r="J41" i="1"/>
  <c r="J40" i="1"/>
  <c r="J37" i="1"/>
  <c r="J36" i="1"/>
  <c r="J35" i="1"/>
  <c r="J30" i="1"/>
  <c r="J29" i="1"/>
  <c r="J28" i="1"/>
  <c r="J19" i="1"/>
  <c r="J15" i="1"/>
  <c r="J6" i="1"/>
  <c r="J749" i="1"/>
  <c r="J656" i="1"/>
  <c r="J400" i="1"/>
  <c r="J399" i="1"/>
  <c r="J2174" i="1"/>
  <c r="J2621" i="1"/>
  <c r="J2615" i="1"/>
  <c r="J2607" i="1"/>
  <c r="E284" i="6"/>
  <c r="E285" i="6"/>
  <c r="E286" i="6"/>
  <c r="E288" i="6"/>
  <c r="E289" i="6"/>
  <c r="E290" i="6"/>
  <c r="E291" i="6"/>
  <c r="E293" i="6"/>
  <c r="E294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10" i="6"/>
  <c r="E311" i="6"/>
  <c r="E314" i="6"/>
  <c r="E315" i="6"/>
  <c r="E316" i="6"/>
  <c r="E317" i="6"/>
  <c r="E318" i="6"/>
  <c r="E319" i="6"/>
  <c r="E320" i="6"/>
  <c r="E321" i="6"/>
  <c r="E322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5" i="6"/>
  <c r="E348" i="6"/>
  <c r="E349" i="6"/>
  <c r="E350" i="6"/>
  <c r="E351" i="6"/>
  <c r="E352" i="6"/>
  <c r="E353" i="6"/>
  <c r="E354" i="6"/>
  <c r="E362" i="6"/>
  <c r="E364" i="6"/>
  <c r="E365" i="6"/>
  <c r="E366" i="6"/>
  <c r="E368" i="6"/>
  <c r="E370" i="6"/>
  <c r="D92" i="6"/>
  <c r="D93" i="6"/>
  <c r="D94" i="6"/>
  <c r="D95" i="6"/>
  <c r="D96" i="6"/>
  <c r="D97" i="6"/>
  <c r="D98" i="6"/>
  <c r="D99" i="6"/>
  <c r="D100" i="6"/>
  <c r="D101" i="6"/>
  <c r="D102" i="6"/>
  <c r="D107" i="6"/>
  <c r="D108" i="6"/>
  <c r="D110" i="6"/>
  <c r="D111" i="6"/>
  <c r="D112" i="6"/>
  <c r="D114" i="6"/>
  <c r="D115" i="6"/>
  <c r="D116" i="6"/>
  <c r="D118" i="6"/>
  <c r="D119" i="6"/>
  <c r="D120" i="6"/>
  <c r="D122" i="6"/>
  <c r="D123" i="6"/>
  <c r="D124" i="6"/>
  <c r="D125" i="6"/>
  <c r="D126" i="6"/>
  <c r="D127" i="6"/>
  <c r="D128" i="6"/>
  <c r="D132" i="6"/>
  <c r="D133" i="6"/>
  <c r="D134" i="6"/>
  <c r="D135" i="6"/>
  <c r="D136" i="6"/>
  <c r="D137" i="6"/>
  <c r="D138" i="6"/>
  <c r="D139" i="6"/>
  <c r="D140" i="6"/>
  <c r="D142" i="6"/>
  <c r="D143" i="6"/>
  <c r="D144" i="6"/>
  <c r="D145" i="6"/>
  <c r="D146" i="6"/>
  <c r="D147" i="6"/>
  <c r="D148" i="6"/>
  <c r="D149" i="6"/>
  <c r="D150" i="6"/>
  <c r="D151" i="6"/>
  <c r="D153" i="6"/>
  <c r="D154" i="6"/>
  <c r="D157" i="6"/>
  <c r="D158" i="6"/>
  <c r="D159" i="6"/>
  <c r="D160" i="6"/>
  <c r="D162" i="6"/>
  <c r="D163" i="6"/>
  <c r="D165" i="6"/>
  <c r="D166" i="6"/>
  <c r="D167" i="6"/>
  <c r="D168" i="6"/>
  <c r="D169" i="6"/>
  <c r="D170" i="6"/>
  <c r="D171" i="6"/>
  <c r="D172" i="6"/>
  <c r="D174" i="6"/>
  <c r="D175" i="6"/>
  <c r="D176" i="6"/>
  <c r="D177" i="6"/>
  <c r="D180" i="6"/>
  <c r="D182" i="6"/>
  <c r="D183" i="6"/>
  <c r="D184" i="6"/>
  <c r="D185" i="6"/>
  <c r="D186" i="6"/>
  <c r="D187" i="6"/>
  <c r="D188" i="6"/>
  <c r="D189" i="6"/>
  <c r="D190" i="6"/>
  <c r="D192" i="6"/>
  <c r="D193" i="6"/>
  <c r="D194" i="6"/>
  <c r="D195" i="6"/>
  <c r="D197" i="6"/>
  <c r="D198" i="6"/>
  <c r="D199" i="6"/>
  <c r="D200" i="6"/>
  <c r="D202" i="6"/>
  <c r="D203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J3832" i="1"/>
  <c r="J1813" i="1"/>
  <c r="J522" i="1"/>
  <c r="J2838" i="1"/>
  <c r="J3811" i="1"/>
  <c r="J3809" i="1"/>
  <c r="J3798" i="1"/>
  <c r="J3774" i="1"/>
  <c r="J3766" i="1"/>
  <c r="J2788" i="1"/>
  <c r="J2656" i="1"/>
  <c r="J2657" i="1"/>
  <c r="J4506" i="1"/>
  <c r="J2769" i="1"/>
  <c r="J2768" i="1"/>
  <c r="J2767" i="1"/>
  <c r="J2766" i="1"/>
  <c r="J2765" i="1"/>
  <c r="J2763" i="1"/>
  <c r="J2762" i="1"/>
  <c r="J2761" i="1"/>
  <c r="J2669" i="1"/>
  <c r="J2668" i="1"/>
  <c r="J2664" i="1"/>
  <c r="J2560" i="1"/>
  <c r="J2559" i="1"/>
  <c r="J2661" i="1"/>
  <c r="J2558" i="1"/>
  <c r="J4190" i="1"/>
  <c r="J4153" i="1"/>
  <c r="J4144" i="1"/>
  <c r="J4128" i="1"/>
  <c r="J4115" i="1"/>
  <c r="J4106" i="1"/>
  <c r="J4103" i="1"/>
  <c r="J2212" i="1"/>
  <c r="J2090" i="1"/>
  <c r="J1870" i="1"/>
  <c r="J1400" i="1"/>
  <c r="J1591" i="1"/>
  <c r="J1459" i="1"/>
  <c r="J1449" i="1"/>
  <c r="J1442" i="1"/>
  <c r="J1448" i="1"/>
  <c r="J1434" i="1"/>
  <c r="J1427" i="1"/>
  <c r="J1426" i="1"/>
  <c r="J1428" i="1"/>
  <c r="J1462" i="1"/>
  <c r="J1461" i="1"/>
  <c r="J1460" i="1"/>
  <c r="J1443" i="1"/>
  <c r="J1439" i="1"/>
  <c r="J1435" i="1"/>
  <c r="J1436" i="1"/>
  <c r="J1454" i="1"/>
  <c r="J1455" i="1"/>
  <c r="J1452" i="1"/>
  <c r="J1451" i="1"/>
  <c r="J1456" i="1"/>
  <c r="J1457" i="1"/>
  <c r="J1453" i="1"/>
  <c r="J1450" i="1"/>
  <c r="J1187" i="1"/>
  <c r="J2265" i="1"/>
  <c r="J2772" i="1"/>
  <c r="J630" i="1"/>
  <c r="J629" i="1"/>
  <c r="J2789" i="1"/>
  <c r="J1375" i="1"/>
  <c r="J2510" i="1"/>
  <c r="J2512" i="1"/>
  <c r="J2521" i="1"/>
  <c r="J2545" i="1"/>
  <c r="J2523" i="1"/>
  <c r="J2526" i="1"/>
  <c r="J2497" i="1"/>
  <c r="J2485" i="1"/>
  <c r="J2486" i="1"/>
  <c r="J2471" i="1"/>
  <c r="J2446" i="1"/>
  <c r="J2750" i="1"/>
  <c r="J2757" i="1"/>
  <c r="J4372" i="1"/>
  <c r="J4373" i="1"/>
  <c r="J2599" i="1"/>
  <c r="J2612" i="1"/>
  <c r="J2608" i="1"/>
  <c r="J2318" i="1"/>
  <c r="J2665" i="1"/>
  <c r="J2659" i="1"/>
  <c r="J927" i="1"/>
  <c r="J4084" i="1"/>
  <c r="J4085" i="1"/>
  <c r="J2081" i="1"/>
  <c r="J2494" i="1"/>
  <c r="J526" i="1"/>
  <c r="J1803" i="1"/>
  <c r="J1867" i="1"/>
  <c r="J1866" i="1"/>
  <c r="J1787" i="1"/>
  <c r="J270" i="1"/>
  <c r="J1197" i="1"/>
  <c r="J491" i="1"/>
  <c r="J835" i="1"/>
  <c r="J769" i="1"/>
  <c r="J430" i="1"/>
  <c r="J640" i="1"/>
  <c r="J2787" i="1"/>
  <c r="J69" i="1"/>
  <c r="J2774" i="1"/>
  <c r="J2777" i="1"/>
  <c r="J2482" i="1"/>
  <c r="J2786" i="1"/>
  <c r="J2785" i="1"/>
  <c r="J2784" i="1"/>
  <c r="J2783" i="1"/>
  <c r="J2782" i="1"/>
  <c r="J2781" i="1"/>
  <c r="J2519" i="1"/>
  <c r="J2516" i="1"/>
  <c r="J2515" i="1"/>
  <c r="J2514" i="1"/>
  <c r="J2513" i="1"/>
  <c r="J2511" i="1"/>
  <c r="J3744" i="1"/>
  <c r="J410" i="1"/>
  <c r="J2506" i="1"/>
  <c r="J2449" i="1"/>
  <c r="J2448" i="1"/>
  <c r="J2445" i="1"/>
  <c r="J2444" i="1"/>
  <c r="J2443" i="1"/>
  <c r="M4727" i="1"/>
  <c r="J473" i="1"/>
  <c r="J634" i="1"/>
  <c r="J1106" i="1"/>
  <c r="J1754" i="1"/>
  <c r="J1753" i="1"/>
  <c r="J3077" i="1"/>
  <c r="J974" i="1"/>
  <c r="J1661" i="1"/>
  <c r="J1660" i="1"/>
  <c r="J1659" i="1"/>
  <c r="J1658" i="1"/>
  <c r="J1657" i="1"/>
  <c r="J1485" i="1"/>
  <c r="J3244" i="1"/>
  <c r="J2175" i="1"/>
  <c r="J862" i="1"/>
  <c r="J3292" i="1"/>
  <c r="J1859" i="1"/>
  <c r="J1458" i="1"/>
  <c r="J1463" i="1"/>
  <c r="J1038" i="1"/>
  <c r="J1873" i="1"/>
  <c r="J3257" i="1"/>
  <c r="J2729" i="1"/>
  <c r="J2321" i="1"/>
  <c r="J1007" i="1"/>
  <c r="J508" i="1"/>
  <c r="J971" i="1"/>
  <c r="J648" i="1"/>
  <c r="J876" i="1"/>
  <c r="J3822" i="1"/>
  <c r="J4155" i="1"/>
  <c r="J2723" i="1"/>
  <c r="J757" i="1"/>
  <c r="J644" i="1"/>
  <c r="J11" i="1"/>
  <c r="J18" i="1"/>
  <c r="J25" i="1"/>
  <c r="J27" i="1"/>
  <c r="J89" i="1"/>
  <c r="J97" i="1"/>
  <c r="J138" i="1"/>
  <c r="J169" i="1"/>
  <c r="J173" i="1"/>
  <c r="J198" i="1"/>
  <c r="J194" i="1"/>
  <c r="J205" i="1"/>
  <c r="J242" i="1"/>
  <c r="J265" i="1"/>
  <c r="J261" i="1"/>
  <c r="J276" i="1"/>
  <c r="J274" i="1"/>
  <c r="J273" i="1"/>
  <c r="J277" i="1"/>
  <c r="J281" i="1"/>
  <c r="J301" i="1"/>
  <c r="J306" i="1"/>
  <c r="J305" i="1"/>
  <c r="J304" i="1"/>
  <c r="J328" i="1"/>
  <c r="J325" i="1"/>
  <c r="J326" i="1"/>
  <c r="J327" i="1"/>
  <c r="J344" i="1"/>
  <c r="J347" i="1"/>
  <c r="J348" i="1"/>
  <c r="J353" i="1"/>
  <c r="J358" i="1"/>
  <c r="J422" i="1"/>
  <c r="J423" i="1"/>
  <c r="J424" i="1"/>
  <c r="J425" i="1"/>
  <c r="J436" i="1"/>
  <c r="J463" i="1"/>
  <c r="J464" i="1"/>
  <c r="J472" i="1"/>
  <c r="J474" i="1"/>
  <c r="J475" i="1"/>
  <c r="J476" i="1"/>
  <c r="J482" i="1"/>
  <c r="J483" i="1"/>
  <c r="J489" i="1"/>
  <c r="J490" i="1"/>
  <c r="J492" i="1"/>
  <c r="J493" i="1"/>
  <c r="J513" i="1"/>
  <c r="J517" i="1"/>
  <c r="J518" i="1"/>
  <c r="J543" i="1"/>
  <c r="J559" i="1"/>
  <c r="J575" i="1"/>
  <c r="J577" i="1"/>
  <c r="J653" i="1"/>
  <c r="J595" i="1"/>
  <c r="J602" i="1"/>
  <c r="J607" i="1"/>
  <c r="J609" i="1"/>
  <c r="J612" i="1"/>
  <c r="J613" i="1"/>
  <c r="J614" i="1"/>
  <c r="J615" i="1"/>
  <c r="J616" i="1"/>
  <c r="J631" i="1"/>
  <c r="J635" i="1"/>
  <c r="J643" i="1"/>
  <c r="J645" i="1"/>
  <c r="J652" i="1"/>
  <c r="J703" i="1"/>
  <c r="J718" i="1"/>
  <c r="J734" i="1"/>
  <c r="J752" i="1"/>
  <c r="J771" i="1"/>
  <c r="J773" i="1"/>
  <c r="J781" i="1"/>
  <c r="J796" i="1"/>
  <c r="J797" i="1"/>
  <c r="J816" i="1"/>
  <c r="J818" i="1"/>
  <c r="J833" i="1"/>
  <c r="J859" i="1"/>
  <c r="J860" i="1"/>
  <c r="J865" i="1"/>
  <c r="J884" i="1"/>
  <c r="J890" i="1"/>
  <c r="J891" i="1"/>
  <c r="J909" i="1"/>
  <c r="J918" i="1"/>
  <c r="J943" i="1"/>
  <c r="J994" i="1"/>
  <c r="J1001" i="1"/>
  <c r="J1016" i="1"/>
  <c r="J1027" i="1"/>
  <c r="J1029" i="1"/>
  <c r="J1052" i="1"/>
  <c r="J1088" i="1"/>
  <c r="J1089" i="1"/>
  <c r="J1105" i="1"/>
  <c r="J1114" i="1"/>
  <c r="J1121" i="1"/>
  <c r="J1122" i="1"/>
  <c r="J1133" i="1"/>
  <c r="J1155" i="1"/>
  <c r="J1172" i="1"/>
  <c r="J1199" i="1"/>
  <c r="J1210" i="1"/>
  <c r="J1228" i="1"/>
  <c r="J1238" i="1"/>
  <c r="J1243" i="1"/>
  <c r="J1252" i="1"/>
  <c r="J1280" i="1"/>
  <c r="J1332" i="1"/>
  <c r="J1342" i="1"/>
  <c r="J1348" i="1"/>
  <c r="J1374" i="1"/>
  <c r="J1395" i="1"/>
  <c r="J1475" i="1"/>
  <c r="J1482" i="1"/>
  <c r="J1524" i="1"/>
  <c r="J1574" i="1"/>
  <c r="J1594" i="1"/>
  <c r="J1618" i="1"/>
  <c r="J1649" i="1"/>
  <c r="J1669" i="1"/>
  <c r="J1675" i="1"/>
  <c r="J1677" i="1"/>
  <c r="J1678" i="1"/>
  <c r="J1679" i="1"/>
  <c r="J1682" i="1"/>
  <c r="J1710" i="1"/>
  <c r="J1712" i="1"/>
  <c r="J1752" i="1"/>
  <c r="J1756" i="1"/>
  <c r="J1764" i="1"/>
  <c r="J1783" i="1"/>
  <c r="J1788" i="1"/>
  <c r="J1801" i="1"/>
  <c r="J1811" i="1"/>
  <c r="J1817" i="1"/>
  <c r="J1835" i="1"/>
  <c r="J1839" i="1"/>
  <c r="J1840" i="1"/>
  <c r="J1842" i="1"/>
  <c r="J1843" i="1"/>
  <c r="J1849" i="1"/>
  <c r="J1856" i="1"/>
  <c r="J1869" i="1"/>
  <c r="J1872" i="1"/>
  <c r="J1909" i="1"/>
  <c r="J1912" i="1"/>
  <c r="J1951" i="1"/>
  <c r="J1981" i="1"/>
  <c r="J2013" i="1"/>
  <c r="J2023" i="1"/>
  <c r="J2026" i="1"/>
  <c r="J2033" i="1"/>
  <c r="J2047" i="1"/>
  <c r="J2051" i="1"/>
  <c r="J2057" i="1"/>
  <c r="J2071" i="1"/>
  <c r="J2076" i="1"/>
  <c r="J2079" i="1"/>
  <c r="J2083" i="1"/>
  <c r="J2107" i="1"/>
  <c r="J2108" i="1"/>
  <c r="J2122" i="1"/>
  <c r="J2149" i="1"/>
  <c r="J2151" i="1"/>
  <c r="J2182" i="1"/>
  <c r="J2183" i="1"/>
  <c r="J2184" i="1"/>
  <c r="J2185" i="1"/>
  <c r="J2245" i="1"/>
  <c r="J2264" i="1"/>
  <c r="J2287" i="1"/>
  <c r="J2288" i="1"/>
  <c r="J2295" i="1"/>
  <c r="J2299" i="1"/>
  <c r="J2322" i="1"/>
  <c r="J2323" i="1"/>
  <c r="J2324" i="1"/>
  <c r="J2333" i="1"/>
  <c r="J2336" i="1"/>
  <c r="J2354" i="1"/>
  <c r="J2355" i="1"/>
  <c r="J2359" i="1"/>
  <c r="J2362" i="1"/>
  <c r="J2369" i="1"/>
  <c r="J2379" i="1"/>
  <c r="J2384" i="1"/>
  <c r="J2385" i="1"/>
  <c r="J2388" i="1"/>
  <c r="J2405" i="1"/>
  <c r="J2406" i="1"/>
  <c r="J2425" i="1"/>
  <c r="J2426" i="1"/>
  <c r="J2428" i="1"/>
  <c r="J2429" i="1"/>
  <c r="J2431" i="1"/>
  <c r="J2435" i="1"/>
  <c r="J2877" i="1"/>
  <c r="J2455" i="1"/>
  <c r="J2456" i="1"/>
  <c r="J2677" i="1"/>
  <c r="J2689" i="1"/>
  <c r="J2693" i="1"/>
  <c r="J2697" i="1"/>
  <c r="J2699" i="1"/>
  <c r="J2715" i="1"/>
  <c r="J2716" i="1"/>
  <c r="J2724" i="1"/>
  <c r="J2727" i="1"/>
  <c r="J2487" i="1"/>
  <c r="J2575" i="1"/>
  <c r="J2588" i="1"/>
  <c r="J2589" i="1"/>
  <c r="J2609" i="1"/>
  <c r="J2618" i="1"/>
  <c r="J2625" i="1"/>
  <c r="J2626" i="1"/>
  <c r="J2622" i="1"/>
  <c r="J2546" i="1"/>
  <c r="J2745" i="1"/>
  <c r="J2754" i="1"/>
  <c r="J2738" i="1"/>
  <c r="J2739" i="1"/>
  <c r="J2741" i="1"/>
  <c r="J2755" i="1"/>
  <c r="J2758" i="1"/>
  <c r="J2749" i="1"/>
  <c r="J2751" i="1"/>
  <c r="J2452" i="1"/>
  <c r="J2453" i="1"/>
  <c r="J2633" i="1"/>
  <c r="J2634" i="1"/>
  <c r="J2635" i="1"/>
  <c r="J2638" i="1"/>
  <c r="J2639" i="1"/>
  <c r="J2642" i="1"/>
  <c r="J2643" i="1"/>
  <c r="J2644" i="1"/>
  <c r="J2645" i="1"/>
  <c r="J2648" i="1"/>
  <c r="J2649" i="1"/>
  <c r="J2653" i="1"/>
  <c r="J2654" i="1"/>
  <c r="J2799" i="1"/>
  <c r="J2803" i="1"/>
  <c r="J2804" i="1"/>
  <c r="J2805" i="1"/>
  <c r="J2806" i="1"/>
  <c r="J2819" i="1"/>
  <c r="J2821" i="1"/>
  <c r="J2822" i="1"/>
  <c r="J2828" i="1"/>
  <c r="J2829" i="1"/>
  <c r="J2830" i="1"/>
  <c r="J2831" i="1"/>
  <c r="J2832" i="1"/>
  <c r="J2833" i="1"/>
  <c r="J2834" i="1"/>
  <c r="J2835" i="1"/>
  <c r="J2839" i="1"/>
  <c r="J2840" i="1"/>
  <c r="J2841" i="1"/>
  <c r="J2843" i="1"/>
  <c r="J2844" i="1"/>
  <c r="J2845" i="1"/>
  <c r="J2846" i="1"/>
  <c r="J2849" i="1"/>
  <c r="J2850" i="1"/>
  <c r="J2851" i="1"/>
  <c r="J2852" i="1"/>
  <c r="J2853" i="1"/>
  <c r="J2856" i="1"/>
  <c r="J2857" i="1"/>
  <c r="J2858" i="1"/>
  <c r="J2860" i="1"/>
  <c r="J2861" i="1"/>
  <c r="J2862" i="1"/>
  <c r="J2863" i="1"/>
  <c r="J2864" i="1"/>
  <c r="J2865" i="1"/>
  <c r="J2866" i="1"/>
  <c r="J2867" i="1"/>
  <c r="J2870" i="1"/>
  <c r="J2871" i="1"/>
  <c r="J2872" i="1"/>
  <c r="J2874" i="1"/>
  <c r="J2875" i="1"/>
  <c r="J2876" i="1"/>
  <c r="J2878" i="1"/>
  <c r="J2879" i="1"/>
  <c r="J2880" i="1"/>
  <c r="J2881" i="1"/>
  <c r="J2882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6" i="1"/>
  <c r="J2927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4" i="1"/>
  <c r="J2946" i="1"/>
  <c r="J2948" i="1"/>
  <c r="J2949" i="1"/>
  <c r="J2950" i="1"/>
  <c r="J2952" i="1"/>
  <c r="J2953" i="1"/>
  <c r="J2955" i="1"/>
  <c r="J2957" i="1"/>
  <c r="J2959" i="1"/>
  <c r="J2960" i="1"/>
  <c r="J2962" i="1"/>
  <c r="J2963" i="1"/>
  <c r="J2985" i="1"/>
  <c r="J2990" i="1"/>
  <c r="J2998" i="1"/>
  <c r="J3006" i="1"/>
  <c r="J3019" i="1"/>
  <c r="J3029" i="1"/>
  <c r="J3036" i="1"/>
  <c r="J3037" i="1"/>
  <c r="J3047" i="1"/>
  <c r="J3048" i="1"/>
  <c r="J3049" i="1"/>
  <c r="J3055" i="1"/>
  <c r="J3069" i="1"/>
  <c r="J3085" i="1"/>
  <c r="J3117" i="1"/>
  <c r="J3118" i="1"/>
  <c r="J3119" i="1"/>
  <c r="J3123" i="1"/>
  <c r="J3124" i="1"/>
  <c r="J3125" i="1"/>
  <c r="J3132" i="1"/>
  <c r="J3140" i="1"/>
  <c r="J3147" i="1"/>
  <c r="J3215" i="1"/>
  <c r="J3231" i="1"/>
  <c r="J3282" i="1"/>
  <c r="J3289" i="1"/>
  <c r="J3290" i="1"/>
  <c r="J3318" i="1"/>
  <c r="J3320" i="1"/>
  <c r="J3327" i="1"/>
  <c r="J3369" i="1"/>
  <c r="J3370" i="1"/>
  <c r="J3378" i="1"/>
  <c r="J3379" i="1"/>
  <c r="J3388" i="1"/>
  <c r="J3414" i="1"/>
  <c r="J3436" i="1"/>
  <c r="J3450" i="1"/>
  <c r="J3451" i="1"/>
  <c r="J3452" i="1"/>
  <c r="J3453" i="1"/>
  <c r="J3454" i="1"/>
  <c r="J3455" i="1"/>
  <c r="J3456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84" i="1"/>
  <c r="J3485" i="1"/>
  <c r="J3486" i="1"/>
  <c r="J3501" i="1"/>
  <c r="J3513" i="1"/>
  <c r="J3519" i="1"/>
  <c r="J3521" i="1"/>
  <c r="J3522" i="1"/>
  <c r="J3523" i="1"/>
  <c r="J3527" i="1"/>
  <c r="J3529" i="1"/>
  <c r="J3530" i="1"/>
  <c r="J3532" i="1"/>
  <c r="J3533" i="1"/>
  <c r="J3534" i="1"/>
  <c r="J3535" i="1"/>
  <c r="J3546" i="1"/>
  <c r="J3552" i="1"/>
  <c r="J3553" i="1"/>
  <c r="J3565" i="1"/>
  <c r="J3576" i="1"/>
  <c r="J3577" i="1"/>
  <c r="J3578" i="1"/>
  <c r="J3580" i="1"/>
  <c r="J3581" i="1"/>
  <c r="J3585" i="1"/>
  <c r="J3588" i="1"/>
  <c r="J3589" i="1"/>
  <c r="J3593" i="1"/>
  <c r="J3598" i="1"/>
  <c r="J3599" i="1"/>
  <c r="J3600" i="1"/>
  <c r="J3606" i="1"/>
  <c r="J3615" i="1"/>
  <c r="J3616" i="1"/>
  <c r="J3637" i="1"/>
  <c r="J3638" i="1"/>
  <c r="J3641" i="1"/>
  <c r="J3643" i="1"/>
  <c r="J3652" i="1"/>
  <c r="J3654" i="1"/>
  <c r="J3655" i="1"/>
  <c r="J3659" i="1"/>
  <c r="J3662" i="1"/>
  <c r="J3666" i="1"/>
  <c r="J3682" i="1"/>
  <c r="J3688" i="1"/>
  <c r="J3695" i="1"/>
  <c r="J3704" i="1"/>
  <c r="J3711" i="1"/>
  <c r="J3743" i="1"/>
  <c r="J3768" i="1"/>
  <c r="J3769" i="1"/>
  <c r="J3770" i="1"/>
  <c r="J3772" i="1"/>
  <c r="J3773" i="1"/>
  <c r="J3777" i="1"/>
  <c r="J3779" i="1"/>
  <c r="J3780" i="1"/>
  <c r="J3781" i="1"/>
  <c r="J3782" i="1"/>
  <c r="J3784" i="1"/>
  <c r="J3799" i="1"/>
  <c r="J3800" i="1"/>
  <c r="J3815" i="1"/>
  <c r="J3819" i="1"/>
  <c r="J3826" i="1"/>
  <c r="J3831" i="1"/>
  <c r="J3836" i="1"/>
  <c r="J3843" i="1"/>
  <c r="J3851" i="1"/>
  <c r="J3855" i="1"/>
  <c r="J3857" i="1"/>
  <c r="J3858" i="1"/>
  <c r="J3859" i="1"/>
  <c r="J3860" i="1"/>
  <c r="J3861" i="1"/>
  <c r="J3868" i="1"/>
  <c r="J3869" i="1"/>
  <c r="J3870" i="1"/>
  <c r="J3871" i="1"/>
  <c r="J3872" i="1"/>
  <c r="J3873" i="1"/>
  <c r="J3874" i="1"/>
  <c r="J3875" i="1"/>
  <c r="J3878" i="1"/>
  <c r="J3879" i="1"/>
  <c r="J3880" i="1"/>
  <c r="J3881" i="1"/>
  <c r="J3882" i="1"/>
  <c r="J3894" i="1"/>
  <c r="J3895" i="1"/>
  <c r="J3896" i="1"/>
  <c r="J3897" i="1"/>
  <c r="J2577" i="1"/>
  <c r="J2594" i="1"/>
  <c r="J3942" i="1"/>
  <c r="J3943" i="1"/>
  <c r="J3956" i="1"/>
  <c r="J3991" i="1"/>
  <c r="J3962" i="1"/>
  <c r="J3982" i="1"/>
  <c r="J3981" i="1"/>
  <c r="J3980" i="1"/>
  <c r="J3979" i="1"/>
  <c r="J3978" i="1"/>
  <c r="J3972" i="1"/>
  <c r="J3970" i="1"/>
  <c r="J3971" i="1"/>
  <c r="J3990" i="1"/>
  <c r="J3993" i="1"/>
  <c r="J3995" i="1"/>
  <c r="J3998" i="1"/>
  <c r="J3999" i="1"/>
  <c r="J4000" i="1"/>
  <c r="J4001" i="1"/>
  <c r="J4002" i="1"/>
  <c r="J4003" i="1"/>
  <c r="J4005" i="1"/>
  <c r="J4011" i="1"/>
  <c r="J4013" i="1"/>
  <c r="J4014" i="1"/>
  <c r="J4016" i="1"/>
  <c r="J4023" i="1"/>
  <c r="J4025" i="1"/>
  <c r="J4026" i="1"/>
  <c r="J4028" i="1"/>
  <c r="J4029" i="1"/>
  <c r="J4030" i="1"/>
  <c r="J4032" i="1"/>
  <c r="J4034" i="1"/>
  <c r="J4035" i="1"/>
  <c r="J4036" i="1"/>
  <c r="J4037" i="1"/>
  <c r="J4038" i="1"/>
  <c r="J4040" i="1"/>
  <c r="J4041" i="1"/>
  <c r="J4042" i="1"/>
  <c r="J4043" i="1"/>
  <c r="J4044" i="1"/>
  <c r="J4048" i="1"/>
  <c r="J4049" i="1"/>
  <c r="J4050" i="1"/>
  <c r="J4051" i="1"/>
  <c r="J4053" i="1"/>
  <c r="J4054" i="1"/>
  <c r="J4055" i="1"/>
  <c r="J4056" i="1"/>
  <c r="J4057" i="1"/>
  <c r="J4059" i="1"/>
  <c r="J4061" i="1"/>
  <c r="J4063" i="1"/>
  <c r="J4064" i="1"/>
  <c r="J4065" i="1"/>
  <c r="J4066" i="1"/>
  <c r="J4069" i="1"/>
  <c r="J4070" i="1"/>
  <c r="J4076" i="1"/>
  <c r="J4079" i="1"/>
  <c r="J4082" i="1"/>
  <c r="J4083" i="1"/>
  <c r="J4086" i="1"/>
  <c r="J4089" i="1"/>
  <c r="J4090" i="1"/>
  <c r="J4091" i="1"/>
  <c r="J4092" i="1"/>
  <c r="J4093" i="1"/>
  <c r="J4094" i="1"/>
  <c r="J4095" i="1"/>
  <c r="J4096" i="1"/>
  <c r="J4097" i="1"/>
  <c r="J4098" i="1"/>
  <c r="J4099" i="1"/>
  <c r="J4110" i="1"/>
  <c r="J4114" i="1"/>
  <c r="J4116" i="1"/>
  <c r="J4117" i="1"/>
  <c r="J4126" i="1"/>
  <c r="J4129" i="1"/>
  <c r="J4135" i="1"/>
  <c r="J4149" i="1"/>
  <c r="J4150" i="1"/>
  <c r="J4170" i="1"/>
  <c r="J4171" i="1"/>
  <c r="J4174" i="1"/>
  <c r="J4193" i="1"/>
  <c r="J4195" i="1"/>
  <c r="J4196" i="1"/>
  <c r="J4197" i="1"/>
  <c r="J4209" i="1"/>
  <c r="J4211" i="1"/>
  <c r="J4221" i="1"/>
  <c r="J2790" i="1"/>
  <c r="J2658" i="1"/>
  <c r="J2670" i="1"/>
  <c r="J2764" i="1"/>
  <c r="J4175" i="1"/>
  <c r="J4198" i="1"/>
  <c r="J4200" i="1"/>
  <c r="J4224" i="1"/>
  <c r="J4225" i="1"/>
  <c r="J4226" i="1"/>
  <c r="J4227" i="1"/>
  <c r="J4228" i="1"/>
  <c r="J4241" i="1"/>
  <c r="J4242" i="1"/>
  <c r="J4243" i="1"/>
  <c r="J4244" i="1"/>
  <c r="J4246" i="1"/>
  <c r="J4248" i="1"/>
  <c r="J4249" i="1"/>
  <c r="J4252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2" i="1"/>
  <c r="J4286" i="1"/>
  <c r="J4288" i="1"/>
  <c r="J4290" i="1"/>
  <c r="J4291" i="1"/>
  <c r="J4292" i="1"/>
  <c r="J4293" i="1"/>
  <c r="J4294" i="1"/>
  <c r="J4295" i="1"/>
  <c r="J4296" i="1"/>
  <c r="J4306" i="1"/>
  <c r="J4307" i="1"/>
  <c r="J4316" i="1"/>
  <c r="J4317" i="1"/>
  <c r="J4318" i="1"/>
  <c r="J4324" i="1"/>
  <c r="J4330" i="1"/>
  <c r="J4331" i="1"/>
  <c r="J4337" i="1"/>
  <c r="J4338" i="1"/>
  <c r="J4339" i="1"/>
  <c r="J4340" i="1"/>
  <c r="J4342" i="1"/>
  <c r="J4343" i="1"/>
  <c r="J4348" i="1"/>
  <c r="J4363" i="1"/>
  <c r="J4364" i="1"/>
  <c r="J4365" i="1"/>
  <c r="J4370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9" i="1"/>
  <c r="J4396" i="1"/>
  <c r="J4397" i="1"/>
  <c r="J4398" i="1"/>
  <c r="J4401" i="1"/>
  <c r="J4403" i="1"/>
  <c r="J4408" i="1"/>
  <c r="J4411" i="1"/>
  <c r="J4419" i="1"/>
  <c r="J4424" i="1"/>
  <c r="J4431" i="1"/>
  <c r="J4432" i="1"/>
  <c r="J4433" i="1"/>
  <c r="J4434" i="1"/>
  <c r="J4435" i="1"/>
  <c r="J4438" i="1"/>
  <c r="J4442" i="1"/>
  <c r="J4443" i="1"/>
  <c r="J4515" i="1"/>
  <c r="J4517" i="1"/>
  <c r="J4641" i="1"/>
  <c r="J4691" i="1"/>
  <c r="J4734" i="1"/>
  <c r="M3462" i="1"/>
  <c r="M795" i="5"/>
  <c r="L795" i="5"/>
  <c r="N788" i="5"/>
  <c r="M784" i="5"/>
  <c r="L784" i="5"/>
  <c r="N777" i="5"/>
  <c r="M773" i="5"/>
  <c r="L773" i="5"/>
  <c r="M762" i="5"/>
  <c r="L762" i="5"/>
  <c r="M751" i="5"/>
  <c r="L751" i="5"/>
  <c r="M741" i="5"/>
  <c r="L741" i="5"/>
  <c r="M730" i="5"/>
  <c r="L730" i="5"/>
  <c r="M719" i="5"/>
  <c r="L719" i="5"/>
  <c r="M709" i="5"/>
  <c r="L709" i="5"/>
  <c r="M698" i="5"/>
  <c r="L698" i="5"/>
  <c r="M689" i="5"/>
  <c r="L689" i="5"/>
  <c r="M678" i="5"/>
  <c r="L678" i="5"/>
  <c r="M668" i="5"/>
  <c r="L668" i="5"/>
  <c r="M657" i="5"/>
  <c r="L657" i="5"/>
  <c r="M648" i="5"/>
  <c r="L648" i="5"/>
  <c r="M637" i="5"/>
  <c r="L637" i="5"/>
  <c r="M627" i="5"/>
  <c r="L627" i="5"/>
  <c r="N620" i="5"/>
  <c r="M616" i="5"/>
  <c r="L616" i="5"/>
  <c r="N609" i="5"/>
  <c r="M607" i="5"/>
  <c r="L607" i="5"/>
  <c r="M596" i="5"/>
  <c r="L596" i="5"/>
  <c r="M586" i="5"/>
  <c r="L586" i="5"/>
  <c r="M575" i="5"/>
  <c r="L575" i="5"/>
  <c r="N568" i="5"/>
  <c r="M566" i="5"/>
  <c r="L566" i="5"/>
  <c r="M555" i="5"/>
  <c r="L555" i="5"/>
  <c r="N548" i="5"/>
  <c r="M545" i="5"/>
  <c r="L545" i="5"/>
  <c r="M534" i="5"/>
  <c r="L534" i="5"/>
  <c r="M525" i="5"/>
  <c r="L525" i="5"/>
  <c r="M514" i="5"/>
  <c r="L514" i="5"/>
  <c r="N507" i="5"/>
  <c r="M504" i="5"/>
  <c r="L504" i="5"/>
  <c r="N497" i="5"/>
  <c r="M494" i="5"/>
  <c r="L494" i="5"/>
  <c r="N487" i="5"/>
  <c r="M483" i="5"/>
  <c r="L483" i="5"/>
  <c r="N476" i="5"/>
  <c r="N518" i="5"/>
  <c r="N527" i="5"/>
  <c r="N538" i="5"/>
  <c r="N579" i="5"/>
  <c r="N589" i="5"/>
  <c r="N600" i="5"/>
  <c r="N630" i="5"/>
  <c r="N702" i="5"/>
  <c r="N712" i="5"/>
  <c r="N723" i="5"/>
  <c r="N734" i="5"/>
  <c r="N755" i="5"/>
  <c r="N559" i="5"/>
  <c r="N641" i="5"/>
  <c r="N682" i="5"/>
  <c r="N744" i="5"/>
  <c r="N766" i="5"/>
  <c r="N691" i="5"/>
  <c r="N671" i="5"/>
  <c r="N661" i="5"/>
  <c r="N650" i="5"/>
  <c r="L472" i="5"/>
  <c r="M472" i="5"/>
  <c r="L461" i="5"/>
  <c r="M461" i="5"/>
  <c r="N454" i="5"/>
  <c r="L450" i="5"/>
  <c r="M450" i="5"/>
  <c r="L439" i="5"/>
  <c r="M439" i="5"/>
  <c r="L428" i="5"/>
  <c r="M428" i="5"/>
  <c r="N421" i="5"/>
  <c r="L417" i="5"/>
  <c r="M417" i="5"/>
  <c r="N410" i="5"/>
  <c r="N465" i="5"/>
  <c r="N443" i="5"/>
  <c r="N432" i="5"/>
  <c r="L406" i="5"/>
  <c r="M406" i="5"/>
  <c r="L395" i="5"/>
  <c r="M395" i="5"/>
  <c r="L384" i="5"/>
  <c r="M384" i="5"/>
  <c r="L373" i="5"/>
  <c r="M373" i="5"/>
  <c r="L362" i="5"/>
  <c r="M362" i="5"/>
  <c r="L351" i="5"/>
  <c r="M351" i="5"/>
  <c r="L340" i="5"/>
  <c r="M340" i="5"/>
  <c r="L329" i="5"/>
  <c r="M329" i="5"/>
  <c r="L318" i="5"/>
  <c r="M318" i="5"/>
  <c r="L306" i="5"/>
  <c r="M306" i="5"/>
  <c r="N299" i="5"/>
  <c r="N344" i="5"/>
  <c r="N355" i="5"/>
  <c r="N388" i="5"/>
  <c r="N399" i="5"/>
  <c r="N310" i="5"/>
  <c r="N333" i="5"/>
  <c r="N366" i="5"/>
  <c r="N322" i="5"/>
  <c r="N377" i="5"/>
  <c r="M295" i="5"/>
  <c r="L295" i="5"/>
  <c r="M284" i="5"/>
  <c r="L284" i="5"/>
  <c r="M273" i="5"/>
  <c r="L273" i="5"/>
  <c r="M262" i="5"/>
  <c r="L262" i="5"/>
  <c r="M251" i="5"/>
  <c r="L251" i="5"/>
  <c r="N277" i="5"/>
  <c r="N288" i="5"/>
  <c r="N255" i="5"/>
  <c r="N244" i="5"/>
  <c r="N266" i="5"/>
  <c r="M240" i="5"/>
  <c r="L240" i="5"/>
  <c r="M225" i="5"/>
  <c r="L225" i="5"/>
  <c r="M214" i="5"/>
  <c r="L214" i="5"/>
  <c r="M203" i="5"/>
  <c r="L203" i="5"/>
  <c r="N196" i="5"/>
  <c r="N218" i="5"/>
  <c r="N229" i="5"/>
  <c r="N207" i="5"/>
  <c r="M192" i="5"/>
  <c r="L192" i="5"/>
  <c r="M181" i="5"/>
  <c r="L181" i="5"/>
  <c r="M170" i="5"/>
  <c r="L170" i="5"/>
  <c r="M159" i="5"/>
  <c r="L159" i="5"/>
  <c r="M148" i="5"/>
  <c r="L148" i="5"/>
  <c r="N152" i="5"/>
  <c r="N163" i="5"/>
  <c r="N141" i="5"/>
  <c r="N185" i="5"/>
  <c r="N174" i="5"/>
  <c r="M137" i="5"/>
  <c r="L137" i="5"/>
  <c r="M126" i="5"/>
  <c r="L126" i="5"/>
  <c r="N130" i="5"/>
  <c r="N119" i="5"/>
  <c r="M115" i="5"/>
  <c r="L115" i="5"/>
  <c r="M104" i="5"/>
  <c r="L104" i="5"/>
  <c r="M93" i="5"/>
  <c r="L93" i="5"/>
  <c r="M82" i="5"/>
  <c r="L82" i="5"/>
  <c r="N86" i="5"/>
  <c r="N108" i="5"/>
  <c r="N97" i="5"/>
  <c r="N75" i="5"/>
  <c r="M71" i="5"/>
  <c r="L71" i="5"/>
  <c r="M60" i="5"/>
  <c r="L60" i="5"/>
  <c r="M49" i="5"/>
  <c r="L49" i="5"/>
  <c r="N53" i="5"/>
  <c r="N64" i="5"/>
  <c r="N35" i="5"/>
  <c r="M31" i="5"/>
  <c r="L31" i="5"/>
  <c r="L20" i="5"/>
  <c r="M20" i="5"/>
  <c r="L10" i="5"/>
  <c r="M10" i="5"/>
  <c r="N24" i="5"/>
  <c r="N3" i="5"/>
  <c r="N14" i="5"/>
</calcChain>
</file>

<file path=xl/sharedStrings.xml><?xml version="1.0" encoding="utf-8"?>
<sst xmlns="http://schemas.openxmlformats.org/spreadsheetml/2006/main" count="39656" uniqueCount="10383">
  <si>
    <t>Description</t>
  </si>
  <si>
    <t>Material</t>
  </si>
  <si>
    <t xml:space="preserve">Supplier </t>
  </si>
  <si>
    <t>LRT Part</t>
  </si>
  <si>
    <t>Categary</t>
  </si>
  <si>
    <t>UOM</t>
  </si>
  <si>
    <t>Brand</t>
  </si>
  <si>
    <t>Location</t>
  </si>
  <si>
    <t xml:space="preserve"> </t>
  </si>
  <si>
    <t xml:space="preserve">Bal </t>
  </si>
  <si>
    <t>Project</t>
  </si>
  <si>
    <t>Part</t>
  </si>
  <si>
    <t>Po</t>
  </si>
  <si>
    <t>In</t>
  </si>
  <si>
    <t>Out</t>
  </si>
  <si>
    <t>Stock</t>
  </si>
  <si>
    <t>Date</t>
  </si>
  <si>
    <t>Remark</t>
  </si>
  <si>
    <t>Micro Serrated Tip Test Probe</t>
  </si>
  <si>
    <t>100-PRP2559H</t>
  </si>
  <si>
    <t>PROBE</t>
  </si>
  <si>
    <t>PCS</t>
  </si>
  <si>
    <t xml:space="preserve">QA TECH </t>
  </si>
  <si>
    <t>1909-51298</t>
  </si>
  <si>
    <t>WPJ-1908-8820</t>
  </si>
  <si>
    <t>MOQ : 100 </t>
  </si>
  <si>
    <t>Part No</t>
  </si>
  <si>
    <t>Crown Tip Test Probe</t>
  </si>
  <si>
    <t>100-PRP2507S</t>
  </si>
  <si>
    <t>MOQ : 100</t>
  </si>
  <si>
    <t>EX STOCK</t>
  </si>
  <si>
    <t>SELF CLINCHING STANDOFF</t>
  </si>
  <si>
    <t>BSOS-M3-14</t>
  </si>
  <si>
    <t>S/Steel</t>
  </si>
  <si>
    <t>SCREW</t>
  </si>
  <si>
    <t>PEN</t>
  </si>
  <si>
    <t>1909-51227 &amp; 51283</t>
  </si>
  <si>
    <t>WPJ-1908-8829</t>
  </si>
  <si>
    <t>SPARE</t>
  </si>
  <si>
    <t>Supplier Part</t>
  </si>
  <si>
    <t>Element 14</t>
  </si>
  <si>
    <t>D Sub Connector,Filtered,Plug,25 Contacts,DB25</t>
  </si>
  <si>
    <t xml:space="preserve">FDB-25PTI2/1-LF </t>
  </si>
  <si>
    <t>CONNECTOR</t>
  </si>
  <si>
    <t>CLICH</t>
  </si>
  <si>
    <t>1909-51315</t>
  </si>
  <si>
    <t>WPJ-1908-8816</t>
  </si>
  <si>
    <t>WPJ-1907-8697</t>
  </si>
  <si>
    <t>PO : 1908-50655 QTY : 2 PCS REJECT AND WAITI TO REPLACE ELEMENT 14</t>
  </si>
  <si>
    <t>2.5mm Glossy Tubing w bobbin 200 meter</t>
  </si>
  <si>
    <t>LM-TU4251</t>
  </si>
  <si>
    <t>TUBING</t>
  </si>
  <si>
    <t>1 BOX - 200 METER</t>
  </si>
  <si>
    <t>1909-51316</t>
  </si>
  <si>
    <t>L=40MM 1 PC</t>
  </si>
  <si>
    <t>Res 2.2K Ohm 1/4W 5% Axial</t>
  </si>
  <si>
    <t>CFR-25JB-52-2K2</t>
  </si>
  <si>
    <t>RESISTOR</t>
  </si>
  <si>
    <t>1909-51317</t>
  </si>
  <si>
    <t>Braided Sleeving Black ID 6mm </t>
  </si>
  <si>
    <t>C 6TS/6-B</t>
  </si>
  <si>
    <t>1 ROLL = 100 METER</t>
  </si>
  <si>
    <t>L=520MM</t>
  </si>
  <si>
    <t>Board to Board &amp; Mezzanine Connectors 0.40 mm Razor Beam LP Ultra Fine Pitch Terminal Strip</t>
  </si>
  <si>
    <t>ST4-50-2.50-L-D-P-TR</t>
  </si>
  <si>
    <t>A9</t>
  </si>
  <si>
    <t>1909-51318</t>
  </si>
  <si>
    <t>WPJ-1906-8631</t>
  </si>
  <si>
    <t xml:space="preserve">HDMI angle male to female panel mount Extension Cable </t>
  </si>
  <si>
    <t>GLAB0746C2FWL</t>
  </si>
  <si>
    <t>PN-0000031481</t>
  </si>
  <si>
    <t>CABLE</t>
  </si>
  <si>
    <t>1909-51339</t>
  </si>
  <si>
    <t>WPJ-1904-8389 (9)</t>
  </si>
  <si>
    <t>WPJ-1908-8847</t>
  </si>
  <si>
    <t>D Sub Filter Adapter 9 Pole</t>
  </si>
  <si>
    <t>SOCKET</t>
  </si>
  <si>
    <t>1909-51468</t>
  </si>
  <si>
    <t>1909-51672</t>
  </si>
  <si>
    <t>WPJ-1910-8950</t>
  </si>
  <si>
    <t>Conductive Shielding Gasket Stampings</t>
  </si>
  <si>
    <t>PIN</t>
  </si>
  <si>
    <t>WR-PHD 2.54 mm Angled Socket Header</t>
  </si>
  <si>
    <t>613005143121</t>
  </si>
  <si>
    <t>1909-51475 REQUEST BY SHAMSUI (yee taken already</t>
  </si>
  <si>
    <t>Sample</t>
  </si>
  <si>
    <t>CONN HEADER VERT 5POS 2.54MM</t>
  </si>
  <si>
    <t>1909-51475 REQUEST BY SHAMSUI (For Yee taken already)</t>
  </si>
  <si>
    <t>sample</t>
  </si>
  <si>
    <t>Emergency Stop Switch 22mm</t>
  </si>
  <si>
    <t>SZPBM-ES542</t>
  </si>
  <si>
    <t>PUSH BUTTON</t>
  </si>
  <si>
    <t>1909-51518</t>
  </si>
  <si>
    <t>CONN RCPT 1.4 HDMI 19POS SMD R/A</t>
  </si>
  <si>
    <t>PN-0000031761</t>
  </si>
  <si>
    <t>1909-51567</t>
  </si>
  <si>
    <t>BUY FROM CHINA, cf BUY WANT</t>
  </si>
  <si>
    <t>Cam Follower</t>
  </si>
  <si>
    <t>CF4UUA</t>
  </si>
  <si>
    <t>COM FOLLOWER</t>
  </si>
  <si>
    <t>1909-51667</t>
  </si>
  <si>
    <t>WPJ-1909-8853</t>
  </si>
  <si>
    <t>Male Connecto</t>
  </si>
  <si>
    <t>KQ2H06-G02A</t>
  </si>
  <si>
    <t>CONNECTTOR</t>
  </si>
  <si>
    <t>1909-51661</t>
  </si>
  <si>
    <t>MOQ : 5</t>
  </si>
  <si>
    <t>WPJ-1904-8389 (5)</t>
  </si>
  <si>
    <t>Fitting</t>
  </si>
  <si>
    <t>KQ2H08-G02A</t>
  </si>
  <si>
    <t>FITTING</t>
  </si>
  <si>
    <t>Male Connector</t>
  </si>
  <si>
    <t>KQ2H08-G03A</t>
  </si>
  <si>
    <t>MOQ: 5</t>
  </si>
  <si>
    <t>Male Run Tee</t>
  </si>
  <si>
    <t>KQ2Y08-G01A</t>
  </si>
  <si>
    <t>1909-5661</t>
  </si>
  <si>
    <t>Pocket Pull - (Equivalent : AP-197-1-3-Black) Takigen</t>
  </si>
  <si>
    <t>EP-0516B</t>
  </si>
  <si>
    <t>Pocket Pull</t>
  </si>
  <si>
    <t>pus</t>
  </si>
  <si>
    <t>takigen</t>
  </si>
  <si>
    <t>1909-51685</t>
  </si>
  <si>
    <t>1909-51515</t>
  </si>
  <si>
    <t>WPJ-J1904-8389 (9)</t>
  </si>
  <si>
    <t>WPJ-1904-8389 (10)</t>
  </si>
  <si>
    <t>WPJ-1904-8389 (2)</t>
  </si>
  <si>
    <t>40X40X10 Copper Heatsink</t>
  </si>
  <si>
    <t>PN-0000031709</t>
  </si>
  <si>
    <t>1909-51372</t>
  </si>
  <si>
    <t>SMA Crimp Plugs</t>
  </si>
  <si>
    <t>RG174</t>
  </si>
  <si>
    <t>1909-51769</t>
  </si>
  <si>
    <t>NEMA 8 - Hollow Shaft Stepper Motor</t>
  </si>
  <si>
    <t>PHH20Y28-406</t>
  </si>
  <si>
    <t>1910-52274</t>
  </si>
  <si>
    <t>White USB 2.0 Hi-Speed 4-Port Splitter Hub Adapter For PC Computer</t>
  </si>
  <si>
    <t>PN-0000031880</t>
  </si>
  <si>
    <t>1910-52196</t>
  </si>
  <si>
    <t>WPJ-1904-8389</t>
  </si>
  <si>
    <t>shamsui issue</t>
  </si>
  <si>
    <t>UGREEN 0.5Meter Micro USB Cable USB 2.0 A Male to Micro B (1 meter)</t>
  </si>
  <si>
    <t>PN-0000031879</t>
  </si>
  <si>
    <t>1910-52194</t>
  </si>
  <si>
    <t>1910-52195</t>
  </si>
  <si>
    <t>40X40X10 Heatsink</t>
  </si>
  <si>
    <t>CABINET2B</t>
  </si>
  <si>
    <t>1910-52275</t>
  </si>
  <si>
    <t>WPJ-190-8959</t>
  </si>
  <si>
    <t>NEMA 23 (Body Length 54.5mm)</t>
  </si>
  <si>
    <t>PKP266D28A2</t>
  </si>
  <si>
    <t>1910-52280</t>
  </si>
  <si>
    <t>WPJ-1910-8847</t>
  </si>
  <si>
    <t>WPJ-1910-8959</t>
  </si>
  <si>
    <t>WPJ-1910-8908</t>
  </si>
  <si>
    <t>WPJ-1910-8912</t>
  </si>
  <si>
    <t>NEMA 17 (Body Length 62mm)</t>
  </si>
  <si>
    <t>PKP246D23A2</t>
  </si>
  <si>
    <t>WPJ-1910-8915</t>
  </si>
  <si>
    <t>Pressure Sensor (-100~0Kpa) 0.2~2.7V@ 3.3V</t>
  </si>
  <si>
    <t>XGZP6847100KPGN33</t>
  </si>
  <si>
    <t>1910-52253</t>
  </si>
  <si>
    <t>1907-50185</t>
  </si>
  <si>
    <t>Tic T825 Usb Multi Interface Stepper Motor Controller</t>
  </si>
  <si>
    <t>1910-52273</t>
  </si>
  <si>
    <t>Tic T249 Usb Multi Interface Stepper Motor Controller</t>
  </si>
  <si>
    <t>Tic T500 Usb Multi Interface Stepper Motor Controller</t>
  </si>
  <si>
    <t>Male Elbow Fitting 4MM X 1/8</t>
  </si>
  <si>
    <t>KQ2L04-01AS</t>
  </si>
  <si>
    <t>1910-52390</t>
  </si>
  <si>
    <t>Rotary One Touch Fitting</t>
  </si>
  <si>
    <t>KSH04-M5</t>
  </si>
  <si>
    <t>Male Elbow</t>
  </si>
  <si>
    <t>KQ2L06-G01A</t>
  </si>
  <si>
    <t>Nema 17 Bipolar Stepper Motor 65Ncm(92oz.in) 2.1A 17HS24-2104S</t>
  </si>
  <si>
    <t>17HS24-2104S</t>
  </si>
  <si>
    <t>1512-21017</t>
  </si>
  <si>
    <t>WPJ-1909-8847</t>
  </si>
  <si>
    <t>WPJ-19108908</t>
  </si>
  <si>
    <t>Nema 23 CNC Stepper Motor 2.8A 1.9Nm(269oz.in) 23HS30-2804S</t>
  </si>
  <si>
    <t>23HS30-2804S</t>
  </si>
  <si>
    <t>3/2-way solenoid valve, 24Vv</t>
  </si>
  <si>
    <t>YSV321-DP-SC2-CD2-D4</t>
  </si>
  <si>
    <t>1910-52413</t>
  </si>
  <si>
    <t>Hose Nipple</t>
  </si>
  <si>
    <t>M-5H-4</t>
  </si>
  <si>
    <t>1910-52340</t>
  </si>
  <si>
    <t>PL 04M5C</t>
  </si>
  <si>
    <t>Sleeve Bearing</t>
  </si>
  <si>
    <t>JSM-1012-15</t>
  </si>
  <si>
    <t>Deep Groove Ball Bearing</t>
  </si>
  <si>
    <t>Dual Voltage Power Supply</t>
  </si>
  <si>
    <t>HDR-100-24</t>
  </si>
  <si>
    <t>Silencer</t>
  </si>
  <si>
    <t>MSL-S-M5</t>
  </si>
  <si>
    <t>Male Straight</t>
  </si>
  <si>
    <t>PC0401C</t>
  </si>
  <si>
    <t>Union Tee</t>
  </si>
  <si>
    <t>PE5/32M</t>
  </si>
  <si>
    <t>Compact One-Touch Fitting PL-C Male Elbow</t>
  </si>
  <si>
    <t>PL 06M5C</t>
  </si>
  <si>
    <t>Miniature Ball Bearing - (S/Steel)</t>
  </si>
  <si>
    <t>606ZZ</t>
  </si>
  <si>
    <t>Miniature Ball Bearing - S/Steel</t>
  </si>
  <si>
    <t>623ZZ</t>
  </si>
  <si>
    <t>Vacuum Cup</t>
  </si>
  <si>
    <t>ZP2-B08MB-GN</t>
  </si>
  <si>
    <t>wpj-1910-8951</t>
  </si>
  <si>
    <t>ASM 1905-0011-1158</t>
  </si>
  <si>
    <t>Oil Free Bushing</t>
  </si>
  <si>
    <t>SHFZ12-10</t>
  </si>
  <si>
    <t>Barb Elbow For Soft Nylon</t>
  </si>
  <si>
    <t>MS-5ALHU-4</t>
  </si>
  <si>
    <t>Quick Exhaust</t>
  </si>
  <si>
    <t>AQ1500-M5</t>
  </si>
  <si>
    <t>INLINE SPEED CONTROLLER</t>
  </si>
  <si>
    <t>AS1002F-04A</t>
  </si>
  <si>
    <t>PEED CONTROLLER 6MM X M5</t>
  </si>
  <si>
    <t>AS1211F-M5-06A</t>
  </si>
  <si>
    <t>Pneumatic Double Y Tube-to-Tube Adapter</t>
  </si>
  <si>
    <t>KQ2UD06-08A</t>
  </si>
  <si>
    <t>BMA Plug To SMA Jack</t>
  </si>
  <si>
    <t>69P78JBS5BA001B</t>
  </si>
  <si>
    <t>1910-52414</t>
  </si>
  <si>
    <t>ASM 1908-0021-1111</t>
  </si>
  <si>
    <t>O Ring</t>
  </si>
  <si>
    <t>Thickness 1.5mm, ID 4mm, OD 7mm</t>
  </si>
  <si>
    <t>1910-52415</t>
  </si>
  <si>
    <t>ASM 1908-0021-1112</t>
  </si>
  <si>
    <t>Thickness 1.5mm, ID 5mm, OD8mm</t>
  </si>
  <si>
    <t>Thickness 1mm,ID3.5mm,OD5.5mm</t>
  </si>
  <si>
    <t>WPJ-1910-8951</t>
  </si>
  <si>
    <t>Thickness 2mm, ID 21mm, OD 25mm</t>
  </si>
  <si>
    <t>Steel Ball</t>
  </si>
  <si>
    <t>Ø3.0</t>
  </si>
  <si>
    <t>1910-52315</t>
  </si>
  <si>
    <t>wpj-1910-8950</t>
  </si>
  <si>
    <t>asm 1908-0021-1112</t>
  </si>
  <si>
    <t>ASM 105-0011-1158</t>
  </si>
  <si>
    <t>Ø3.50</t>
  </si>
  <si>
    <t>No.</t>
  </si>
  <si>
    <t>Part No.</t>
  </si>
  <si>
    <t>MPN</t>
  </si>
  <si>
    <t>MFR</t>
  </si>
  <si>
    <t>Date Change</t>
  </si>
  <si>
    <t>Update by</t>
  </si>
  <si>
    <t>Part Name</t>
  </si>
  <si>
    <t>Discription</t>
  </si>
  <si>
    <t>Quantity</t>
  </si>
  <si>
    <t xml:space="preserve">Rack </t>
  </si>
  <si>
    <t>Rack No</t>
  </si>
  <si>
    <t>Category</t>
  </si>
  <si>
    <t>TYPE</t>
  </si>
  <si>
    <t xml:space="preserve">Attachment </t>
  </si>
  <si>
    <t>PO No</t>
  </si>
  <si>
    <t>LRT Part No</t>
  </si>
  <si>
    <t>AUDIT 15/11/2018</t>
  </si>
  <si>
    <t>2AH-6 - (woken code : WFA0602-6)</t>
  </si>
  <si>
    <t>Inmet</t>
  </si>
  <si>
    <t>Shamsul</t>
  </si>
  <si>
    <t>Update MFR</t>
  </si>
  <si>
    <t>2AH Fixed Coaxial Attenuator 6dB</t>
  </si>
  <si>
    <t>ATTENUATOR - (2AH-6) - CONN, ATTENUATOR, SMA, 6DB - 6GHZ SMA 6DB F</t>
  </si>
  <si>
    <t>CABINET</t>
  </si>
  <si>
    <t>1A1</t>
  </si>
  <si>
    <t>ADAPTER</t>
  </si>
  <si>
    <t>ELECTRICAL</t>
  </si>
  <si>
    <t>1802-38299</t>
  </si>
  <si>
    <t>SF-MQK50+</t>
  </si>
  <si>
    <t>Mini Circuits</t>
  </si>
  <si>
    <t>o</t>
  </si>
  <si>
    <t xml:space="preserve">Adapter,SMA-F To SMA-M,50Ohm DC To 18GHz </t>
  </si>
  <si>
    <t>SMA CONNECTOR</t>
  </si>
  <si>
    <t>1706-33221</t>
  </si>
  <si>
    <t>5490 -  ( Field code : FC10MRR-FC10F-3)</t>
  </si>
  <si>
    <t>Amphenol RF</t>
  </si>
  <si>
    <t>Update MPN</t>
  </si>
  <si>
    <t>Conn Adapt Plug To Jack SMA</t>
  </si>
  <si>
    <t>SMA RADIUS RIGHT ANGLE MALE TO FEMALE ADAPTER</t>
  </si>
  <si>
    <t>1803-38464</t>
  </si>
  <si>
    <t>142-0403-011</t>
  </si>
  <si>
    <t>Cinch Connectivity</t>
  </si>
  <si>
    <t>Conn SMA Plug Str 50Ohm Crimp</t>
  </si>
  <si>
    <t>SMA CRIMP PLUGS</t>
  </si>
  <si>
    <t>1607-26561</t>
  </si>
  <si>
    <t>ANNE-50+</t>
  </si>
  <si>
    <t>Termination SMA Male 50Ohm</t>
  </si>
  <si>
    <t>MINI CIRCUITS</t>
  </si>
  <si>
    <t>NO HAVE PART NO. &amp; CAN'T FOUND AT PMS SYSTEM</t>
  </si>
  <si>
    <t>50om</t>
  </si>
  <si>
    <t>Termination SMA 50Ohm</t>
  </si>
  <si>
    <t>50OHM MINI CIRCUIT TERMINATOR</t>
  </si>
  <si>
    <t>Pcs</t>
  </si>
  <si>
    <t>Conn Adapt Jack-Jack SMA 50Ohm</t>
  </si>
  <si>
    <t>SMA BULKHEAD JACK TO JACK (FEMALE TO FE,ALE)</t>
  </si>
  <si>
    <t>1605-24387</t>
  </si>
  <si>
    <t>SMA Right Angle M-F</t>
  </si>
  <si>
    <t>142-0901-941</t>
  </si>
  <si>
    <t>SMA RIGHT ANGLE M-F - NE00026 (132172)</t>
  </si>
  <si>
    <t>1606-25788</t>
  </si>
  <si>
    <t>CAB.719</t>
  </si>
  <si>
    <t>Taoglas Limited</t>
  </si>
  <si>
    <t>Cbl Assy SMA-U.FL 3.937"</t>
  </si>
  <si>
    <t>HIROSE U.FL TO SMA(F) 100MM</t>
  </si>
  <si>
    <t>1709=34908</t>
  </si>
  <si>
    <t>HRMJ-U.FLP-ST2(40)</t>
  </si>
  <si>
    <t>Hirose Electric Co Ltd</t>
  </si>
  <si>
    <t>Conn Adapt SMA Jack To U.FL Plug</t>
  </si>
  <si>
    <t>HIROSE PROBE</t>
  </si>
  <si>
    <t>1608-27509</t>
  </si>
  <si>
    <t>ABB-507C Antistatic</t>
  </si>
  <si>
    <t>ESD Brush</t>
  </si>
  <si>
    <t>PO2007-58368-LRT</t>
  </si>
  <si>
    <t>328953744_MY-456586789</t>
  </si>
  <si>
    <t>4 CHANNEL BI-DIRECTIONAL LOGIC LEVEL SHIFTER CONVERTER 3.3V-5V FOR ARDUINO</t>
  </si>
  <si>
    <t>OE702ELAB88S5RANMY-96105947</t>
  </si>
  <si>
    <t>A4988 RepRap StepStick Pololu A4988 Stepper Driver for 3D ramConsole Game 1.4 5pcs(Black)</t>
  </si>
  <si>
    <t>HRMJ-U.FLP(40)</t>
  </si>
  <si>
    <t>Hiroshi Clip (Silver)</t>
  </si>
  <si>
    <t>1A2</t>
  </si>
  <si>
    <t>CLIP</t>
  </si>
  <si>
    <t>CAN'T FOUND AT PMS SYSTEM</t>
  </si>
  <si>
    <t>SM4892</t>
  </si>
  <si>
    <t>Fairview Microwave</t>
  </si>
  <si>
    <t xml:space="preserve">Shamsul </t>
  </si>
  <si>
    <t>SMA Female To SSMA Male Adapter 50Ohm</t>
  </si>
  <si>
    <t>ADAPTOR SMA/F-SSMA/M</t>
  </si>
  <si>
    <t>1308-02985</t>
  </si>
  <si>
    <t>EXIST</t>
  </si>
  <si>
    <t>MM201551</t>
  </si>
  <si>
    <t>MURATA PROBE</t>
  </si>
  <si>
    <t>RSmRSfQC</t>
  </si>
  <si>
    <t>Data Alliance</t>
  </si>
  <si>
    <t>RP-SMA Quick Connect Male to Female Adapter</t>
  </si>
  <si>
    <t>SMA Connector - Female To Male</t>
  </si>
  <si>
    <t>1809-43068</t>
  </si>
  <si>
    <t>RSmSf</t>
  </si>
  <si>
    <t>SMA CONNECTOR - FEMALE</t>
  </si>
  <si>
    <t>U-FLP-HRMMJ-ST4</t>
  </si>
  <si>
    <t>ST4-X33 HIROSHI PROBE</t>
  </si>
  <si>
    <t>ATT-0590-06-SSM-02</t>
  </si>
  <si>
    <t>Attenuators-Interconnects 6dB DC-18 GHz</t>
  </si>
  <si>
    <t>SSMA ATTENUATOR</t>
  </si>
  <si>
    <t>ATTENUATOR</t>
  </si>
  <si>
    <t>50ohm</t>
  </si>
  <si>
    <t>Pomona Electronics</t>
  </si>
  <si>
    <t>50ohm terminator (ISC-583-6fa)</t>
  </si>
  <si>
    <t>1606-25797</t>
  </si>
  <si>
    <t>SCI-56-745-001</t>
  </si>
  <si>
    <t>DB50 SHIELDED RF CONNECTOR</t>
  </si>
  <si>
    <t>1A3</t>
  </si>
  <si>
    <t>SCI-56F-745-003-LI</t>
  </si>
  <si>
    <t>DB50 SHIELDED RF CONNECTOR 1000PF</t>
  </si>
  <si>
    <t xml:space="preserve">SMA </t>
  </si>
  <si>
    <t>SMA R/A CONNECTOR MODIFIED-CHINA</t>
  </si>
  <si>
    <t>1A4</t>
  </si>
  <si>
    <t xml:space="preserve">PLUG ADAPTER IEC 60320 C14 PLUG TO NEMA </t>
  </si>
  <si>
    <t>1A5</t>
  </si>
  <si>
    <t>1709-34975</t>
  </si>
  <si>
    <t>TS-18041808</t>
  </si>
  <si>
    <t>USB3.0 4 PORT USB HUB</t>
  </si>
  <si>
    <t>1805-40519</t>
  </si>
  <si>
    <t>ZS-X4A</t>
  </si>
  <si>
    <t>ULTRA DC MOTOR PWM GOVERNOR 3V-35V SPEED SWITCH SMALL LE</t>
  </si>
  <si>
    <t>PO1808-42339-LRT</t>
  </si>
  <si>
    <t>PN-0000032172</t>
  </si>
  <si>
    <t>Module USB to TTL USB to Serial Port UART Brush Board</t>
  </si>
  <si>
    <t>MODULE USB TO TTL USB TO SERIAL PORT UART BRUSH BOARD (CP2102)</t>
  </si>
  <si>
    <t>PO1911-53132-LRT</t>
  </si>
  <si>
    <t>PP000615</t>
  </si>
  <si>
    <t>Pro Power</t>
  </si>
  <si>
    <t>SMA SOCKET CRIMP TYPE RG223</t>
  </si>
  <si>
    <t>1B1</t>
  </si>
  <si>
    <t>00200CA2GP901L</t>
  </si>
  <si>
    <t>Woken</t>
  </si>
  <si>
    <t>Update Part Name</t>
  </si>
  <si>
    <t>SMA End Launch PCB Connector</t>
  </si>
  <si>
    <t>SMA-END LAUNCH JACK RECEPTACLE - WOKEN</t>
  </si>
  <si>
    <t>1607-26637</t>
  </si>
  <si>
    <t>00200CA2GP916L</t>
  </si>
  <si>
    <t>SMA End Launch PCB Connector 1mm</t>
  </si>
  <si>
    <t>1.0MM (12.4GHZ SMA (F) 180 °,G,END LAUNCH PCB CONNECTOR/</t>
  </si>
  <si>
    <t>1509-18601</t>
  </si>
  <si>
    <t>73251-1352</t>
  </si>
  <si>
    <t>Molex</t>
  </si>
  <si>
    <t>8006933-RF CONNECTORS/COAXIAL CONNECTORS SMA VERT PCB SMT (73251-1352)</t>
  </si>
  <si>
    <t xml:space="preserve">8006933-RF CONNECTORS/COAXIAL CONNECTORS SMA VERT PCB SMT </t>
  </si>
  <si>
    <t>1612-29390</t>
  </si>
  <si>
    <t>142-0701-851</t>
  </si>
  <si>
    <t>Conn SMA Jack Str 50Ohm Edge Mnt</t>
  </si>
  <si>
    <t>SMA END LAUNCH JACK</t>
  </si>
  <si>
    <t>142-0711-821</t>
  </si>
  <si>
    <t>RF COAXIAL SMA STRAIGHT JACK 50OHM</t>
  </si>
  <si>
    <t>6965NS502BD000B</t>
  </si>
  <si>
    <t>FL69J5-NS502</t>
  </si>
  <si>
    <t>Frontlynk</t>
  </si>
  <si>
    <t>BMA PCB Mount Jack</t>
  </si>
  <si>
    <t>BMA PCB MOUNT JACK</t>
  </si>
  <si>
    <t>1501-13814</t>
  </si>
  <si>
    <t>6915NS502BD000B</t>
  </si>
  <si>
    <t>BMA PCB MOUNT PLUG</t>
  </si>
  <si>
    <t>123001-MODIFIED</t>
  </si>
  <si>
    <t>SMA BULKHEAD MODIFIED</t>
  </si>
  <si>
    <t>SMA CRIMP PLUG FOR MODIFY</t>
  </si>
  <si>
    <t>1B2</t>
  </si>
  <si>
    <t>RG402</t>
  </si>
  <si>
    <t>Conn SMA Plug Str 50Ohm Solder</t>
  </si>
  <si>
    <t>SMA STRAIGHT PLUG-RG402 - OLU002</t>
  </si>
  <si>
    <t>PLUG</t>
  </si>
  <si>
    <t>SFL405 RF CABLE BLUE</t>
  </si>
  <si>
    <t>TS-160208010-SMA CONN STR SOLDER TYPE RF BLUE CABLE</t>
  </si>
  <si>
    <t>SM3717</t>
  </si>
  <si>
    <t>RA SSMA Male To SSMA Female Adapter</t>
  </si>
  <si>
    <t>ADAPTOR SSMA/M-SSMA/F RA</t>
  </si>
  <si>
    <t>8589-0853</t>
  </si>
  <si>
    <t>SMA FEMALE TO SMA FEMALE BULKHEAD ADAPTER 50OHM</t>
  </si>
  <si>
    <t>1602-22391</t>
  </si>
  <si>
    <t>NA</t>
  </si>
  <si>
    <t>USB to Micro USB Cable</t>
  </si>
  <si>
    <t>PO2008-59302-LRT</t>
  </si>
  <si>
    <t>HRM-PA-PJ(F)-1(40)</t>
  </si>
  <si>
    <t>Hiroshi Adaptor-HRM-PA-PJ(F)-1</t>
  </si>
  <si>
    <t>1B3</t>
  </si>
  <si>
    <t>1809-43066</t>
  </si>
  <si>
    <t>BW-S6W2+</t>
  </si>
  <si>
    <t>Precision Fixed Attenuator 50Ohm 6dB</t>
  </si>
  <si>
    <t>18GHZ 6DB FIXED ATTENUATOR BW-S6W2+</t>
  </si>
  <si>
    <t>1608-27000</t>
  </si>
  <si>
    <t>SFL 405</t>
  </si>
  <si>
    <t>SMA STRAIGHT</t>
  </si>
  <si>
    <t>SMA STRAIGHT CONNECTOR (CHINA) FOR RF BLUE CABLE</t>
  </si>
  <si>
    <t>SMA-J-P-H-ST-EM1</t>
  </si>
  <si>
    <t>Samtec Inc</t>
  </si>
  <si>
    <t>1.6MM-SMA, FEMALE, STRAIGHT, PCB RF CONNECTOR</t>
  </si>
  <si>
    <t>1B4</t>
  </si>
  <si>
    <t>1606-25404</t>
  </si>
  <si>
    <t>HRMP-ML51LP-DTR178-350RS</t>
  </si>
  <si>
    <t>RF Adapters-Between Series ML51 Series Adaptor</t>
  </si>
  <si>
    <t>CABLE,RF</t>
  </si>
  <si>
    <t>1603-23119</t>
  </si>
  <si>
    <t>D SUB FILTER ADAPTER 9 POLE</t>
  </si>
  <si>
    <t>PO1912-53670-LRT</t>
  </si>
  <si>
    <t>CONDUCTIVE SHIELDING GASKET STAMPINGS</t>
  </si>
  <si>
    <t>GASKETS</t>
  </si>
  <si>
    <t>WE-D-SUB D-SUB-Filter Solder Cup (9Poles)</t>
  </si>
  <si>
    <t>WE-D-SUB D-SUB-Filter Adapter (25Poles)</t>
  </si>
  <si>
    <t>D-Sub Adapters &amp; Gender Changers D-Sub Filteradapter</t>
  </si>
  <si>
    <t>6961ES509BD001B</t>
  </si>
  <si>
    <t>BMA FLOATING FLANGE</t>
  </si>
  <si>
    <t>BMA FLOATING FLANGE MOUNT PANEL SOLDER JACK</t>
  </si>
  <si>
    <t>1C1</t>
  </si>
  <si>
    <t>1505-15796</t>
  </si>
  <si>
    <t>69P78P-BR5BF001</t>
  </si>
  <si>
    <t>BMA R/A Bulkhead Plug To SMA Plug Adaptor</t>
  </si>
  <si>
    <t>1C2</t>
  </si>
  <si>
    <t>1507-17151</t>
  </si>
  <si>
    <t>69P78PNS5BD001B</t>
  </si>
  <si>
    <t>BMA PLUG TO SMA PLUG ADAPTOR</t>
  </si>
  <si>
    <t>BMA Plug To SMA Plug Adaptor</t>
  </si>
  <si>
    <t>1C3</t>
  </si>
  <si>
    <t>1805-40284</t>
  </si>
  <si>
    <t>Bo-Jiang Technology</t>
  </si>
  <si>
    <t>Adaptor BMA Plug To SMA Jack</t>
  </si>
  <si>
    <t>BMA floating mounting panel jack adaptor</t>
  </si>
  <si>
    <t>1505-155601</t>
  </si>
  <si>
    <t>BMA-JF5Y</t>
  </si>
  <si>
    <t>BMA -M- PANEL MOUNT CRIMP TYPE</t>
  </si>
  <si>
    <t>1C4</t>
  </si>
  <si>
    <t>1605-24850</t>
  </si>
  <si>
    <t>7811NS502BD000B</t>
  </si>
  <si>
    <t>SMA Crimp Plug</t>
  </si>
  <si>
    <t>SMA CRIMP PLUG FOR RG-55/U,142A/U,223/U,400/U</t>
  </si>
  <si>
    <t>1D1</t>
  </si>
  <si>
    <t>1605-24849</t>
  </si>
  <si>
    <t>PN-0000032050</t>
  </si>
  <si>
    <t>RIGHT ANGLED HDMI MALE TO FEMALE EXTENSION CABLE</t>
  </si>
  <si>
    <t>1D2</t>
  </si>
  <si>
    <t>PO1910-52464-LRT</t>
  </si>
  <si>
    <t>PN-0000032042</t>
  </si>
  <si>
    <t>HDMI Male To Male Right Angle Cable 0.5m</t>
  </si>
  <si>
    <t>1D3</t>
  </si>
  <si>
    <t>HDMI ANGLE MALE TO FEMALE PANEL MOUNT EXT.CABLE</t>
  </si>
  <si>
    <t>HDMI ANGLE MALE TO FEMALE PANEL MOUNT EXT CABLE</t>
  </si>
  <si>
    <t>PO2004-56260-LRT</t>
  </si>
  <si>
    <t>PN-0000035609</t>
  </si>
  <si>
    <t>HDMI Male Straight Male To Male Cable 5m</t>
  </si>
  <si>
    <t>1D4</t>
  </si>
  <si>
    <t>RS485-TTL-3350</t>
  </si>
  <si>
    <t>RS485 TO TTL BOARD</t>
  </si>
  <si>
    <t>PN-0000031656</t>
  </si>
  <si>
    <t>TTL TURN RS485 MODULE 485 TO SERIAL UART LEVEL MUTUAL CONVERSION HARDWARE AUTOMATIC FLOW CONTROL</t>
  </si>
  <si>
    <t>SI-00062453</t>
  </si>
  <si>
    <t>PN-0000032488</t>
  </si>
  <si>
    <t>FULL CORE 19+1 HDMI EXT CABLE WITH NUT</t>
  </si>
  <si>
    <t>PN-0000035128</t>
  </si>
  <si>
    <t>USB 3.0 Type A Male To Female Extension</t>
  </si>
  <si>
    <t>PN-0000034974</t>
  </si>
  <si>
    <t>Male to Female Panel Mount LAN Ethernet Network Cable</t>
  </si>
  <si>
    <t>PN-0000032117</t>
  </si>
  <si>
    <t>DUAL PORT USB 2.0A MALE TO FEMALE 30CM</t>
  </si>
  <si>
    <t>RR-AUMCB-12G</t>
  </si>
  <si>
    <t>USB 2.0 A TO UP ANGLE MICRO-B CABLE</t>
  </si>
  <si>
    <t>USB 2.0 Hi-Speed 4-Port Splitter Hub Adapter</t>
  </si>
  <si>
    <t>182-8490</t>
  </si>
  <si>
    <t>Male USB A to Male Mini USB B USB Cable, 0.5m</t>
  </si>
  <si>
    <t>'0494714</t>
  </si>
  <si>
    <t>494-714</t>
  </si>
  <si>
    <t>RS Pro</t>
  </si>
  <si>
    <t>RS Transpatent 200 ml Aerosol Conformal Coating For PCBs</t>
  </si>
  <si>
    <t>RS Transpatent 200 ml aerosol Conformal Coating For PCBs, Silicone</t>
  </si>
  <si>
    <t>2A1</t>
  </si>
  <si>
    <t>SERVICE</t>
  </si>
  <si>
    <t>803-2-1.500V</t>
  </si>
  <si>
    <t>Meca Electronics</t>
  </si>
  <si>
    <t>3 Way SMA Female Power Divider/Combiner</t>
  </si>
  <si>
    <t>3 WAY POWER DIVIDER / COMBINER (P/N : 803-2-1.500V)</t>
  </si>
  <si>
    <t>DETECTOR</t>
  </si>
  <si>
    <t>1608-27025</t>
  </si>
  <si>
    <t>SF600</t>
  </si>
  <si>
    <t>HDMI FILTERED BOARD</t>
  </si>
  <si>
    <t>MECHANICAL</t>
  </si>
  <si>
    <t>PO1710-35498-LRT</t>
  </si>
  <si>
    <t>USB F TO B M</t>
  </si>
  <si>
    <t>UAD011FM</t>
  </si>
  <si>
    <t>L-Com</t>
  </si>
  <si>
    <t>USB Adapter,Type A Female/Type B Male</t>
  </si>
  <si>
    <t>USB A FEMALE TO B MALE ADAPTER</t>
  </si>
  <si>
    <t>HFS-840201051 A 5629-V2</t>
  </si>
  <si>
    <t>COAXIAL RF TEST PROBE</t>
  </si>
  <si>
    <t>1612-29628</t>
  </si>
  <si>
    <t>U.FLP-ML51.J-PA(F)-ST</t>
  </si>
  <si>
    <t>RF Connector Adapter</t>
  </si>
  <si>
    <t>PROBE,RF</t>
  </si>
  <si>
    <t>1603-22936</t>
  </si>
  <si>
    <t>OE702ELAA6F51RANMY-1</t>
  </si>
  <si>
    <t>AD-USB-AFPM</t>
  </si>
  <si>
    <t>Networx</t>
  </si>
  <si>
    <t>USB2.0 Adapter-USB A Female To PS/2 Male</t>
  </si>
  <si>
    <t>FEMALE USB TO MALE PS2</t>
  </si>
  <si>
    <t>d</t>
  </si>
  <si>
    <t>USB 2.0 FF</t>
  </si>
  <si>
    <t>A-USB-4</t>
  </si>
  <si>
    <t>Assmann WSW Components</t>
  </si>
  <si>
    <t>Adapter USB A Rcpt To USB A Rcpt</t>
  </si>
  <si>
    <t>USB FEMALE TO FEMALE CONNECTOR</t>
  </si>
  <si>
    <t>1707-33107</t>
  </si>
  <si>
    <t>USB 2.2 FF</t>
  </si>
  <si>
    <t>USB FEMALE TO FEMALE</t>
  </si>
  <si>
    <t>USB 2.2 FEMALE TO FEMALE CONNECTOR</t>
  </si>
  <si>
    <t>PO</t>
  </si>
  <si>
    <t>LEAF 1</t>
  </si>
  <si>
    <t>LEAF 1-GOLD PLATING (1608-000053)</t>
  </si>
  <si>
    <t>LEAF 1-GOLD PLATING</t>
  </si>
  <si>
    <t>-</t>
  </si>
  <si>
    <t>MM121491</t>
  </si>
  <si>
    <t>Murata</t>
  </si>
  <si>
    <t>RF Connector/Adapter SMA Murata</t>
  </si>
  <si>
    <t>MURATA-COAXIAL CONNECTOR-MM121491</t>
  </si>
  <si>
    <t>2A2</t>
  </si>
  <si>
    <t>1702-30097</t>
  </si>
  <si>
    <t>DT1100</t>
  </si>
  <si>
    <t>HIGHEST DIGITAL RACING SERVO</t>
  </si>
  <si>
    <t>Servo Actuator</t>
  </si>
  <si>
    <t>MOTOR</t>
  </si>
  <si>
    <t>DT1100 - repair</t>
  </si>
  <si>
    <t>REPAIR SERVO CORELESS MOTOR - HI-REPAIR-01</t>
  </si>
  <si>
    <t>Servo Actuator- after repair (for RMA)</t>
  </si>
  <si>
    <t>2A3</t>
  </si>
  <si>
    <t>USBI/O 24 Dip R</t>
  </si>
  <si>
    <t>ELEXOL USBIO24 DIP R</t>
  </si>
  <si>
    <t>PO1907-50261-LRT</t>
  </si>
  <si>
    <t>1608-000023</t>
  </si>
  <si>
    <t>RE TESTER DIAPHRAGM REV3 (34MM Z 9MM X RF TESTER DIAPHRAGM) PRO CODE : LRT/FIX 1312-0008 - (TEAR STRENGTH SILICONE 65ᵒ)</t>
  </si>
  <si>
    <t>Assembly Technique/Detector</t>
  </si>
  <si>
    <t xml:space="preserve">MECHANICAL </t>
  </si>
  <si>
    <t>Spare</t>
  </si>
  <si>
    <t>PO1805-40374-LRT</t>
  </si>
  <si>
    <t>1704-000333</t>
  </si>
  <si>
    <t>LEAF-DUT DLAPHRAGM REV2- (HIGH TEAR STRENGTH SILICONE BLACK 65ᵒ SHORE A )</t>
  </si>
  <si>
    <t>PO1407-08952-LRT</t>
  </si>
  <si>
    <t>PO1901-45402-LRT</t>
  </si>
  <si>
    <t>38412SBA.95</t>
  </si>
  <si>
    <t xml:space="preserve">Terminal: flat; 6.3mm; 0.8mm; male; welding; steel; nickel plated ROH </t>
  </si>
  <si>
    <t>2A4</t>
  </si>
  <si>
    <t>MM201511</t>
  </si>
  <si>
    <t>RF Connector/Adapter Murata</t>
  </si>
  <si>
    <t>COAXIAL CONNECTOR MURATA (MM201511</t>
  </si>
  <si>
    <t>1607-25729</t>
  </si>
  <si>
    <t>MXHR87SN3000</t>
  </si>
  <si>
    <t>MXHR87SN3</t>
  </si>
  <si>
    <t>RF Cable RG316,SMA-Murata</t>
  </si>
  <si>
    <t>Coaxial connector MURATA (MXH87SN3000)</t>
  </si>
  <si>
    <t>1607-26729</t>
  </si>
  <si>
    <t>Male To Female</t>
  </si>
  <si>
    <t>VHC00004</t>
  </si>
  <si>
    <t>HDMI Male To Female Right Angle Adapter</t>
  </si>
  <si>
    <t>HDMI RIGHT ANGLE CON_SYSTEK</t>
  </si>
  <si>
    <t>2B1</t>
  </si>
  <si>
    <t>1607-26784</t>
  </si>
  <si>
    <t>40X40X10 HEATSINK</t>
  </si>
  <si>
    <t>PO1910-52071-LRT</t>
  </si>
  <si>
    <t xml:space="preserve">CONN278 </t>
  </si>
  <si>
    <t>DB9 RF FILTERED CONNECTOR 10PF</t>
  </si>
  <si>
    <t>SCIi-56-706-033</t>
  </si>
  <si>
    <t>2B2</t>
  </si>
  <si>
    <t>1603-23048</t>
  </si>
  <si>
    <t>10pcs spare for wj.law stock 12pcs</t>
  </si>
  <si>
    <t>MKS380-01 LR</t>
  </si>
  <si>
    <t>SERVO ACTUATOR</t>
  </si>
  <si>
    <t>ELECTRIC MOTOR</t>
  </si>
  <si>
    <t>PO-2004-56462-LRT</t>
  </si>
  <si>
    <t>O0002015-4</t>
  </si>
  <si>
    <t>MTTEC</t>
  </si>
  <si>
    <t>Ø8MM METAL HUB PACKAGE (1 PACK = 2 PCS )</t>
  </si>
  <si>
    <t>METAL HUB PACKAGE (FOR HBL8X0, HBL 380)</t>
  </si>
  <si>
    <t>2B3</t>
  </si>
  <si>
    <t>PO-1810-43544-LRT</t>
  </si>
  <si>
    <t>ZF3RSC-542B-S+</t>
  </si>
  <si>
    <t>PWR SPLTR CMBD /SMA/ BKT/ ROHS</t>
  </si>
  <si>
    <t>Repair HBL380</t>
  </si>
  <si>
    <t>REPAIR HBL380 (250I A) MKS SERVO</t>
  </si>
  <si>
    <t>SIGNAL GENERATORS</t>
  </si>
  <si>
    <t>1709-35195</t>
  </si>
  <si>
    <t>HBL380</t>
  </si>
  <si>
    <t>HBL380 (250I A) MKS SERVO</t>
  </si>
  <si>
    <t>PO1910-52273-LRT</t>
  </si>
  <si>
    <t>TIC T249 USB MULTI INTERFACE STEPPER MOTOR CONTROLLER</t>
  </si>
  <si>
    <t>PROBE RF CONNECTOR</t>
  </si>
  <si>
    <t>2B4</t>
  </si>
  <si>
    <t>BLK-89-S+</t>
  </si>
  <si>
    <t>Coaxial DC Block SMA 50Ohm Female To Male</t>
  </si>
  <si>
    <t>COAXIAL DC BLOCK SMA 50OHM</t>
  </si>
  <si>
    <t>1708-34442</t>
  </si>
  <si>
    <t>ZFBT-4R2GB+</t>
  </si>
  <si>
    <t>Bias Tee/SMA/BKT/RoHS</t>
  </si>
  <si>
    <t>Bias Tee, RoHS</t>
  </si>
  <si>
    <t xml:space="preserve">POWER SPLITTER </t>
  </si>
  <si>
    <t>1608-27476</t>
  </si>
  <si>
    <t>1710-35860</t>
  </si>
  <si>
    <t>SF-SF50+</t>
  </si>
  <si>
    <t>Adapter,SMA-F To SMA-F,50Ohm,DC To 18GHz</t>
  </si>
  <si>
    <t>SMA-F TO SMA-F</t>
  </si>
  <si>
    <t>MATERIAL</t>
  </si>
  <si>
    <t>56F-715-003-LI - (Ramsey P/N : CONN216)</t>
  </si>
  <si>
    <t>API Technologies</t>
  </si>
  <si>
    <t>D-Sub Adapters And Gender Changers 15Pos Adapt 1000pF</t>
  </si>
  <si>
    <t>DB15 Fittered M/F Connector 1000pF Pi</t>
  </si>
  <si>
    <t>1703-30702</t>
  </si>
  <si>
    <t>EMI34</t>
  </si>
  <si>
    <t>SHIELDED GASKET DB15 MALE</t>
  </si>
  <si>
    <t>56F-705-003-LI - (CONN67)</t>
  </si>
  <si>
    <t>DB9 FITTERED M/F CONNECTOR 1000PF PI - DB9 SHIELDED 1000 PF CONNECTOR ROHS</t>
  </si>
  <si>
    <t>1712-36612</t>
  </si>
  <si>
    <t>2B5</t>
  </si>
  <si>
    <t>SENSOR</t>
  </si>
  <si>
    <t>PO1907-50185</t>
  </si>
  <si>
    <t>PRESSURE SENSOR (-100~0KPA) 0.2~2.7V@ 3.3V</t>
  </si>
  <si>
    <t>XGZP6847001MPG33</t>
  </si>
  <si>
    <t>PRESSURE SENSOR (0~1000KPA) 0.2~2.7V@ 3.3V</t>
  </si>
  <si>
    <t>PN-0000035476</t>
  </si>
  <si>
    <t>5V to 3.3V for DC to DC Step Down Power Supply</t>
  </si>
  <si>
    <t>ZFBT-282-1.5A+</t>
  </si>
  <si>
    <t>Bias Tee/SMA RoHS</t>
  </si>
  <si>
    <t>BIAS TEE / SMA ROHS</t>
  </si>
  <si>
    <t>POWER SPLITTER</t>
  </si>
  <si>
    <t>PN-0000031498</t>
  </si>
  <si>
    <t>GOLD TONE HDMI MALE JACK CONNECTORS 1.6MM PITCH 19 PINS PCB</t>
  </si>
  <si>
    <t>PO1906-49684-LRT</t>
  </si>
  <si>
    <t>STERF13</t>
  </si>
  <si>
    <t>Ramsey Electronics</t>
  </si>
  <si>
    <t>4 Pole Filtered DC Terminal Block 0-100VDC,20 Amp</t>
  </si>
  <si>
    <t>High power connector</t>
  </si>
  <si>
    <t>2C1</t>
  </si>
  <si>
    <t>1606-25813</t>
  </si>
  <si>
    <t>STERF 13</t>
  </si>
  <si>
    <t>HIGH POWER CONNECTOR  C/W GASKET EM145</t>
  </si>
  <si>
    <t>USB2.0 PFL7.5S-071603</t>
  </si>
  <si>
    <t>FILTER USB2.0 7.5CM</t>
  </si>
  <si>
    <t>FILTER-USB2.0 - SPECIFICATION FOR 7.5L (BLANK)</t>
  </si>
  <si>
    <t>PO1905-48265-LRT</t>
  </si>
  <si>
    <t>1-Port,High - Speed Can,  USB Interface - Model Nuber : NI USB 8473</t>
  </si>
  <si>
    <t>1706-32944</t>
  </si>
  <si>
    <t>784661-01</t>
  </si>
  <si>
    <t>USB-8502 CAN INTERFACE DEVICE</t>
  </si>
  <si>
    <t xml:space="preserve">EDGE PROTECTOR BOARD </t>
  </si>
  <si>
    <t>PO1811-44096-LRT</t>
  </si>
  <si>
    <t>56F725-021-LI</t>
  </si>
  <si>
    <t>2500PF DB25 RF FILTERED C/W GASKET</t>
  </si>
  <si>
    <t>2C2</t>
  </si>
  <si>
    <t xml:space="preserve">CABINET </t>
  </si>
  <si>
    <t>PO1902-46102-LRT</t>
  </si>
  <si>
    <t>SCI-56F-725-003-LI</t>
  </si>
  <si>
    <t>D-Sub Adapters And Gender Changers 25Pos Adapt 1000pF</t>
  </si>
  <si>
    <t>1000PF DB25 RF FILTERED C/W GASKET</t>
  </si>
  <si>
    <t>PO1607-26559LRT</t>
  </si>
  <si>
    <t>1209.2010.02</t>
  </si>
  <si>
    <t>MULTI TEST SIM CARD; CMW-Z06; COMBINING CLASSIC SIM</t>
  </si>
  <si>
    <t>1803-39256</t>
  </si>
  <si>
    <t>STE FILT24</t>
  </si>
  <si>
    <t>STEFILT24</t>
  </si>
  <si>
    <t>6 Pole Filtered AC Terminal Block 0-250VAC,20 Amp</t>
  </si>
  <si>
    <t>TERMINAL BLOCK 6WAY</t>
  </si>
  <si>
    <t>2C3</t>
  </si>
  <si>
    <t>1605-24422</t>
  </si>
  <si>
    <t>STEDBHDWE</t>
  </si>
  <si>
    <t>DB Hardware Assembly</t>
  </si>
  <si>
    <t>DB HARDWARE ASSEMBLY</t>
  </si>
  <si>
    <t>EMI31</t>
  </si>
  <si>
    <t>SHIELDED GASKET DB9 FEMALE</t>
  </si>
  <si>
    <t>EMI32</t>
  </si>
  <si>
    <t>SHIELDED GASKET DB25 MALE</t>
  </si>
  <si>
    <t xml:space="preserve"> DB25 RF Fittered EMI Shield  Gasket</t>
  </si>
  <si>
    <t>1607-26559</t>
  </si>
  <si>
    <t>DB25F GASKET</t>
  </si>
  <si>
    <t>SHIELDED GASKET DB25 FEMALE</t>
  </si>
  <si>
    <t>EMI45</t>
  </si>
  <si>
    <t>4 Way Terminal Gasket</t>
  </si>
  <si>
    <t>EMI46</t>
  </si>
  <si>
    <t>Shielded Gasket_6way</t>
  </si>
  <si>
    <t>1907-50364</t>
  </si>
  <si>
    <t>267253-1</t>
  </si>
  <si>
    <t>GASKET DB25 I/O CONNECTOR</t>
  </si>
  <si>
    <t>GASKET DB25WAY I/O CONNECTOR</t>
  </si>
  <si>
    <t>DB25 1000pf, 2500pf  Male Gasket</t>
  </si>
  <si>
    <t>1000pf DB25 RF Fittered Connector EMI Shield Gasket</t>
  </si>
  <si>
    <t>1000pf DB25 RF Fittered Connector EMI Shield with Gasket</t>
  </si>
  <si>
    <t>ZSWA-4-30DR+</t>
  </si>
  <si>
    <t>Coaxial Switch GaAs,50Ohm SP4T,TTL Driver,Absorptive</t>
  </si>
  <si>
    <t>RF SWITCH CV665</t>
  </si>
  <si>
    <t>2C4</t>
  </si>
  <si>
    <t>CV 665</t>
  </si>
  <si>
    <t>SWITCH &amp; DRIVER / SMA   ROHS - ZSWA-4-30DR+  (MOQ 5PCS)</t>
  </si>
  <si>
    <t>6962ES524BD000B</t>
  </si>
  <si>
    <t>BMA FLOATING MOUNTING PANEL JACK ADAPTOR</t>
  </si>
  <si>
    <t>2D1</t>
  </si>
  <si>
    <t>1808-42136</t>
  </si>
  <si>
    <t>69J78JES5BF001B</t>
  </si>
  <si>
    <t>BMA FLOATING FLANGE ( BMA TO SMA)</t>
  </si>
  <si>
    <t>BMA FLOATING FLANGE (BMA TO SMA)</t>
  </si>
  <si>
    <t>2D2</t>
  </si>
  <si>
    <t>PO2008-59626-LRT</t>
  </si>
  <si>
    <t>(BMA TO SMA PLUG)</t>
  </si>
  <si>
    <t>1505-15601</t>
  </si>
  <si>
    <t>HRMJ - U.FLP (40)</t>
  </si>
  <si>
    <t>RF Adapters-Between Series Adapt U.FL Plug-SMA Jack</t>
  </si>
  <si>
    <t>HIROSHI CLIP - SILVER</t>
  </si>
  <si>
    <t>1A</t>
  </si>
  <si>
    <t>1505-16116</t>
  </si>
  <si>
    <t>HRMJ-PA-P(J)F-1</t>
  </si>
  <si>
    <t>Conn Adapt Plug-Jack SMA 50Ohm</t>
  </si>
  <si>
    <t>HIROSE ADAPTER</t>
  </si>
  <si>
    <t>HRMP - ML51LP - DTR178 - 350RS</t>
  </si>
  <si>
    <t>HIROSE CONNECTOR</t>
  </si>
  <si>
    <t>1C</t>
  </si>
  <si>
    <t>SKR-570</t>
  </si>
  <si>
    <t>Leaf Dut Diapphgram - (High Tear Strength Silicone Black 65ᵒ Shore A)</t>
  </si>
  <si>
    <t>2A</t>
  </si>
  <si>
    <t>1706-32693</t>
  </si>
  <si>
    <t>1504-0024R2</t>
  </si>
  <si>
    <t xml:space="preserve">RE TESTER DIAPHRAGM REV3 </t>
  </si>
  <si>
    <t>USBIO24-DIP-R</t>
  </si>
  <si>
    <t>Elexol</t>
  </si>
  <si>
    <t>USB I/O 24 Dip R USB-To-24x I/O Line</t>
  </si>
  <si>
    <t>ELEXOL-USBIO24-DIP-R</t>
  </si>
  <si>
    <t>1610-28240</t>
  </si>
  <si>
    <t>54330-1</t>
  </si>
  <si>
    <t>CONTACT POWER LOCK (SOLDER)</t>
  </si>
  <si>
    <t>A</t>
  </si>
  <si>
    <t>PO1906-49714-LRT</t>
  </si>
  <si>
    <t>53884-1</t>
  </si>
  <si>
    <t>1 POSITION RECTANGULAR HOUSING CONNECTOR SELF MATING BLUE</t>
  </si>
  <si>
    <t xml:space="preserve">1 POSITION RECTANGULAR HOUSING CONNECTOR SELF MATING BLUE </t>
  </si>
  <si>
    <t>53884-1-ND</t>
  </si>
  <si>
    <t>TE Connectivity</t>
  </si>
  <si>
    <t>Conn Housing 1Pos Blue Power Lock</t>
  </si>
  <si>
    <t>Conn Housing 1Pos Blue power Lock (53884-1)</t>
  </si>
  <si>
    <t>PO1410-10749-LRT</t>
  </si>
  <si>
    <t>OK</t>
  </si>
  <si>
    <t>53886-1-ND</t>
  </si>
  <si>
    <t>53886-1</t>
  </si>
  <si>
    <t>Conn Adapter Female Power Lock</t>
  </si>
  <si>
    <t>CONN ADAPTER FEMALE POWER LOCK-HIGH CONNECTOR</t>
  </si>
  <si>
    <t>53887-1-ND</t>
  </si>
  <si>
    <t>53887-1</t>
  </si>
  <si>
    <t>Conn Adapter Male Power Lock</t>
  </si>
  <si>
    <t>CONN ADAPTER MALE POWER LOCK-HIGH CONNECTOR</t>
  </si>
  <si>
    <t>0709-4608</t>
  </si>
  <si>
    <t xml:space="preserve">USB CONNECTOR FLAT STRAIGHT TYPE A  (M) </t>
  </si>
  <si>
    <t>USB CONNECTOR FLAT STRAIGHT TYPE A  (M)</t>
  </si>
  <si>
    <t xml:space="preserve">ELECTRICAL </t>
  </si>
  <si>
    <t>CONN RCPT USB2.0 TYPEA 4POS VERT</t>
  </si>
  <si>
    <t>6325G1-11732149</t>
  </si>
  <si>
    <t>6325G1</t>
  </si>
  <si>
    <t>Anderson Power Products</t>
  </si>
  <si>
    <t>SB Series 2 Way Male/Female 175A Panel Feed Through Set</t>
  </si>
  <si>
    <t>HEAVY DUTY POWER CONNECTORS SB175 GRAY 1/0 AWG 1/0 AWG CONT 175A</t>
  </si>
  <si>
    <t xml:space="preserve">EXIST </t>
  </si>
  <si>
    <t>6328G-1</t>
  </si>
  <si>
    <t>SB175 Series Connector Housing Cable Mount Plug,2P,Crimp Termination 175A 600V AC/DC</t>
  </si>
  <si>
    <t>6329G-1</t>
  </si>
  <si>
    <t>6329G1</t>
  </si>
  <si>
    <t>SB Series 2 Way 175A Connector</t>
  </si>
  <si>
    <t>571-538861</t>
  </si>
  <si>
    <t>HEAVY DUTY POWER CONNECTORS ADAPTER  P/MNT FEMALE 10-6 AWG (6331G1) Grey</t>
  </si>
  <si>
    <t>HEAVY DUTY POWER CONNECTORS ADAPTER  P/MNT FEMALE 10-6 AWG (6331G1)</t>
  </si>
  <si>
    <t>Connector</t>
  </si>
  <si>
    <t>6331G1-511-538861</t>
  </si>
  <si>
    <t>6331G1</t>
  </si>
  <si>
    <t>SB Series 2 Way 50A Preassembled Connector Kit (Red)</t>
  </si>
  <si>
    <t>SB Series 2 Way 50A Preassembled Connector Kit</t>
  </si>
  <si>
    <t>644-LCA1/0-56-X</t>
  </si>
  <si>
    <t>LCA1/0-56-X</t>
  </si>
  <si>
    <t>Panduit Corp</t>
  </si>
  <si>
    <t>Conn Term Rect Tong 1/0Awg 5/16 Stud</t>
  </si>
  <si>
    <t>TERMINAL COOPER COMP MG</t>
  </si>
  <si>
    <t xml:space="preserve">NOT EXIST </t>
  </si>
  <si>
    <t>MY2N-DC24V-B</t>
  </si>
  <si>
    <t>OMRON RELAY C/W BASE (UE)</t>
  </si>
  <si>
    <t>Connector/Relay</t>
  </si>
  <si>
    <t>P2RF-05-E</t>
  </si>
  <si>
    <t>RELAY SOCKET 5 POSITION DIN RAIL - P2RF-05-E BY OMZ</t>
  </si>
  <si>
    <t>RELAY SOCKET 5 POSITION DIN RAIL - PYF08-A-E</t>
  </si>
  <si>
    <t>QTE-014-01-F-D-DP-A</t>
  </si>
  <si>
    <t>Conn Diff Array Plg 28P SMD Gold</t>
  </si>
  <si>
    <t>BLUE CABLE SAMTEC CONNECTOR</t>
  </si>
  <si>
    <t>P6630L-04-LF</t>
  </si>
  <si>
    <t>Taiwan King Pin</t>
  </si>
  <si>
    <t>Connector,4 Pin Micro Fit 90Deg Plug In 3.0mm</t>
  </si>
  <si>
    <t>4WAY CONNECTOR R/A BLACK</t>
  </si>
  <si>
    <t>Weidmuller</t>
  </si>
  <si>
    <t>Term Blk 3P Side Ent 5.08mm PCB</t>
  </si>
  <si>
    <t>3WAY CONNECTOR MALE ORANGE</t>
  </si>
  <si>
    <t>182734-2-  (RS : 136-1643)</t>
  </si>
  <si>
    <t>182734-2</t>
  </si>
  <si>
    <t>Conn Socket 24-28Awg Crimp Rin</t>
  </si>
  <si>
    <t>(20CRIMP TERMINAL FOR HE 14 -( 3 BOS X 200PCS = 600PCS)</t>
  </si>
  <si>
    <t>PO1801-37345-LRT</t>
  </si>
  <si>
    <t>OMO</t>
  </si>
  <si>
    <t>Conn Socket 24-28Awg Crimp Tin</t>
  </si>
  <si>
    <t>CRIMP TERMINAL FOR HE 14</t>
  </si>
  <si>
    <t>188744-1</t>
  </si>
  <si>
    <t>Contacts,Socket,Crimp,24 AWG,Tin Plated Contacts</t>
  </si>
  <si>
    <t>CB CONNECTOR CONTACT, FEMALE, CRIMP, TIN OVER NICKEL PLATING 24 → 28 AWG</t>
  </si>
  <si>
    <t>PO1606-25399-LRT</t>
  </si>
  <si>
    <t>281695-4 (RS code : 531-986)</t>
  </si>
  <si>
    <t>281695-4</t>
  </si>
  <si>
    <t>Wire-To-Board Connector,2.54mm,4 Contacts,Header</t>
  </si>
  <si>
    <t>TE CONNECTIVITY HE1402 SERIES, 2.54MM PITCH 4 WAY 1 ROW STRAIGHT PCB HEADER, SOLDER TERMINATION</t>
  </si>
  <si>
    <t>pcs</t>
  </si>
  <si>
    <t xml:space="preserve">CONNECTOR / TERMINAL </t>
  </si>
  <si>
    <t>PO1511-20173-LRT</t>
  </si>
  <si>
    <t>CONN HEADER 4POS IDC</t>
  </si>
  <si>
    <t>Add New</t>
  </si>
  <si>
    <t>281698-3 -(RS - 532-096)</t>
  </si>
  <si>
    <t>281698-3</t>
  </si>
  <si>
    <t>Wire-To-Board Connector,2.54mm,3 Contacts,Header</t>
  </si>
  <si>
    <t>CONN HEADER 3POS IDC RA - (ELEMENT : 1205991) 1 PACK = 10 PCS</t>
  </si>
  <si>
    <t>281742-3 (element : 1206005)</t>
  </si>
  <si>
    <t>281742-3</t>
  </si>
  <si>
    <t>Wire-To-Board Connector,2.54mm,6 Contacts,Header</t>
  </si>
  <si>
    <t>CONN, 6 PIN, HEADER, DUAL ROW, PLUG, 2.54MM PITCH, RIGHT ANGLE, THRU, 7.65x11.5x</t>
  </si>
  <si>
    <t>PO1808-41978-LRT</t>
  </si>
  <si>
    <t>281838-3 - ( RS : 532-333)</t>
  </si>
  <si>
    <t>281838-3</t>
  </si>
  <si>
    <t>Wire-To-Board Connector,2.54mm,3 Contacts,Receptacle</t>
  </si>
  <si>
    <t>3 WAYS CRIMP TERMINAL HOUSING</t>
  </si>
  <si>
    <t>PO1811-44601LRT</t>
  </si>
  <si>
    <t>281839-3 - (element : 429650)</t>
  </si>
  <si>
    <t>281839-3</t>
  </si>
  <si>
    <t>6 Position Rectangular Housing Connector Receptacle Blue</t>
  </si>
  <si>
    <t>HOUSING HE13 HE14 COSI 6P</t>
  </si>
  <si>
    <t>PO1708-34237-LRT</t>
  </si>
  <si>
    <t>MDF7-20 DP-2.54DSA (GOLD)</t>
  </si>
  <si>
    <t>MDF7-20DP-2.54DSA</t>
  </si>
  <si>
    <t>Hirose Electric</t>
  </si>
  <si>
    <t>Conn Header Vert 20Pos 2.54mm</t>
  </si>
  <si>
    <t>20P DOUBLE ROW HEADER PIN (GOLD)</t>
  </si>
  <si>
    <t>Connector/Header</t>
  </si>
  <si>
    <t>PO1602-22392-LRT</t>
  </si>
  <si>
    <t>MOUSER</t>
  </si>
  <si>
    <t>MDF7-20 DP-2.54DSA (SILVER)</t>
  </si>
  <si>
    <t>MDF7-20DP-2.54DSA(55)</t>
  </si>
  <si>
    <t>20P DOUBLE ROW HEADER PIN (SILVER)</t>
  </si>
  <si>
    <t>MDF7-40DP-2.54DSA (SELVER)</t>
  </si>
  <si>
    <t>MDF7-40DP-2.54DSA(55)</t>
  </si>
  <si>
    <t>Conn Header Vert 40Pos 2.54mm</t>
  </si>
  <si>
    <t>BOARD TO BOARD CONNECTOR</t>
  </si>
  <si>
    <t>PO1610-28370-LRT</t>
  </si>
  <si>
    <t>MDF7-40DP-2.54DSA (GOLD)</t>
  </si>
  <si>
    <t>MDF7-40DP-2.54DSA</t>
  </si>
  <si>
    <t>PO17803-38567-LRT</t>
  </si>
  <si>
    <t>sensor</t>
  </si>
  <si>
    <t>DOCKING STATION FLAG SENSOR</t>
  </si>
  <si>
    <t>Connector/Sensor</t>
  </si>
  <si>
    <t>EE-SX1103</t>
  </si>
  <si>
    <t>Sensor Optical Slot Phototran PCB Mount - (element : 1348951)</t>
  </si>
  <si>
    <t>SWITCH</t>
  </si>
  <si>
    <t>PO2008-59449-LRT</t>
  </si>
  <si>
    <t>8550124 - (Element : 2063728)</t>
  </si>
  <si>
    <t>KK High Pressure Crimp Terminal 7879, 22-30 AWG, Reel Selective Gold (Au)</t>
  </si>
  <si>
    <t>PO1904-47261-LRT</t>
  </si>
  <si>
    <t>MDF97-22SCF</t>
  </si>
  <si>
    <t>Terminals</t>
  </si>
  <si>
    <t>PO1910-52287-LRT</t>
  </si>
  <si>
    <t>CJ2.0-4.2-W0.6-5P</t>
  </si>
  <si>
    <t>TERMINAL 5 PIN</t>
  </si>
  <si>
    <t>TERMINAL 5 PIN - PN-0000031877</t>
  </si>
  <si>
    <t>PN-0000031877</t>
  </si>
  <si>
    <t>WR-PHD 2.54 MM ANGLED SOCKET HEADER</t>
  </si>
  <si>
    <t>EE-SX1046</t>
  </si>
  <si>
    <t>Optical Switches, Transmissive, Phototransistor Output PHOTOTRANSISTOR</t>
  </si>
  <si>
    <t>PO1805-40565-LRT</t>
  </si>
  <si>
    <t>USB CONNECTOR TYPE B</t>
  </si>
  <si>
    <t>MC32596</t>
  </si>
  <si>
    <t>Multicomp</t>
  </si>
  <si>
    <t>USB,2.0 Type B,Receptacle</t>
  </si>
  <si>
    <t>MULTICOMP MC32596  USB, 2.0 TYPE B, RECEPTACLE, TH</t>
  </si>
  <si>
    <t>PO1512-20572-LRT</t>
  </si>
  <si>
    <t>0ZRC0050FF1E</t>
  </si>
  <si>
    <t>Bel Fuse Inc</t>
  </si>
  <si>
    <t>PTC Reset Fuse 90V 500mA Radial</t>
  </si>
  <si>
    <t>RESETTABLE FUSES - PPTC  (MOUSER CODE : 530-0ZRC0050FF1E)</t>
  </si>
  <si>
    <t>PO1602-22130-LRT</t>
  </si>
  <si>
    <t>0ZRC0110FF1A</t>
  </si>
  <si>
    <t>PTC Reset Fuse 90V 1.1A Radial</t>
  </si>
  <si>
    <t>PTC RESETTABLE 90V 1.1A RADIAL</t>
  </si>
  <si>
    <t>PO1802-38101-LRT</t>
  </si>
  <si>
    <t>0ZRC0375FF1A</t>
  </si>
  <si>
    <t>PTC Reset Fuse 90V 3.75A Radial</t>
  </si>
  <si>
    <t>PTC RESETTABLE 90V 3.75A RADIAL</t>
  </si>
  <si>
    <t>PO1510-19644-LRT</t>
  </si>
  <si>
    <t>30R185</t>
  </si>
  <si>
    <t>RESETTABLE PTC FUSE</t>
  </si>
  <si>
    <t>RESETTABLE FUSE FOR DB CARD</t>
  </si>
  <si>
    <t>100616-1</t>
  </si>
  <si>
    <t>Conn Mod Jack 8P8C Vert Sheilded</t>
  </si>
  <si>
    <t>CONN MOD JACK 8P8C VERT SHIELDED</t>
  </si>
  <si>
    <t>PO1802-37996-LRT</t>
  </si>
  <si>
    <t>61400413321 - (Element : 1841165)</t>
  </si>
  <si>
    <t>Wurth Electronics</t>
  </si>
  <si>
    <t>Conn Rcpt USB2.0 Type B 4Pos Vert</t>
  </si>
  <si>
    <t>Connector Receptacle USB TypeB 4 Position Through Hole, Vertical</t>
  </si>
  <si>
    <t>PO1802-37997-LRT</t>
  </si>
  <si>
    <t>68000-401HLF  (elemnet 14 :  1835265)</t>
  </si>
  <si>
    <t>68000-401HLF</t>
  </si>
  <si>
    <t>Amphenol ICC</t>
  </si>
  <si>
    <t>Conn Header Vert 1Pos</t>
  </si>
  <si>
    <t>FCI 68000-401HLF  BOARD-BOARD CONNECTOR HEADER, 1 POSITION, 1ROW</t>
  </si>
  <si>
    <t>ex-11</t>
  </si>
  <si>
    <t>PO1602-22128-LRT</t>
  </si>
  <si>
    <t>BOARD TO BOARD &amp; MEZZANINE CONNECTORS 0.40 MM RAZOR BEAM LP ULTRA FINE PITCH TERMINAL STRIP</t>
  </si>
  <si>
    <t>PO1909-51318-LRT</t>
  </si>
  <si>
    <t>8534-4500PL</t>
  </si>
  <si>
    <t>3M</t>
  </si>
  <si>
    <t>Conn Rcpt 34Pos 0.1 Gold PCB</t>
  </si>
  <si>
    <t>BOARD-TO-BOARD CONNECTOR, 8500 SERIES, THROUGH HOLE, RECEPTACLE, 34, 2.54 MM, GOLD PLATED CONTACT</t>
  </si>
  <si>
    <t>PO1605-24385-LRT</t>
  </si>
  <si>
    <t>8550-4500PL    (Element :  9138684)</t>
  </si>
  <si>
    <t>8550-4500PL</t>
  </si>
  <si>
    <t>Conn Rcpt 50Pos 0.1 Gold PCB</t>
  </si>
  <si>
    <t>3M 8550-4500PL  BOARD-TO-BOARD CONNECTOR, 8500 SERIES, THROUGH HOLE, RECEPTACLE, 50, 2.54 MM, GOLD PLATED CONTACTS</t>
  </si>
  <si>
    <t>961103-6404-AR - (Element : 1907851)</t>
  </si>
  <si>
    <t>961103-6404-AR</t>
  </si>
  <si>
    <t>Conn Header Vert 3Pos 2.54mm</t>
  </si>
  <si>
    <t>3 POSITIONS HEADER, UNSHROUDED CONNECTOR 0.100"</t>
  </si>
  <si>
    <t>PO1708-32437-LRT</t>
  </si>
  <si>
    <t>961106-6404-AR</t>
  </si>
  <si>
    <t>Conn Header Vert 6Pos 2.54mm</t>
  </si>
  <si>
    <t>3M 961106-6404-AR BOARD TO BOARD, HEADER, 6 POSITION, 1ROW (ELEMENT CODE: 1907855)</t>
  </si>
  <si>
    <t>PO1607-26648-LRT</t>
  </si>
  <si>
    <t>USB1100-30-A</t>
  </si>
  <si>
    <t>GCT</t>
  </si>
  <si>
    <t>USB Stacked Connector,USB Type A,USB 3.0,Right Angle</t>
  </si>
  <si>
    <t>USB 3.0 TYPE A, 2 PORT</t>
  </si>
  <si>
    <t>PO1511-20364-LRT</t>
  </si>
  <si>
    <t>PREC010SAAN-RC</t>
  </si>
  <si>
    <t>Connector Header Through Hole 10 position 0.100" (2.54mm)</t>
  </si>
  <si>
    <t>PO1909-51342-LRT</t>
  </si>
  <si>
    <t>PEC07SAAN</t>
  </si>
  <si>
    <t>Connector Header Through Hole 7 position 0.100" (2.54mm)</t>
  </si>
  <si>
    <t>PREC005SAAN-RC</t>
  </si>
  <si>
    <t>Connector Header Through Hole 5 position 0.100" (2.54mm)</t>
  </si>
  <si>
    <t>PEC04SAAN</t>
  </si>
  <si>
    <t>Connector Header Through Hole 4 position 0.100" (2.54mm)</t>
  </si>
  <si>
    <t>PEC08SAAN</t>
  </si>
  <si>
    <t>Connector Header Through Hole 8 position 0.100" (2.54mm)</t>
  </si>
  <si>
    <t>PEC05SAAN</t>
  </si>
  <si>
    <t>PP3-002C</t>
  </si>
  <si>
    <t>CONN PWR PLUG 1.1X3.5MM SOLDER</t>
  </si>
  <si>
    <t>JUMPER OPEN BLACK</t>
  </si>
  <si>
    <t>6326G1-12612149</t>
  </si>
  <si>
    <t>6326G1</t>
  </si>
  <si>
    <t>Heavy Duty Power Connectors SB175 BLue 1/0 Awg Cont 175A</t>
  </si>
  <si>
    <t>Heavy Duty Power Connectors SB175 BLUE 1/0 AWG 1/0 AWG CONT 175A</t>
  </si>
  <si>
    <t>6331G5</t>
  </si>
  <si>
    <t>Heavy Duty Power Connectors SB50 Blue 50A 6 Awg Cont</t>
  </si>
  <si>
    <t>Heavy Duty Power Connectors SB50 BLUE #6 AWG 50A 6 AWG CONT</t>
  </si>
  <si>
    <t>HW-HDL-LH-224</t>
  </si>
  <si>
    <t>HANDLE</t>
  </si>
  <si>
    <t>UWANS10-100-27</t>
  </si>
  <si>
    <t>Standard-Length Handles</t>
  </si>
  <si>
    <t>HW-LH-CL</t>
  </si>
  <si>
    <t>CABINET LOCK BLACK R&amp;D CABINET</t>
  </si>
  <si>
    <t>AN103-01</t>
  </si>
  <si>
    <t>SILENCER</t>
  </si>
  <si>
    <t>Connector/Bracket/EMI Bracket</t>
  </si>
  <si>
    <t>PO1910-52340-LRT</t>
  </si>
  <si>
    <t>SLW-6A</t>
  </si>
  <si>
    <t>PO1506-16372-LRT</t>
  </si>
  <si>
    <t>SLW-8A</t>
  </si>
  <si>
    <t>Silencer Resin Body Type SLW R1/4</t>
  </si>
  <si>
    <t>PO1812-44780-LRT</t>
  </si>
  <si>
    <t>SM01</t>
  </si>
  <si>
    <t>SILENCER - 1/8" BRASS SILENCER (FLAT) - P/N : BMSL-01</t>
  </si>
  <si>
    <t>PO1711-36150-LRT</t>
  </si>
  <si>
    <t>SM-02</t>
  </si>
  <si>
    <t>SILENCER SM-02</t>
  </si>
  <si>
    <t>BMSL-01</t>
  </si>
  <si>
    <t>BRASS SILENCER ( FLAT ) - BMSL-01</t>
  </si>
  <si>
    <t>PO2005-56819-LRT</t>
  </si>
  <si>
    <t>CONN RCPT 44POS IDC 28AWG GOLD</t>
  </si>
  <si>
    <t>Connector/Socket</t>
  </si>
  <si>
    <t>PO2004-56355-LRT</t>
  </si>
  <si>
    <t>CONN RCPT 10POS IDC 28AWG GOLD</t>
  </si>
  <si>
    <t>PO2003-56009-LRT</t>
  </si>
  <si>
    <t>Wurth Electronics Inc</t>
  </si>
  <si>
    <t>Conn Rcpt 10Pos IDC 28Awg Gold</t>
  </si>
  <si>
    <t>10WAY IDC SOCKET-61201023021</t>
  </si>
  <si>
    <t>PO1607-26753-LRT</t>
  </si>
  <si>
    <t>Conn Rcpt 16Pos IDC 28Awg Gold (110616)</t>
  </si>
  <si>
    <t>IDC 16 Way Female Connector (16 WAY IDC SOCKET)</t>
  </si>
  <si>
    <t>1658621-6</t>
  </si>
  <si>
    <t>Conn Rcpt 26Pos IDC 28Awg Gold</t>
  </si>
  <si>
    <t>IDC Connector 2.54 mm 26 Contacts Receptacle</t>
  </si>
  <si>
    <t>110626 IE</t>
  </si>
  <si>
    <t>PO1705-32522-LRT</t>
  </si>
  <si>
    <t>26 WAY IDC SOCKET -  CLAMPING TYPE FEMALE-1658621-6</t>
  </si>
  <si>
    <t>Conn Rcpt 20Pos IDC 28Awg Gold</t>
  </si>
  <si>
    <t>20WAY IDC SOCKET</t>
  </si>
  <si>
    <t>3030-20-0101-00</t>
  </si>
  <si>
    <t>PO1803-39042-LRT</t>
  </si>
  <si>
    <t>110634 (FEMALE)</t>
  </si>
  <si>
    <t>Conn Rcpt 34Pos IDC 28Awg Gold</t>
  </si>
  <si>
    <t>34 WAY IDC SOCKET</t>
  </si>
  <si>
    <t>3030-40-0101-00 - (IE : 110640)</t>
  </si>
  <si>
    <t>Conn Rcpt 40Pos IDC 28Awg Gold</t>
  </si>
  <si>
    <t>IDC 40 WAY CONNECTOR FEMALE</t>
  </si>
  <si>
    <t>3030-40-0101-00</t>
  </si>
  <si>
    <t>110660 (FEMALE)</t>
  </si>
  <si>
    <t>Conn Rcpt 60Pos IDC 28Awg Gold</t>
  </si>
  <si>
    <t>60 WAY IDC SOCKET</t>
  </si>
  <si>
    <t>110664 (FEMALE)</t>
  </si>
  <si>
    <t>Conn Rcpt 64Pos IDC 28Awg Gold</t>
  </si>
  <si>
    <t>64 WAY IDC SOCKET</t>
  </si>
  <si>
    <t>PO1405-07452-LRT</t>
  </si>
  <si>
    <t>6257296</t>
  </si>
  <si>
    <t>625-7296</t>
  </si>
  <si>
    <t>20 Way IDC Connector Plug Through Hole Mount,2 Row</t>
  </si>
  <si>
    <t xml:space="preserve">HEADER BOX </t>
  </si>
  <si>
    <t>BLZ 5.08/10</t>
  </si>
  <si>
    <t>Pluggable Terminal Block,5.08mm,10 Ways,12-22Awg,Screw 15A</t>
  </si>
  <si>
    <t>SOCKET BLOCK SCREW 10 WAY</t>
  </si>
  <si>
    <t>PO1805-40359-LRT</t>
  </si>
  <si>
    <t>SOCKET BLOCK SCREW 10 WAY/1131720</t>
  </si>
  <si>
    <t>PO2007-58635-LRT</t>
  </si>
  <si>
    <t>Wire-To-Board Connector,Vertical,5.08mm,2 Contacts,Header Through Hole</t>
  </si>
  <si>
    <t>2 WAY HEADER CONNECTOR VERTICAL</t>
  </si>
  <si>
    <t>Wire-To-Board Connector,Top Entry,5.08mm,12 Contacts,Header Through Hole</t>
  </si>
  <si>
    <t>12 WAY HEADER BOX 5.08MM ORANGE</t>
  </si>
  <si>
    <t>Terminal Block Pluggable,2 Position,16-28Awg</t>
  </si>
  <si>
    <t>2 WAY CONNECTOR ORANGE FEMALE</t>
  </si>
  <si>
    <t>Terminal Block Pluggable,12 Position,12-26Awg</t>
  </si>
  <si>
    <t>12WAY CONNECTOR FEMALE ORANGE/GREEN</t>
  </si>
  <si>
    <t>LM3.5/02/90 3.2</t>
  </si>
  <si>
    <t>Wire-To-Board Terminal Block,3.5mm,2 Ways,14-28Awg,1.5mm,Screw</t>
  </si>
  <si>
    <t>2WAY CONNECTOR MALE ORANGE</t>
  </si>
  <si>
    <t>Littelfuse Wickmann</t>
  </si>
  <si>
    <t>Fuse,PCB,1A,250V,Time Delay</t>
  </si>
  <si>
    <t>2 PIN FUSE SOCKET - (EQUIVALENT : ELITE : 529394)</t>
  </si>
  <si>
    <t>Wire-To-Board Connector,Top Entry,5.08mm,10 Contacts,Header Through Hole</t>
  </si>
  <si>
    <t>HEADER 5.08MM TOP 10 WAY - (EQUIVALENT : ELITE : 1866480)</t>
  </si>
  <si>
    <t>PO1809-42448-LRT</t>
  </si>
  <si>
    <t>MKS2-.01/63/5T</t>
  </si>
  <si>
    <t>MKS0C021000B00KSSD</t>
  </si>
  <si>
    <t>Wima</t>
  </si>
  <si>
    <t>CAPACITOR 0.01UF, 63V - (EQUIVALENT -  ELITE : 1006000)</t>
  </si>
  <si>
    <t>1N4004-T</t>
  </si>
  <si>
    <t>DIODE IN4004-T (for Board TNA 005647)</t>
  </si>
  <si>
    <t>Diode 1N4004TR</t>
  </si>
  <si>
    <t>71918-160LF</t>
  </si>
  <si>
    <t>Conn Header Vert 60Pos 2.54mm</t>
  </si>
  <si>
    <t>60WAY HEADER BOX WITH HOOK</t>
  </si>
  <si>
    <t>34 WAY</t>
  </si>
  <si>
    <t>71918-134LF</t>
  </si>
  <si>
    <t>Conn Header Vert 34Pos 2.54mm</t>
  </si>
  <si>
    <t>34 WAY HEADER BOX WITH HOOK</t>
  </si>
  <si>
    <t>64WAY</t>
  </si>
  <si>
    <t>71918-164LF</t>
  </si>
  <si>
    <t>Conn Header Vert 64Pos 2.54mm</t>
  </si>
  <si>
    <t>64WAY HEADER BOX WITH HOOK</t>
  </si>
  <si>
    <t>MBS-1210-22</t>
  </si>
  <si>
    <t>TDK-Lambda</t>
  </si>
  <si>
    <t>Power Line Filter 250V 10A</t>
  </si>
  <si>
    <t>LAMBDA-NEMIC-MBS-1210-22-NOISE-FILTER-250V-10A-50-60HZ-TV2500V  LAMBDA-NEMIC-MBS-1210-22-NOISE-FILTER-250V-10A-50-60HZ-TV2500V  LAMBDA-NEMIC-MBS-1210-22-SE-FILTER-250V-10A-50-60HZ-TV2500V HAVE ONE</t>
  </si>
  <si>
    <t>Connector/Adapter</t>
  </si>
  <si>
    <t>RIQ-0642-H2</t>
  </si>
  <si>
    <t>Roxburgh</t>
  </si>
  <si>
    <t>Single Phase Power Entry Module With Filter,Fuse and Switch</t>
  </si>
  <si>
    <t>SCAFFENER 3PIN</t>
  </si>
  <si>
    <t>Connector/Switch</t>
  </si>
  <si>
    <t>RIR-06220-14</t>
  </si>
  <si>
    <t>Single Phase Power Entry Module With Filter and Fuse</t>
  </si>
  <si>
    <t>SCAFFENER</t>
  </si>
  <si>
    <t>AR10-M5BG-A</t>
  </si>
  <si>
    <t>REGULATOR - AR10-M5BG-A</t>
  </si>
  <si>
    <t>Connector/Valve-solenoid</t>
  </si>
  <si>
    <t>PO1801-37490-LRT</t>
  </si>
  <si>
    <t>VF5120-4DZ-C3</t>
  </si>
  <si>
    <t>VALVE</t>
  </si>
  <si>
    <t>VM220-02 30G</t>
  </si>
  <si>
    <t>MECHANICAL VALVE</t>
  </si>
  <si>
    <t>VM23</t>
  </si>
  <si>
    <t>SMC VALVE</t>
  </si>
  <si>
    <t>VZM450</t>
  </si>
  <si>
    <t>SMC MECHANICAL VALVE</t>
  </si>
  <si>
    <t>MR7ML-SSI-VOP-60-5</t>
  </si>
  <si>
    <t>CPC LINEAR RAIL C/W BLOCK</t>
  </si>
  <si>
    <t>Connector/Linear Rail</t>
  </si>
  <si>
    <t>MR7MN-SS1-V0N-67.8L</t>
  </si>
  <si>
    <t>Linear Guide</t>
  </si>
  <si>
    <t>MR7ML-SSI-VOP-110-10</t>
  </si>
  <si>
    <t>CPC LINEAR RAIL C/W 1 BLOCK</t>
  </si>
  <si>
    <t>PO1408-09470-LRT</t>
  </si>
  <si>
    <t>MR9ML</t>
  </si>
  <si>
    <t>Linear Rail Block</t>
  </si>
  <si>
    <t>MR-9ML-SSI-VOP-80MM</t>
  </si>
  <si>
    <t>MR-9ML-SSI-VOP-95 10</t>
  </si>
  <si>
    <t>LINEAR RAIL C/W BLOCK</t>
  </si>
  <si>
    <t>MR-9ML-SSI-VOP-100 10</t>
  </si>
  <si>
    <t>NOT EXIST</t>
  </si>
  <si>
    <t>MR-9ML-SSI-VOP 114MM</t>
  </si>
  <si>
    <t>MR9ML-SSI-VOP-140L-10-10</t>
  </si>
  <si>
    <t>CPC LINEAR RAIL</t>
  </si>
  <si>
    <t>PO1803-39038-LRT</t>
  </si>
  <si>
    <t>MR 9ML-SSI-VOP-175L-5-10</t>
  </si>
  <si>
    <t>CPC Linear Rail C/W 1 Block</t>
  </si>
  <si>
    <t>PO1609-27730-LRT</t>
  </si>
  <si>
    <t>MR 9ML-SSI-VOP-200L-10-10</t>
  </si>
  <si>
    <t>CPC Linear Rail 200mm-lth c-w block</t>
  </si>
  <si>
    <t>CPC Linear Rail 200mm-lth c-w block - MR9MN,Rail Only, Length 200L mm without block</t>
  </si>
  <si>
    <t>MR9ML-SS2-VOP-200-10</t>
  </si>
  <si>
    <t>CPC LINEAR RAIL CW 2 BLOCK MR9ML-SS2-VOP-200-10</t>
  </si>
  <si>
    <t xml:space="preserve">PO1802-38323-LRT	</t>
  </si>
  <si>
    <t>MR12MN-SSI-VON-95</t>
  </si>
  <si>
    <t>MR12MN-SS2-VON190L</t>
  </si>
  <si>
    <t>CPC LINEAR RAIL C/W 2 BLOCK</t>
  </si>
  <si>
    <t>MR12MN-SS2-VON400L</t>
  </si>
  <si>
    <t>MR12MN-SS2-VON-440L</t>
  </si>
  <si>
    <t>CPC LINEARRAIL C/W 2 BLOCKS</t>
  </si>
  <si>
    <t>MR15MN-SS2-VOP-155L</t>
  </si>
  <si>
    <t>HIWIN LINEAR RAIL C-W 2 BLOCK</t>
  </si>
  <si>
    <t>MR 15MN-SS1-V0-P-280L-20-20-I</t>
  </si>
  <si>
    <t>Linear Guide - ( buy Linaer only )</t>
  </si>
  <si>
    <t>MR 15MN-SS2-VOP-290mm-25mm (1st hole)</t>
  </si>
  <si>
    <t>1809-2</t>
  </si>
  <si>
    <t>Banana Plug Single Red</t>
  </si>
  <si>
    <t>PO2006-57639-LRT</t>
  </si>
  <si>
    <t>4898-0</t>
  </si>
  <si>
    <t>Banana Plug,Double,Stackable Connector Black</t>
  </si>
  <si>
    <t>POMONA BANANA TWIN PLUG</t>
  </si>
  <si>
    <t>MDP-0</t>
  </si>
  <si>
    <t>BANANA TWIN PLUG BLACK</t>
  </si>
  <si>
    <t>PO1910-52634-LRT</t>
  </si>
  <si>
    <t>MDP-2</t>
  </si>
  <si>
    <t>Banana Plug,Double,Stackable Connector Red</t>
  </si>
  <si>
    <t>40BANANA TWIN PLUG RED</t>
  </si>
  <si>
    <t>TWIN RED</t>
  </si>
  <si>
    <t>BANANA TWIN PLUG RED(CHINA)</t>
  </si>
  <si>
    <t>PO1301-00173-LRT</t>
  </si>
  <si>
    <t>108-0907-001 - (Element : 2340491)</t>
  </si>
  <si>
    <t>Banana Jack Connector Standard Banana Solder Tabs Yellow</t>
  </si>
  <si>
    <t>10X4MM (RED)</t>
  </si>
  <si>
    <t xml:space="preserve">AMPLIFIER TERMINAL CONNECTOR </t>
  </si>
  <si>
    <t>2854-0</t>
  </si>
  <si>
    <t>Test Plugs &amp; Test Jacks BANANA JACK GOLD PL BLACK</t>
  </si>
  <si>
    <t>4MM BLACK</t>
  </si>
  <si>
    <t>BANANA SOCKET BLACK 4MM</t>
  </si>
  <si>
    <t>4MM RED</t>
  </si>
  <si>
    <t>BANANA PLUG RED 4MM</t>
  </si>
  <si>
    <t>CONN BANANA JACK SLDR TABS YLW</t>
  </si>
  <si>
    <t>PO1905-48985-LRT</t>
  </si>
  <si>
    <t>530-105-0301-001</t>
  </si>
  <si>
    <t>108-0301-001</t>
  </si>
  <si>
    <t>Banana Test Connector,Plug,Cable Mount,15A,3.5kV,White</t>
  </si>
  <si>
    <t>BANANA PLUG WHITE</t>
  </si>
  <si>
    <t>530-108-0302-1</t>
  </si>
  <si>
    <t>Cooper Interconnect</t>
  </si>
  <si>
    <t>Banana Plug,15A,Solderless Red</t>
  </si>
  <si>
    <t>BANANA PLUG RED</t>
  </si>
  <si>
    <t>530-108-0303-1</t>
  </si>
  <si>
    <t>108-0303-001</t>
  </si>
  <si>
    <t>Banana Plug,15A,Solderless Black</t>
  </si>
  <si>
    <t>BANANA PLUG BLACK</t>
  </si>
  <si>
    <t>565-1325-0</t>
  </si>
  <si>
    <t>1325-0</t>
  </si>
  <si>
    <t>Banana Plug,15A,Screw Black</t>
  </si>
  <si>
    <t>565-2854-2</t>
  </si>
  <si>
    <t>2854-2</t>
  </si>
  <si>
    <t>Banana Test Connector,Jack,Panel Mount,15A,60VDC,Red</t>
  </si>
  <si>
    <t>BANANA JACK RED</t>
  </si>
  <si>
    <t>DT551-BLACK</t>
  </si>
  <si>
    <t>105-0803-001</t>
  </si>
  <si>
    <t>WIMA</t>
  </si>
  <si>
    <t>Black Female Banana Plug Solder</t>
  </si>
  <si>
    <t>BANANA JACK</t>
  </si>
  <si>
    <t>DT551-GREEN</t>
  </si>
  <si>
    <t>105-0804-001</t>
  </si>
  <si>
    <t>Green Female Banana Plug Solder</t>
  </si>
  <si>
    <t>BANANA JACK GREEN</t>
  </si>
  <si>
    <t>DT551-RED</t>
  </si>
  <si>
    <t>105-0802-001</t>
  </si>
  <si>
    <t>Red Female Banana Plug Solder</t>
  </si>
  <si>
    <t>MK621-BLACK</t>
  </si>
  <si>
    <t>MK-621-0</t>
  </si>
  <si>
    <t>Marushin Electric</t>
  </si>
  <si>
    <t>Banana Plug W/Long Handle Black</t>
  </si>
  <si>
    <t>BANANA PLUG BLACK-1809-0</t>
  </si>
  <si>
    <t>1809-0</t>
  </si>
  <si>
    <t>BANANA PLUG SINGLE BLACK</t>
  </si>
  <si>
    <t>Banana Plug Single Black</t>
  </si>
  <si>
    <t>PO2006-58116</t>
  </si>
  <si>
    <t>MK621-RED</t>
  </si>
  <si>
    <t>MK-621-1</t>
  </si>
  <si>
    <t>Banana Plug W/Long Handle Red</t>
  </si>
  <si>
    <t>BANANA  PLUG RED (DC PLUG)-660305</t>
  </si>
  <si>
    <t>MK628</t>
  </si>
  <si>
    <t>MK-628-1</t>
  </si>
  <si>
    <t>Banana Jack Red</t>
  </si>
  <si>
    <t>BANANA SOCKET RED -660310</t>
  </si>
  <si>
    <t>MK628-660310</t>
  </si>
  <si>
    <t>BANANA SOCKET BLACK</t>
  </si>
  <si>
    <t>RCP-022</t>
  </si>
  <si>
    <t>CUI Inc</t>
  </si>
  <si>
    <t>Conn RCA Plug Mono 2Cond</t>
  </si>
  <si>
    <t>CONN RCA PLUG MONO 2COND (RED)</t>
  </si>
  <si>
    <t>PO1811-44352-LRT</t>
  </si>
  <si>
    <t>RCP-023</t>
  </si>
  <si>
    <t>CONN RCA PLUG MONO 2COND (WHITE)</t>
  </si>
  <si>
    <t>RCP-024</t>
  </si>
  <si>
    <t>CONN RCA PLUG MONO 2COND (YELLOW)</t>
  </si>
  <si>
    <t>RJ11-6PIN</t>
  </si>
  <si>
    <t>RJ11 CONNECTOR PIC PGM HEADER</t>
  </si>
  <si>
    <t>PN-0000032739</t>
  </si>
  <si>
    <t>RJ11 to 4P Connector</t>
  </si>
  <si>
    <t>RJ45-8PIN PCB</t>
  </si>
  <si>
    <t>RJ45 CONNECTOR SILVER 8PIN-PCB</t>
  </si>
  <si>
    <t>PN-0000032741</t>
  </si>
  <si>
    <t>Cat6e Network Connector</t>
  </si>
  <si>
    <t>RJ50 CONN</t>
  </si>
  <si>
    <t>BAOBLADE RJ50 10P10C MODULAR CONNECTOR (FOR ROUND CABLE, STRANDED) (CRIMP) 10 PACK</t>
  </si>
  <si>
    <t>BAOBLADE RJ50 10P10C MODULAR CONNECTOR (FOR ROUND CABLE, STRANDED) (CRIMP) 10 PACK(3)</t>
  </si>
  <si>
    <t>PO1911-53123-LRT</t>
  </si>
  <si>
    <t>JACK SHIELD 8WAY</t>
  </si>
  <si>
    <t>JACK SHIELD 8WAY(4)</t>
  </si>
  <si>
    <t>MSP2TA-18</t>
  </si>
  <si>
    <t>SPDT Switch 50Ohm DC To 18GHz</t>
  </si>
  <si>
    <t>(1)RF MICROWAVE SINGLE POLE DOUBLE THROW SWT</t>
  </si>
  <si>
    <t>MTS-18B</t>
  </si>
  <si>
    <t>Transfer Switch DC To 18GHz</t>
  </si>
  <si>
    <t>(2)MINI CIRCUIT +24VDC</t>
  </si>
  <si>
    <t>ZN2PD-6G-1</t>
  </si>
  <si>
    <t>SMA 2 Power Divider</t>
  </si>
  <si>
    <t>(3)POWER SPLITTER</t>
  </si>
  <si>
    <t>181-244</t>
  </si>
  <si>
    <t>Magnetic Surface Fixing</t>
  </si>
  <si>
    <t>MAGNET</t>
  </si>
  <si>
    <t>PO1608-27167-LRT</t>
  </si>
  <si>
    <t>618 002 137 22D EC</t>
  </si>
  <si>
    <t>FEMALE CRIMP CONTACT WR-DSUB (MOQ : 100PCS)</t>
  </si>
  <si>
    <t>PO1803-39098-LRT</t>
  </si>
  <si>
    <t>618 004 137 22D EC</t>
  </si>
  <si>
    <t>MALE CRIMP CONTACT WR-DSUB (MOQ : 100PCS)</t>
  </si>
  <si>
    <t>618 015 217 122</t>
  </si>
  <si>
    <t>MALE TERMINAL HOUSING WR-DSUB (MOQ : 50 PCS) 15Pos</t>
  </si>
  <si>
    <t>MALE TERMINAL HOUSING WR-DSUB (MOQ : 50 PCS)</t>
  </si>
  <si>
    <t>618 015 217 222</t>
  </si>
  <si>
    <t>FEMALE TERMINAL HOUSING WR-DSUB (MOQ : 50PCS)</t>
  </si>
  <si>
    <t xml:space="preserve">A </t>
  </si>
  <si>
    <t>TS-18120223</t>
  </si>
  <si>
    <t>2.54MM DUPONT MALE PIN TERMINAL</t>
  </si>
  <si>
    <t>2.54mm Dupont Male Pin Terminal</t>
  </si>
  <si>
    <t>PO1803-39303-LRT</t>
  </si>
  <si>
    <t>28-6554-10 -  IC &amp; COMPONENT SOCKET, X55X SERIES, DIP, 28 CONTACTS, 2.54 MM, 15.24 MM, TIN PLATED CONTACTS</t>
  </si>
  <si>
    <t>PO1608-27168-LRT</t>
  </si>
  <si>
    <t>878-1101</t>
  </si>
  <si>
    <t>Cable Brush Plate</t>
  </si>
  <si>
    <t>PO1910-51948-LRT</t>
  </si>
  <si>
    <t>WR-DSUB MALE ANGLED PCB CONNECTOR</t>
  </si>
  <si>
    <t>PO2008-59341-LRT</t>
  </si>
  <si>
    <t>MGN15H1R190ZOCM</t>
  </si>
  <si>
    <t>HIWIN LINEAR RAIL C-W 1 BLOCK</t>
  </si>
  <si>
    <t>(1)HIWIN LINEAR RAIL C-W 1 BLOCK</t>
  </si>
  <si>
    <t>PO1602-22038-LRT</t>
  </si>
  <si>
    <t>MGN7HIR40</t>
  </si>
  <si>
    <t>LINEAR RAIL</t>
  </si>
  <si>
    <t>(2)LINEAR RAIL</t>
  </si>
  <si>
    <t>MGN9HI406JY-IC</t>
  </si>
  <si>
    <t>HIWIN LINEAR RAIL C/W BLOCK</t>
  </si>
  <si>
    <t>(3)HIWIN LINEAR RAIL C/W BLOCK</t>
  </si>
  <si>
    <t>MGN9HIR112</t>
  </si>
  <si>
    <t>HIWIN LINEARRAIL C/W 1 BLOCK MGW</t>
  </si>
  <si>
    <t>(4)HIWIN LINEARRAIL C/W 1 BLOCK MGW</t>
  </si>
  <si>
    <t>PO1302-00760-LRT</t>
  </si>
  <si>
    <t>SSFJ20-230</t>
  </si>
  <si>
    <t>LINEAR SHAFT (3,426g)</t>
  </si>
  <si>
    <t>AJ-5 M12 x 70mm</t>
  </si>
  <si>
    <t>M12 LEVELING STAND (ALTERNATIVE P/N: C-AJPJ12-68</t>
  </si>
  <si>
    <t>382811-8</t>
  </si>
  <si>
    <t>Shunt Jumper,2Way,2.54mm</t>
  </si>
  <si>
    <t>SHUNT, 2.54 X 1.27MM, BLACK - (ELEMENT : 1516115)(1)</t>
  </si>
  <si>
    <t>61301211821 (WE : 613 012 118 21)</t>
  </si>
  <si>
    <t>Conn Header Vert 12Pos 2.54mm</t>
  </si>
  <si>
    <t>Board-To-Board Connector, 2.54 mm, 12 Contacts, Receptacle, WR-PHD Series, Through Hole, 1 Rows(2)</t>
  </si>
  <si>
    <t>PO1805-40578-LRT</t>
  </si>
  <si>
    <t>680M7W2103L401</t>
  </si>
  <si>
    <t>D-SUB MIXED CONTACT CONNECTORS STD POWER-D 7W2 40A MALE SOLDER</t>
  </si>
  <si>
    <t>D-SUB MIXED CONTACT CONNECTORS STD POWER-D 7W2 40A MALE SOLDER(3)</t>
  </si>
  <si>
    <t>PO1901-45725-LRT</t>
  </si>
  <si>
    <t>680M7W2203L401</t>
  </si>
  <si>
    <t>D-SUB MIXED CONTACT CONNECTORS STD POWER-D 7W2 40A FEMALE SOLDER</t>
  </si>
  <si>
    <t>D-SUB MIXED CONTACT CONNECTORS STD POWER-D 7W2 40A FEMALE SOLDER(4)</t>
  </si>
  <si>
    <t>10112123 - (Element : 1386929)</t>
  </si>
  <si>
    <t>KK 254 Crimp Housing, High Pressure, 12 Circuits, Natural</t>
  </si>
  <si>
    <t>KK 254 Crimp Housing, High Pressure, 12 Circuits, Natural(5)</t>
  </si>
  <si>
    <t>A-DFF 15LPIII/Z</t>
  </si>
  <si>
    <t>Conn D-Sub Rcpt 15Pos IDC</t>
  </si>
  <si>
    <t>WR -DSUB FEMALE CRIMP HOUSING 15PIN(6)</t>
  </si>
  <si>
    <t>WR-DSUB 10.30 MM FEMALE ANGLED PCB CONNECTOR W/O HEX SCREW</t>
  </si>
  <si>
    <t>618 015 233 821</t>
  </si>
  <si>
    <t>961103-6404 AR</t>
  </si>
  <si>
    <t>3 POS HEADER PIN CONNECTOR(8)</t>
  </si>
  <si>
    <t>D15P24A4GV00LF - (Element : 1103909)</t>
  </si>
  <si>
    <t>15 POSITION D-SUB PLUG, MALE PINS CONNECTOR,RIGHT ANGLE</t>
  </si>
  <si>
    <t>15 POSITION D-SUB PLUG, MALE PINS CONNECTOR,RIGHT ANGLE(10)</t>
  </si>
  <si>
    <t>PO1901-45765-LRT</t>
  </si>
  <si>
    <t>M-5AU-4</t>
  </si>
  <si>
    <t>MINIATURE FITTING SILVER W/O RUBBER-SYSTEK</t>
  </si>
  <si>
    <t>MINIATURE FITTING SILVER W/O RUBBER-SYSTEK(1)</t>
  </si>
  <si>
    <t>Connector/Fasterner</t>
  </si>
  <si>
    <t>SMC M-5AU-4</t>
  </si>
  <si>
    <t>MINIATURE FITTING SILVER</t>
  </si>
  <si>
    <t>M-5AU-4-SILVER-RJ</t>
  </si>
  <si>
    <t>SMC MINIATURE FITTING SILVER 0.8MM</t>
  </si>
  <si>
    <t>SMC MINIATURE FITTING SILVER 0.8MM(2)</t>
  </si>
  <si>
    <t>0.4MM</t>
  </si>
  <si>
    <t>MINIATURE FITTING BRASS DIA 0.4MM</t>
  </si>
  <si>
    <t>MINIATURE FITTING BRASS DIA 0.4MM(3)</t>
  </si>
  <si>
    <t>M-5AU-4-1.0M HOLE</t>
  </si>
  <si>
    <t>MINIATURE FITTING BRASS</t>
  </si>
  <si>
    <t>MINIATURE FITTING BRASS(4)</t>
  </si>
  <si>
    <t>M - 5ALU - 4</t>
  </si>
  <si>
    <t>MINIATURE FITTING</t>
  </si>
  <si>
    <t>MINIATURE FITTING(5)</t>
  </si>
  <si>
    <t>No Hole</t>
  </si>
  <si>
    <t>MINIATURE FITTING W/O HOLE (FOR MODIFIED TO Ø02</t>
  </si>
  <si>
    <t>MINIATURE FITTING W/O HOLE (FOR MODIFIED TO Ø02 (6)</t>
  </si>
  <si>
    <t>M-5AU-4-(5.2M HOLE)</t>
  </si>
  <si>
    <t>MINIATURE FITTING BRASS 5.2M HOLE</t>
  </si>
  <si>
    <t>MINIATURE FITTING BRASS 5.2M HOLE(7)</t>
  </si>
  <si>
    <t>M-5AU-4 5.0M HOLE</t>
  </si>
  <si>
    <t>PN-0000027856</t>
  </si>
  <si>
    <t>24 WAY CONNECTOR FEMALE</t>
  </si>
  <si>
    <t>SOLDER TYPE MALE</t>
  </si>
  <si>
    <t>20 WAY ATX MAIN POWER CONNECTOR</t>
  </si>
  <si>
    <t>24 WAY FEMALE</t>
  </si>
  <si>
    <t>24WAY MALE</t>
  </si>
  <si>
    <t>2X12 WAY CONNECTOR MALE</t>
  </si>
  <si>
    <t>WHITE (FEMALE)</t>
  </si>
  <si>
    <t>14 WAY CONNECTOR C/W PIN</t>
  </si>
  <si>
    <t>20way</t>
  </si>
  <si>
    <t>20WAY FEMALE CONNECTOR</t>
  </si>
  <si>
    <t>NM4001S</t>
  </si>
  <si>
    <t>2X2 (4WAY)4.2MM POWER CONNECTER MALE+FEMALE C/W PIN</t>
  </si>
  <si>
    <t>PO1705-32277-LRT</t>
  </si>
  <si>
    <t>003091022 / 003092021</t>
  </si>
  <si>
    <t>1 X 2</t>
  </si>
  <si>
    <t>2 WAY POWER CONNECTOR MALE + FEMALE C/W PIN</t>
  </si>
  <si>
    <t>PO1506-16231-LRT</t>
  </si>
  <si>
    <t>39-01-2061- (Element: 2118879)</t>
  </si>
  <si>
    <t>CONN PLUG 6POS PANEL MOUNT</t>
  </si>
  <si>
    <t>PO1812-44759-LRT</t>
  </si>
  <si>
    <t>39-11-0041- (Element : 2725168)</t>
  </si>
  <si>
    <t>CONN TERM MALE 18-24AWG TIN</t>
  </si>
  <si>
    <t>39-00-0041</t>
  </si>
  <si>
    <t>PO1908-51165-LRT</t>
  </si>
  <si>
    <t>MLX 0.193 4W F&amp;M</t>
  </si>
  <si>
    <t>MLX 0.193 4W MALE &amp; FEMALE CONNECTOR</t>
  </si>
  <si>
    <t>PO1708-34626-LRT</t>
  </si>
  <si>
    <t>10WAY MOLEX</t>
  </si>
  <si>
    <t>10WAY MOLEX CONN FEMALE</t>
  </si>
  <si>
    <t>8WAY</t>
  </si>
  <si>
    <t>8WAY MOLEX SOCKET C/W PIN</t>
  </si>
  <si>
    <t>8WAY MOLEX SOCKET</t>
  </si>
  <si>
    <t>4 WAY</t>
  </si>
  <si>
    <t>HEADER PIN</t>
  </si>
  <si>
    <t>HEADER PIN R/A</t>
  </si>
  <si>
    <t>10WAY MALE</t>
  </si>
  <si>
    <t>10WAY MOLEX HEADER PIN MALE</t>
  </si>
  <si>
    <t>NSW0005</t>
  </si>
  <si>
    <t>30 WAY SOCKET GREY</t>
  </si>
  <si>
    <t>NSW0004</t>
  </si>
  <si>
    <t>30WAY GREY PLUG CONNECTOR ELITE ID:NSW004</t>
  </si>
  <si>
    <t>2 WAY CONNECTOR STRAIGHT BLACK</t>
  </si>
  <si>
    <t>PO1301-00521-LRT</t>
  </si>
  <si>
    <t>172299-1114</t>
  </si>
  <si>
    <t>ULTRAFIT 3.5MM 14CONNECTOR</t>
  </si>
  <si>
    <t>PO1812-45110-LRT</t>
  </si>
  <si>
    <t>CONN HEADER VERT 40POS 2.54MM</t>
  </si>
  <si>
    <t>connector</t>
  </si>
  <si>
    <t>PO1902-46008-LRT</t>
  </si>
  <si>
    <t>1634689-6</t>
  </si>
  <si>
    <t>16WAY HEADER BOX R/A</t>
  </si>
  <si>
    <t>32WAY 2 ROW R/A PCB SOCKET</t>
  </si>
  <si>
    <t>16 WAY (MALE)</t>
  </si>
  <si>
    <t>16 WAY IDC PLUG WITH LATCH</t>
  </si>
  <si>
    <t>'612016235121</t>
  </si>
  <si>
    <t>16WAY HEADER BOX MALE</t>
  </si>
  <si>
    <t>16WAY HEADER BOX MALE-110716</t>
  </si>
  <si>
    <t>50WAY IDC SOCKET PCB MOUNT M+F</t>
  </si>
  <si>
    <t>50way IDC SOCKET PCB MOUNT-87606-325LF</t>
  </si>
  <si>
    <t>2.54 mm Male Box Header with long lever</t>
  </si>
  <si>
    <t>PPPC1521LFBN-RC</t>
  </si>
  <si>
    <t>CONNECTOR HEADER 30POS-111810</t>
  </si>
  <si>
    <t>CONN HEADER 30POS-111810</t>
  </si>
  <si>
    <t>TS-161220115</t>
  </si>
  <si>
    <t>DB15 Clamp pin</t>
  </si>
  <si>
    <t>TS-161220112</t>
  </si>
  <si>
    <t>DB 15 way Female Clamping Connector With Pin</t>
  </si>
  <si>
    <t>P-202006-017</t>
  </si>
  <si>
    <t>DB 15 Male Clamp pin</t>
  </si>
  <si>
    <t>MHDM15SP</t>
  </si>
  <si>
    <t>DB15 D-SUB SOCKET SOLDER</t>
  </si>
  <si>
    <t>DB15 MALE CONNECTOR(SOLDER TYPE) -110115M</t>
  </si>
  <si>
    <t>MHDM15SS</t>
  </si>
  <si>
    <t>DB15 FEMALE CONNECTOR(SOLDER TYPE) -110115F</t>
  </si>
  <si>
    <t>61801529321  - (IE : 110209FSL)</t>
  </si>
  <si>
    <t>DB 15 WAY (F) CONN PCB MOUNT C/W HEXGEN SCREW</t>
  </si>
  <si>
    <t>DB15WAY (F) CONN PCB MOUNT</t>
  </si>
  <si>
    <t>110315F</t>
  </si>
  <si>
    <t>DB15 CONNECTOR SOLDER TYPE FEMALE-3ROW</t>
  </si>
  <si>
    <t>FEMALE (2ROW-BLUE)</t>
  </si>
  <si>
    <t>DB15 CONNECTOR PCB MOUNT</t>
  </si>
  <si>
    <t>RIGHT ANGLE (FEMALE)</t>
  </si>
  <si>
    <t>DB15 PCB SOCKET CONNECTOR</t>
  </si>
  <si>
    <t>DB15 M</t>
  </si>
  <si>
    <t xml:space="preserve">DB15-M CONNECTOR D-SUB </t>
  </si>
  <si>
    <t>DB15-M CONNECTOR D-SUB (BLUE)</t>
  </si>
  <si>
    <t>DGB15MF / 301123 (2 ROW)</t>
  </si>
  <si>
    <t>DB15 GENDER CHANGER M TO F</t>
  </si>
  <si>
    <t>301134 (3 ROW)</t>
  </si>
  <si>
    <t>AB420</t>
  </si>
  <si>
    <t>Gender Changer D Sub HD 15Pos F-F</t>
  </si>
  <si>
    <t>DB15 GENDER CHANGER F TO F</t>
  </si>
  <si>
    <t>DGB15F (2 ROW)</t>
  </si>
  <si>
    <t>DB15M</t>
  </si>
  <si>
    <t>D-SUB DB15 MALE-3ROW (BLACK)</t>
  </si>
  <si>
    <t>FEMALE (3ROW-BLACK)</t>
  </si>
  <si>
    <t>DB15 CONNECTOR SOLDER TYPE</t>
  </si>
  <si>
    <t>DB-15P(3ROW)</t>
  </si>
  <si>
    <t>D-SUB DB15 MALE-3ROW</t>
  </si>
  <si>
    <t>SD15S-PC</t>
  </si>
  <si>
    <t>DB15 FEMALE CONNECTOR PCB MOUNT-2row</t>
  </si>
  <si>
    <t>SD15P</t>
  </si>
  <si>
    <t>DB15 CONNECTOR MALE</t>
  </si>
  <si>
    <t>5501-15SA-02-F1 - - (Element : 1084679)</t>
  </si>
  <si>
    <t>5501-15SA-02-F1</t>
  </si>
  <si>
    <t>D Sub Connector,Standard,Receptacle,15 Contacts,Solder Cup</t>
  </si>
  <si>
    <t>D-SUB Solder 15 ways Female (socket)</t>
  </si>
  <si>
    <t>PO1805-40443-LRT</t>
  </si>
  <si>
    <t>20 WAY FEMALE</t>
  </si>
  <si>
    <t>20 WAY ATX POWER CONNECTOR</t>
  </si>
  <si>
    <t>HEADERS &amp; WIRE HOUSINGS WR-PHD 2.54MM HDR 3P SINGLE STR GOLD</t>
  </si>
  <si>
    <t>PO1904-47672-LRT</t>
  </si>
  <si>
    <t>CONNECTOR D-SUB MALE 15 WAY WITH HEX SCREW (IE:110215M-SL)</t>
  </si>
  <si>
    <t>CONNECTOR D-SUB MALE 15 WAY WITH HEX SCREW</t>
  </si>
  <si>
    <t>PO1901-45439-LRT</t>
  </si>
  <si>
    <t>618015226221</t>
  </si>
  <si>
    <t>D-SUB STD CONNECTOR DB15 FEMALE CLAMPING-618015227221</t>
  </si>
  <si>
    <t>D-SUB CONN DB15 FEMALE CLAMPING-618015226221</t>
  </si>
  <si>
    <t>618015227221</t>
  </si>
  <si>
    <t>D-SUB STD CONNECTOR DB15 MALE CLAMPING-618015226221</t>
  </si>
  <si>
    <t>D-SUB CONN DB15 MALE CLAMPING-618015227221</t>
  </si>
  <si>
    <t>1757824-1</t>
  </si>
  <si>
    <t>1757824-1 -  D Sub Connector Housing, Crimp, 15 Ways, High Density D Sub, DE, AMPLIMITE 90 Series, Receptacle</t>
  </si>
  <si>
    <t>Header, Female, 34 Way, 2.54mm Pitch, Dual row, Right Angle</t>
  </si>
  <si>
    <t>HEADER</t>
  </si>
  <si>
    <t>PO1704-31371-LRT</t>
  </si>
  <si>
    <t>Header, Male, 40 Way, 2.54mm Pitch, Dual row, Right Angle</t>
  </si>
  <si>
    <t>PO1704-31381-LRT</t>
  </si>
  <si>
    <t>3.5CM LONG (SMALL)</t>
  </si>
  <si>
    <t>2X40 HEADER PIN RIGHT ANGLE</t>
  </si>
  <si>
    <t>111804 (10CM LONG)</t>
  </si>
  <si>
    <t>2X40 HEADER PIN STRAIGHT</t>
  </si>
  <si>
    <t>2X40</t>
  </si>
  <si>
    <t>Header Pin Right Angle</t>
  </si>
  <si>
    <t>111804 (2CM LONG)</t>
  </si>
  <si>
    <t>111804 (5CM LONG)</t>
  </si>
  <si>
    <t>ECF504-BAS</t>
  </si>
  <si>
    <t>USB B-A PANEL ADAPTOR</t>
  </si>
  <si>
    <t>16 WAY SOCKET</t>
  </si>
  <si>
    <t>16WAY MOLEX SOCKET C/W PIN</t>
  </si>
  <si>
    <t>111312M</t>
  </si>
  <si>
    <t>12 WAY MOLEX CONN MALE +/-</t>
  </si>
  <si>
    <t>PO1804-40052-LRT</t>
  </si>
  <si>
    <t>111312F</t>
  </si>
  <si>
    <t>12 WAY MOLEX CONN FEMALE +/-</t>
  </si>
  <si>
    <t>12.03.2991</t>
  </si>
  <si>
    <t>USB3.0 TYPE A FEMALE</t>
  </si>
  <si>
    <t>USB 3.0 ADAPTER TYPE AF TO TYPE AF</t>
  </si>
  <si>
    <t>UAD036FF</t>
  </si>
  <si>
    <t>USB3.0 ADAPTER TYPE A F+F</t>
  </si>
  <si>
    <t>ECF504-UAAS</t>
  </si>
  <si>
    <t>USB A-A PANEL ADAPTOR</t>
  </si>
  <si>
    <t>PO1809-42445-LRT</t>
  </si>
  <si>
    <t>UAD037MM</t>
  </si>
  <si>
    <t>USB3.0 ADAPTER  TYPE A MALE TO A MALE</t>
  </si>
  <si>
    <t>USB3.0 ADAPTER TYPE A MALE TO A MALE</t>
  </si>
  <si>
    <t>15-24-4449</t>
  </si>
  <si>
    <t>4WAY POWER CONNECTOR MALE PCB TYPE</t>
  </si>
  <si>
    <t>4WAY POWER CONNECTOR MALE PCB TYPE 111507M</t>
  </si>
  <si>
    <t>1x3 way</t>
  </si>
  <si>
    <t>POWER CONNECTOR FEMALE</t>
  </si>
  <si>
    <t>750086</t>
  </si>
  <si>
    <t>lm69</t>
  </si>
  <si>
    <t>3 WAY PLUG HOUSING</t>
  </si>
  <si>
    <t>1X2WAY</t>
  </si>
  <si>
    <t>2WAY POWER CONNECTOR WHITE</t>
  </si>
  <si>
    <t>0003061022</t>
  </si>
  <si>
    <t>2POSITION RECTANGULAR HOUSING CONNECTOR RECEPTACLE NATURAL  0.145"</t>
  </si>
  <si>
    <t>0003062024</t>
  </si>
  <si>
    <t>2POSITION RECTANGULAR HOUSING CONNECTOR PLUG  NATURAL  0.145"</t>
  </si>
  <si>
    <t>2POSITION RECTANGULAR HOUSING CONNECTOR PLUG NATURAL  0.145"</t>
  </si>
  <si>
    <t>0002061103</t>
  </si>
  <si>
    <t>SOCKET CONTACT TIN 18-24 CRIMP POWER</t>
  </si>
  <si>
    <t>0002062103</t>
  </si>
  <si>
    <t>750074</t>
  </si>
  <si>
    <t>2WAY PLUG HOUSING</t>
  </si>
  <si>
    <t>1079899</t>
  </si>
  <si>
    <t>4WAY MOLEX PLUG</t>
  </si>
  <si>
    <t>09-91-0200(143-157)</t>
  </si>
  <si>
    <t>2WAY CRIMP HOUSING</t>
  </si>
  <si>
    <t>WM3703-ND (39-01-208)</t>
  </si>
  <si>
    <t>8WAY POWER  CONNECTOR 2X4W</t>
  </si>
  <si>
    <t>2X3WAY</t>
  </si>
  <si>
    <t>6WAY POWER CONNECTOR -2x3</t>
  </si>
  <si>
    <t>6WAY POWER CONNECTOR</t>
  </si>
  <si>
    <t>172167-1</t>
  </si>
  <si>
    <t>4WAY PLUG HOUSING</t>
  </si>
  <si>
    <t>1X3F</t>
  </si>
  <si>
    <t>3WAY POWER CONNECTOR FEMALE</t>
  </si>
  <si>
    <t>24 AWG TO 18 AWG</t>
  </si>
  <si>
    <t>PIN CRIMP</t>
  </si>
  <si>
    <t>MOLEX CONTACT PIN  CRIMP</t>
  </si>
  <si>
    <t>Connector/Pin</t>
  </si>
  <si>
    <t>1 X 3 WAY (WHITE)</t>
  </si>
  <si>
    <t>12 WAY MOLEX CONNECTOR</t>
  </si>
  <si>
    <t>12 WAY MOLEX CONNECTOR (WHITE)</t>
  </si>
  <si>
    <t>1079893</t>
  </si>
  <si>
    <t>4WAY MOLEX HOUSING RECEPTACLE</t>
  </si>
  <si>
    <t>4 X 3 WAY (WHITE)</t>
  </si>
  <si>
    <t>4WAY-WHITE</t>
  </si>
  <si>
    <t>171-009-103L001</t>
  </si>
  <si>
    <t>DB9 MALE CONNECTOR 209ME-ND</t>
  </si>
  <si>
    <t>DB9 MALE CONNECTOR-209ME-ND</t>
  </si>
  <si>
    <t>171-009-203L001</t>
  </si>
  <si>
    <t>DB9 FEMALE CONNECTOR 209FE-ND</t>
  </si>
  <si>
    <t>DB9 FEMALE CONNECTOR-209FE-ND</t>
  </si>
  <si>
    <t>MHDM9SP - (Element : 1084672)</t>
  </si>
  <si>
    <t>DB9 MALE CONNECTOR- (EQUIVALENT : 5501-09PA-02-F1 - MULTICOMP)</t>
  </si>
  <si>
    <t>PO1810-43154-LRT</t>
  </si>
  <si>
    <t>164532-4</t>
  </si>
  <si>
    <t>D Sub Connector Housing,15 Way,Receptacle Steel Body</t>
  </si>
  <si>
    <t>Connectors-Crimp D-sub Connectors -15-F (element 14 : 3482601)</t>
  </si>
  <si>
    <t>PO1611-28742-LRT</t>
  </si>
  <si>
    <t>61800929321 (WE : 618 009 293 21)</t>
  </si>
  <si>
    <t>D TYPE CONNECTOR, 9 CONTACT(S), FEMALE, 0.109 INCH PITCH, SOLDER TERMINAL, #4-40, PLUG</t>
  </si>
  <si>
    <t>183-0999</t>
  </si>
  <si>
    <t>9WAY SOCKET D FILTERED</t>
  </si>
  <si>
    <t>899pcs location M4</t>
  </si>
  <si>
    <t>DB9 CONNECTOR C/W HEXAGON SCREW ON TOP &amp; BOTTOM</t>
  </si>
  <si>
    <t>DB9 CONNECTOR C/W HEXAGON SCREW ON TOP &amp; BOTTOM (110209 FSL)</t>
  </si>
  <si>
    <t>PO1901-45436-LRT</t>
  </si>
  <si>
    <t>WR-DSUB MALE PCB CONNECTOR - (MOQ : 50PCS) 110209M SL</t>
  </si>
  <si>
    <t>DB9 Connector, Hexagon Screw Top &amp; Bottom-Male</t>
  </si>
  <si>
    <t>PO1607-26910-LRT</t>
  </si>
  <si>
    <t>680-8822</t>
  </si>
  <si>
    <t>DB9 ADAPTER FEMALE TO FEMALE</t>
  </si>
  <si>
    <t>110209F</t>
  </si>
  <si>
    <t>DB9 Connector c/w hexagon screw on top &amp; bottom</t>
  </si>
  <si>
    <t>PO1805-40360-LRT</t>
  </si>
  <si>
    <t>110209MSL</t>
  </si>
  <si>
    <t>DB9 MALE CONNECTOR TOP AND BOTTOM C/W HEX SCREW-110209M-SL</t>
  </si>
  <si>
    <t>PO1606-24429-LRT</t>
  </si>
  <si>
    <t>MHDM9SS - (Element : 1084678)</t>
  </si>
  <si>
    <t>DB9 FEMALE CONNECTOR - (EQUIVALENT :  5501-09SA-02-F1 - MULICOMP) -61800924923</t>
  </si>
  <si>
    <t>DB9 FEMALE CONNECTOR - (EQUIVALENT :  5501-09SA-02-F1 - MULICOMP)</t>
  </si>
  <si>
    <t>PO1811-44081-LRT</t>
  </si>
  <si>
    <t>110209 FSL</t>
  </si>
  <si>
    <t>9 WAY PCB MOUNT FEMALE C/W HEXAGON SCREW</t>
  </si>
  <si>
    <t>PO1811-44321-LRT</t>
  </si>
  <si>
    <t>Female Angled PCB Connector without Hex Screw</t>
  </si>
  <si>
    <t>Female Angled PCB Connector without Hex Screw (111509F)</t>
  </si>
  <si>
    <t>PO2008-59630-LRT</t>
  </si>
  <si>
    <t>172-009-202R001</t>
  </si>
  <si>
    <t xml:space="preserve">D-SUB STANDARD CONNECTGORS 9POS FEMALE </t>
  </si>
  <si>
    <t>CONN D-SUB RCPT 9POS PNL MNT</t>
  </si>
  <si>
    <t>172-009-102R001</t>
  </si>
  <si>
    <t>D Sub Standard Connectors 9Pos Male 5A Steel</t>
  </si>
  <si>
    <t>110109F</t>
  </si>
  <si>
    <t>9 WAY D-SUB CONNECTOR SOLDER TYPE female</t>
  </si>
  <si>
    <t>9 WAY D-SUB CONNECTOR SOLDER TYPE Female</t>
  </si>
  <si>
    <t xml:space="preserve">110109M </t>
  </si>
  <si>
    <t>9WAY D-SUB CONNECTOR MALE-172-009-102R001</t>
  </si>
  <si>
    <t>DB9 Male Connector</t>
  </si>
  <si>
    <t>PO1312-04806-LRT</t>
  </si>
  <si>
    <t>110115FR / 108-4679</t>
  </si>
  <si>
    <t>DB15 D-SUB SOCKET SOLDER (FEMALE)</t>
  </si>
  <si>
    <t>DGB9MF</t>
  </si>
  <si>
    <t>DB9 GENDER CHANGER MALE TO FEMALE</t>
  </si>
  <si>
    <t>PO1607-26752-LRT</t>
  </si>
  <si>
    <t>SD9S-PC</t>
  </si>
  <si>
    <t>DB9 FEMALE PCB CONNECTOR</t>
  </si>
  <si>
    <t>DGB9M-M</t>
  </si>
  <si>
    <t>DB9 GENDER CHANGER MALE TO MALE</t>
  </si>
  <si>
    <t>1084678 (M &amp; F)</t>
  </si>
  <si>
    <t>DB9 SOCKET D.SOLDER</t>
  </si>
  <si>
    <t>DGB9F-F</t>
  </si>
  <si>
    <t>301134-DB9 GENDER CHANDER FEMALE TO FEMALE</t>
  </si>
  <si>
    <t>DB9 GENDER CHANDER FEMALE TO FEMALE</t>
  </si>
  <si>
    <t>DB9 CONNECTOR TERMINAL (FEMALE WITH PIN</t>
  </si>
  <si>
    <t>ESD</t>
  </si>
  <si>
    <t>1611-28282-LRT</t>
  </si>
  <si>
    <t>61800413722D EC</t>
  </si>
  <si>
    <t>WR-DSUB TERMINAL CONTACT MALE AWG20-22</t>
  </si>
  <si>
    <t>WR-DSUB MALE TERMINAL CONTACT MALE AWG20-22</t>
  </si>
  <si>
    <t>618009217122</t>
  </si>
  <si>
    <t>WR -DSUB MALE TERMINAL HOUSING 9PIN</t>
  </si>
  <si>
    <t>5 WAY (FEMALE)</t>
  </si>
  <si>
    <t>5 WAY MOLEX SOCKET C/W PIN</t>
  </si>
  <si>
    <t>MOLEX 6WAY-FEMALE</t>
  </si>
  <si>
    <t>6WAY MOLEX SOCKET</t>
  </si>
  <si>
    <t>7WAY (FEMALE)</t>
  </si>
  <si>
    <t>7WAY MOLEX SOCKET</t>
  </si>
  <si>
    <t>7WAY MOLEX SOCKET  C/W PIN</t>
  </si>
  <si>
    <t>6 WAY (MALE)</t>
  </si>
  <si>
    <t>6 WAY MOLEX SOCKET (1X6)</t>
  </si>
  <si>
    <t>140</t>
  </si>
  <si>
    <t>3 WAY WHITE CONNECTOR</t>
  </si>
  <si>
    <t>2X3-FEMALE 6PIN</t>
  </si>
  <si>
    <t>6WAY POWER CONN FEMALE FOR PRJ3_4</t>
  </si>
  <si>
    <t>1X2-FEMALE</t>
  </si>
  <si>
    <t>2WAY FEMALE CONNECTOR-WHITE</t>
  </si>
  <si>
    <t>9963243</t>
  </si>
  <si>
    <t>MOLEX-39012140-RECEPTACLE,MINI-FIT,14WAY</t>
  </si>
  <si>
    <t>PO1711-36151-LRT</t>
  </si>
  <si>
    <t>39281143 - (RS : 181-5055)</t>
  </si>
  <si>
    <t>HEADER, MINI FIT, 14 WAYS - ( 2 PACK X 5 PCS = 10PCS)</t>
  </si>
  <si>
    <t>PO1811-44189LRT</t>
  </si>
  <si>
    <t>1-480698-0 - (Element : 285146)</t>
  </si>
  <si>
    <t>2 Way Commercial TE AMP Mate-N-Lok Wiring Connector Plug (Housing)</t>
  </si>
  <si>
    <t>PO1905-49004-LRT</t>
  </si>
  <si>
    <t>1-480699-0 - (Element -285225)</t>
  </si>
  <si>
    <t>2 Way Commercial TE AMP Mate-N-Lok Wiring Connector Cap (Housing)</t>
  </si>
  <si>
    <t>ECF504-SC6 - Element : 2396307</t>
  </si>
  <si>
    <t>Cat6 RJ45 Coupler Shielded (8x8) Panel Mount Style - (Equivalent : MPN : MC8533-6201)</t>
  </si>
  <si>
    <t>ECF504-SC6- Element : 2396307</t>
  </si>
  <si>
    <t>Cat6 RJ45 Coupler Shielded (8x8) Panel Mount Style-(Equivalent : MPN : MC8533-6201)</t>
  </si>
  <si>
    <t>PO1910-52000-LRT</t>
  </si>
  <si>
    <t>ECF504-SC6A</t>
  </si>
  <si>
    <t>CAT6 RJ45 Coupler Panel Mount Style_ECF504-SC6A</t>
  </si>
  <si>
    <t>PO1901-8099-LRT</t>
  </si>
  <si>
    <t>ECF504-C5</t>
  </si>
  <si>
    <t>IN LINE COUPLER RJ45 JACK</t>
  </si>
  <si>
    <t>In Line Coupler RJ45 Jack</t>
  </si>
  <si>
    <t>ECF504-UAA</t>
  </si>
  <si>
    <t>USB Adapter A-A, Ivory</t>
  </si>
  <si>
    <t>PO1805-40440-LRT</t>
  </si>
  <si>
    <t>PN-0000032171</t>
  </si>
  <si>
    <t>RJ45 Waterproof Coupler Socket Connector IP65 Ethernet Panel Mount</t>
  </si>
  <si>
    <t>PO1911-53047-LRT</t>
  </si>
  <si>
    <t>54329-1 (Digikey : 54329-1-ND)</t>
  </si>
  <si>
    <t>CONN TERM POWER LOCK 12 AWG SOLDER</t>
  </si>
  <si>
    <t>PO1706-33204-LRT</t>
  </si>
  <si>
    <t>53894-1 (Digikey : 53894-1-ND)</t>
  </si>
  <si>
    <t>CONNECTOR HOUSING POWER LOCK 1 POS</t>
  </si>
  <si>
    <t>CONNECTOR HOUSING POWER LOCK 1 POS-LOW CONNECTOR</t>
  </si>
  <si>
    <t>54489-4 (Digikey : 54489-4-ND)</t>
  </si>
  <si>
    <t>CONN HOUSING 4POS W/FLG PWR LOCK</t>
  </si>
  <si>
    <t>CONN HOUSING 4POS W/FLG PWR LOCK-LOW CONNECTOR</t>
  </si>
  <si>
    <t>618009231121</t>
  </si>
  <si>
    <t>FDE-9ST2/1-LF</t>
  </si>
  <si>
    <t>D Sub Connector,Filtered,Receptacle,9 Contacts,DB9</t>
  </si>
  <si>
    <t>8.08 MM FEMALE ANGLED PCB CONNECTOR W HEX SCREW - (IE : 110509FR)</t>
  </si>
  <si>
    <t>PO1611-28893-LRT</t>
  </si>
  <si>
    <t>571-5747840-4</t>
  </si>
  <si>
    <t>5747840-4</t>
  </si>
  <si>
    <t>Conn D Sub Plug 9Pos R/A Solder</t>
  </si>
  <si>
    <t>D-SUB STANDARD CONNECTOR</t>
  </si>
  <si>
    <t>PO1412-13037-LRT</t>
  </si>
  <si>
    <t>110509M</t>
  </si>
  <si>
    <t>FDE-9PTI2/1-LF</t>
  </si>
  <si>
    <t>D Sub Connector.Filtered,Plug,9 Contacts,DB9</t>
  </si>
  <si>
    <t>DB9 CONNECTOR R/A MALE -618009231221</t>
  </si>
  <si>
    <t>PO1702-30237-LRT</t>
  </si>
  <si>
    <t>FEMALE (2ROW-WHITE)</t>
  </si>
  <si>
    <t>172-037-102R001</t>
  </si>
  <si>
    <t>D-SUB STANDARD CONNECTGORS 37P MALE SOL CUP GOLD FLASH</t>
  </si>
  <si>
    <t>172-E09-203R911</t>
  </si>
  <si>
    <t>D-SUB STANDARD CONNECTORS 9 POS.SO./CUP FEM 225" SP/BL B/S</t>
  </si>
  <si>
    <t>D-SUB STANDARD CONNECTORS 9P MAE SOLDER CUP</t>
  </si>
  <si>
    <t>172-025-202R001</t>
  </si>
  <si>
    <t>D-SUB STANDARD CONNECTORS 25P FEMALE SOLDER CUP</t>
  </si>
  <si>
    <t>PO1901-45749-LRT</t>
  </si>
  <si>
    <t>172-037-202R001</t>
  </si>
  <si>
    <t>D-SUB STANDARD CONNECTORS 37P FEMALE SOL CUP GOLD FLASH</t>
  </si>
  <si>
    <t>110125FR</t>
  </si>
  <si>
    <t>DB25 D-SUB CONNECTOR FEMALE</t>
  </si>
  <si>
    <t>PO1710-35560-LRT</t>
  </si>
  <si>
    <t>110125MR</t>
  </si>
  <si>
    <t>DB25 D-SUB CONNECTOR MALE-172-025-102R001</t>
  </si>
  <si>
    <t>DB25 D-SUB CONNECTOR MALE-FDB-25PTI2/1-LF</t>
  </si>
  <si>
    <t>MHDN25SP</t>
  </si>
  <si>
    <t>PO1712-36622-LRT</t>
  </si>
  <si>
    <t>110225 FSL</t>
  </si>
  <si>
    <t>25 WAY PCB MOUNT FEMALE C/W HEXAGON SCREW</t>
  </si>
  <si>
    <t>25 WAY PCB MOUNT FEMALE C/W HEXAGON SCREW 61802529321</t>
  </si>
  <si>
    <t>PO1701-30091-LRT</t>
  </si>
  <si>
    <t>DB25 Connector C/W Hexagon Screw On Top &amp; Bottom Female - (IE : 110225FSL)</t>
  </si>
  <si>
    <t>DB25 CONNECTOR,HEXAGON SCREW TOP &amp; BOTTOM (M) 110225M-SL</t>
  </si>
  <si>
    <t>DB25 CONNECTOR,HEXAGON SCREW TOP &amp; BOTTOM (M)</t>
  </si>
  <si>
    <t>PO1805-40436-LRT</t>
  </si>
  <si>
    <t>MHDM25SS - (Element : 1084681)</t>
  </si>
  <si>
    <t>5501-25SA-02-F1</t>
  </si>
  <si>
    <t>D Sub Connector,DB25,Standard,Receptacle</t>
  </si>
  <si>
    <t>DB25 FEMALE CONNECTOR -( EQUIVALENT : 5501-25SA-02-F1- MULTICOMP)</t>
  </si>
  <si>
    <t>PO1810-43393-LRT</t>
  </si>
  <si>
    <t>MHDM25SP - (Element : 1084674)</t>
  </si>
  <si>
    <t>5501-25PA-02-F1</t>
  </si>
  <si>
    <t>D Sub Connector,DB25,Standard,Plug</t>
  </si>
  <si>
    <t>DB25 MALE CONNECTOR- (EQUIVALENT : 5501-25PA-02-F1 - MULITICOMP)</t>
  </si>
  <si>
    <t>1X40 SMALL</t>
  </si>
  <si>
    <t>1X40 HEADER PIN SMALL</t>
  </si>
  <si>
    <t>111803 (10CM LONG)</t>
  </si>
  <si>
    <t>1X40 HEADER PIN STRAIGHT</t>
  </si>
  <si>
    <t>42375-1863</t>
  </si>
  <si>
    <t>111820 (8CM LONG)</t>
  </si>
  <si>
    <t>PO1607-26853-LRT</t>
  </si>
  <si>
    <t>111803</t>
  </si>
  <si>
    <t>1 X 40 PIN HEADER SINGLE ROLL</t>
  </si>
  <si>
    <t>1 X 40 PIN HEADER SINGLE ROW</t>
  </si>
  <si>
    <t>PO1711-36384-LRT</t>
  </si>
  <si>
    <t>109-7981 (9CM LONG)</t>
  </si>
  <si>
    <t>1X36 HEADER PIN STRAIGHT</t>
  </si>
  <si>
    <t>RIGHT ANGLE</t>
  </si>
  <si>
    <t>1X40 HEADER PIN RIGHT ANGLE</t>
  </si>
  <si>
    <t>3CM LONG</t>
  </si>
  <si>
    <t>220141T</t>
  </si>
  <si>
    <t>TURN PIN</t>
  </si>
  <si>
    <t>PO1809-42583-LRT</t>
  </si>
  <si>
    <t>485-035</t>
  </si>
  <si>
    <t>D-SUB CONNECTOR SOCKET FEMALE</t>
  </si>
  <si>
    <t>EMC Components/Connector</t>
  </si>
  <si>
    <t>PO1603-22977-LRT</t>
  </si>
  <si>
    <t>311-5767</t>
  </si>
  <si>
    <t>High  Power Pin 8-12 AWG Contact 40A</t>
  </si>
  <si>
    <t>PO1709-35175-LRT</t>
  </si>
  <si>
    <t>484-953-FM21WAP-4476</t>
  </si>
  <si>
    <t>2WAY D PLUG MALE</t>
  </si>
  <si>
    <t>2433220</t>
  </si>
  <si>
    <t>POWER CONNECTOR PLUG</t>
  </si>
  <si>
    <t>PO1706-32833-LRT</t>
  </si>
  <si>
    <t>3016828</t>
  </si>
  <si>
    <t>PO1408-09175-LRT</t>
  </si>
  <si>
    <t>3016812</t>
  </si>
  <si>
    <t>D PLUG CONTACT 20A</t>
  </si>
  <si>
    <t>PO1408-09392-LRT</t>
  </si>
  <si>
    <t>484969</t>
  </si>
  <si>
    <t>24W7  D PLUG-MALE</t>
  </si>
  <si>
    <t>FM24W7S-K121 - (RS-485-035)</t>
  </si>
  <si>
    <t>24W7D CONNECTOR 485-035</t>
  </si>
  <si>
    <t>PO1811-44189-LRT</t>
  </si>
  <si>
    <t>FMP006S103 / 172704-0155</t>
  </si>
  <si>
    <t>Female Solder D-Sub Connector Power Contact Gold over Nickel Plated Power 12 16 AWG</t>
  </si>
  <si>
    <t>PO1910-52635-LRT</t>
  </si>
  <si>
    <t>CONN HEADER VERT 2POS 2.54MM</t>
  </si>
  <si>
    <t>39-01-2060 - (Element : 151868)</t>
  </si>
  <si>
    <t>CONN RECEPT 6POS DUA</t>
  </si>
  <si>
    <t>PO1812-44728-LRT</t>
  </si>
  <si>
    <t>39-01-2060</t>
  </si>
  <si>
    <t>6 Position Rectangular Housing Connector Receptacle Natural 0.165" (4.20mm)- (Element : 151868)</t>
  </si>
  <si>
    <t>PO1911-52935-LRT</t>
  </si>
  <si>
    <t>39-00-0039 - (Element : 2725174)</t>
  </si>
  <si>
    <t>CONN TERM FEMALE 20-24AWG TIN</t>
  </si>
  <si>
    <t>2X2WAY POWER CONNECTOR M+F</t>
  </si>
  <si>
    <t>1X6 FEMALE</t>
  </si>
  <si>
    <t>1X6 POWER CONN FEMALE</t>
  </si>
  <si>
    <t>6WAY POWER CONNECTOR FEMALE</t>
  </si>
  <si>
    <t>MALE-WHITE (2X3)</t>
  </si>
  <si>
    <t>POWER CONNECTOR</t>
  </si>
  <si>
    <t>6 WAY POWER CONNECTOR</t>
  </si>
  <si>
    <t>FEMALE-WHITE (1X6)</t>
  </si>
  <si>
    <t>MOLEX SOCKET</t>
  </si>
  <si>
    <t>6 WAY MOLEX SOCKET</t>
  </si>
  <si>
    <t>6 Ways Power Connector</t>
  </si>
  <si>
    <t>TDG1026A-8CBK</t>
  </si>
  <si>
    <t>RETAINER FOR 8C COUPLER KIT RJ45</t>
  </si>
  <si>
    <t>1809-43064-LRT</t>
  </si>
  <si>
    <t>TDG1026A-8C</t>
  </si>
  <si>
    <t>PANEL MOUNTED ADAPTER</t>
  </si>
  <si>
    <t>PO1611-28699-LRT</t>
  </si>
  <si>
    <t>BAC1503</t>
  </si>
  <si>
    <t>SI-00050175</t>
  </si>
  <si>
    <t>BAC928</t>
  </si>
  <si>
    <t>CONNECTOR TWIN BNC</t>
  </si>
  <si>
    <t>PO2001-54279-LRT</t>
  </si>
  <si>
    <t>BA240</t>
  </si>
  <si>
    <t>COAXIAL ADAPTER BNC FEMALE R/A MALE</t>
  </si>
  <si>
    <t>PO1710-35394-LRT</t>
  </si>
  <si>
    <t>BAC930</t>
  </si>
  <si>
    <t>TWIN BNC PANEL JACK-162109 (ACX2067-ND)</t>
  </si>
  <si>
    <t>ouch panel</t>
  </si>
  <si>
    <t>BTS5M</t>
  </si>
  <si>
    <t>PO1404-06594-LRT</t>
  </si>
  <si>
    <t>UADKEY-AB</t>
  </si>
  <si>
    <t>USB A-B</t>
  </si>
  <si>
    <t>PO1711-36553-LRT</t>
  </si>
  <si>
    <t>BA1087</t>
  </si>
  <si>
    <t>50 OHM BNC BULKHEAD F-F GROUNDED</t>
  </si>
  <si>
    <t>TDG1026KS-C6</t>
  </si>
  <si>
    <t>CAT-6 SHIELDED RJ-45 COUPLER</t>
  </si>
  <si>
    <t>PO1808-42262-LRT</t>
  </si>
  <si>
    <t>PO1809-43064-LRT</t>
  </si>
  <si>
    <t>UAD032FM</t>
  </si>
  <si>
    <t>USB ADAPTER, MICRO B MALE / STANDARD A FEMALE</t>
  </si>
  <si>
    <t>USB Adapter, Micro B Male / Standard A Female</t>
  </si>
  <si>
    <t xml:space="preserve">Connector </t>
  </si>
  <si>
    <t>PO1609-27834-LRT</t>
  </si>
  <si>
    <t>PO1711-36663-LRT</t>
  </si>
  <si>
    <t>111511F</t>
  </si>
  <si>
    <t>4WAY POWER CONNECTOR FEMALE C/W PIN- 1-480424-0</t>
  </si>
  <si>
    <t>4WAY POWER CONNECTOR FEMALE C/W PIN -1-480424-0</t>
  </si>
  <si>
    <t>PO1606-25803-LRT</t>
  </si>
  <si>
    <t>1-480424-0</t>
  </si>
  <si>
    <t>Pin &amp; Socket Connectors 4 CKT HOUSING</t>
  </si>
  <si>
    <t>PO2005-56686-LRT</t>
  </si>
  <si>
    <t>60619-1</t>
  </si>
  <si>
    <t>Pin &amp; Socket Connectors SOCKET 20-14</t>
  </si>
  <si>
    <t>HAEDER BOX R/A 16 WAY</t>
  </si>
  <si>
    <t>612010235121</t>
  </si>
  <si>
    <t>HEADER BOX 10 WAYS MALE CONNECTOR</t>
  </si>
  <si>
    <t>HEADER BOX 10 WAYS MALE CONNECTOR-110710</t>
  </si>
  <si>
    <t>PO1803-38714-LRT</t>
  </si>
  <si>
    <t>60 WAY IDC HEADER BOX (MALE)</t>
  </si>
  <si>
    <t>MALE (110726)</t>
  </si>
  <si>
    <t>26 WAY HEADER BOX</t>
  </si>
  <si>
    <t>AWHW 30-0202-T</t>
  </si>
  <si>
    <t>CONN HEADER VERT 30POS 2.54MM</t>
  </si>
  <si>
    <t>MALE (RIGHT ANGLE)</t>
  </si>
  <si>
    <t>20 WAY HEADER BOX WITH HOOK</t>
  </si>
  <si>
    <t>RIGHT ANGLE (MALE)</t>
  </si>
  <si>
    <t>26 WAY HEADER BOX WITH HOOK</t>
  </si>
  <si>
    <t>10 WAY HEADER BOX WITH HOOK (MALE)</t>
  </si>
  <si>
    <t>110810 (612010235221)</t>
  </si>
  <si>
    <t>10WAY HEADER BOX  R/A</t>
  </si>
  <si>
    <t>PO1605-25011-LRT</t>
  </si>
  <si>
    <t>1114113 (FDE-9ST2/1-LF )</t>
  </si>
  <si>
    <t>DB9 RF SHIELDED CONNECTOR FEMALE</t>
  </si>
  <si>
    <t>487-569</t>
  </si>
  <si>
    <t>DB9 SHIELDING GASKET</t>
  </si>
  <si>
    <t>Connector/Gasket</t>
  </si>
  <si>
    <t>PO1509-18482-LRT</t>
  </si>
  <si>
    <t>1114110</t>
  </si>
  <si>
    <t>DB9 RF  SHIELDED CONNECTOR MALE</t>
  </si>
  <si>
    <t>PO1312-04786-LRT</t>
  </si>
  <si>
    <t>487-624 / 267253-1</t>
  </si>
  <si>
    <t>DB25 SHIELDING GASKET</t>
  </si>
  <si>
    <t>5501-50SA-02-F1</t>
  </si>
  <si>
    <t>D-SUB CONNECTOR; 50 WAYS; FEMALE (ELEMENT : 1084683) MULTICOMP</t>
  </si>
  <si>
    <t>PO1811-44190-LRT</t>
  </si>
  <si>
    <t>5501-50PA-02-F1</t>
  </si>
  <si>
    <t>D-SUB CONNECTOR; 50 WAYS; MALE (ELEMENT : 1084676) MULTICOMP</t>
  </si>
  <si>
    <t>PO1808-40046-LRT</t>
  </si>
  <si>
    <t>110150M</t>
  </si>
  <si>
    <t>SOLDER CUP D-SUB MALE DB50</t>
  </si>
  <si>
    <t>PO1612-29675-LRT</t>
  </si>
  <si>
    <t>110150F - BLACK</t>
  </si>
  <si>
    <t>DB50 CONNECTOR SOLDER TYPE FEMALE</t>
  </si>
  <si>
    <t>110150M - BLUE</t>
  </si>
  <si>
    <t>DB50 CONNECTOR SOLDER TYPE MALE</t>
  </si>
  <si>
    <t>110150F (BLUE)</t>
  </si>
  <si>
    <t>PO1504-15288-LRT</t>
  </si>
  <si>
    <t>DB50F</t>
  </si>
  <si>
    <t>DB50 PCB MOUNT CONNECTOR FEMALE</t>
  </si>
  <si>
    <t>SDDB-50P(55)</t>
  </si>
  <si>
    <t>DB50 PCB MOUNT CONNECTOR MALE</t>
  </si>
  <si>
    <t>Contact, Straight,PCB Mount, Plug,50 Way</t>
  </si>
  <si>
    <t>PO1301-00213-LRT</t>
  </si>
  <si>
    <t>110150M - BLACK</t>
  </si>
  <si>
    <t>110150F</t>
  </si>
  <si>
    <t xml:space="preserve">DB50 Way Female Connector Solder Type     </t>
  </si>
  <si>
    <t>PO1805-40637-LRT</t>
  </si>
  <si>
    <t>472815</t>
  </si>
  <si>
    <t>PO1804-40046-LRT</t>
  </si>
  <si>
    <t>P66301L-04-LF/1012247</t>
  </si>
  <si>
    <t>4WAY CONNECTOR STRAIGHT BLACK</t>
  </si>
  <si>
    <t>42395 ( RS : 157-0982)</t>
  </si>
  <si>
    <t>SAIA-BURGESS, ACTUATOR KIT</t>
  </si>
  <si>
    <t>V4NT7 / 157-1008</t>
  </si>
  <si>
    <t>MICRO SWITCH SOLDER</t>
  </si>
  <si>
    <t>Connector/Detector</t>
  </si>
  <si>
    <t>TS-18120224</t>
  </si>
  <si>
    <t>1P 2.54MM DUPONT HOUSING</t>
  </si>
  <si>
    <t>TS-180322053</t>
  </si>
  <si>
    <t>2.54MM DUPONT FEMALE PIN TERMINAL</t>
  </si>
  <si>
    <t>150-8071</t>
  </si>
  <si>
    <t>PLUG- PCI EXPRESS 164WAY</t>
  </si>
  <si>
    <t>S2802 - ND</t>
  </si>
  <si>
    <t>CONNECTOR PCI EXTENDER CARD 164PIN</t>
  </si>
  <si>
    <t xml:space="preserve">CONNECTOR PCI EXTENDER CARD </t>
  </si>
  <si>
    <t>PCI EXTENDER CARD</t>
  </si>
  <si>
    <t>111304F</t>
  </si>
  <si>
    <t>Conn Housing 4Pos 2.5mm</t>
  </si>
  <si>
    <t>4 WAY MOLEX FEMALE (22-01-1042)</t>
  </si>
  <si>
    <t>CONN CRIMP HOUSING 04POS</t>
  </si>
  <si>
    <t>3WAY R/A</t>
  </si>
  <si>
    <t>0-022053031</t>
  </si>
  <si>
    <t>Conn Header R/A 3Pos 2.54mm</t>
  </si>
  <si>
    <t>3WAY MOLEX R/A</t>
  </si>
  <si>
    <t>111303F</t>
  </si>
  <si>
    <t>0-022011032</t>
  </si>
  <si>
    <t>3WAY MOLEX SOCKET C/W PIN -22-01-1032</t>
  </si>
  <si>
    <t>3WAY MOLEX SOCKET C/W PIN - CHINA(4)</t>
  </si>
  <si>
    <t>111302F</t>
  </si>
  <si>
    <t>0-022011022</t>
  </si>
  <si>
    <t>Conn Housing 2Pos 2.5mm 22-01-1022</t>
  </si>
  <si>
    <t>2 Way Molex Female +/- C/W Pin-51191-0200(5)</t>
  </si>
  <si>
    <t>PO1707-33490-LRT</t>
  </si>
  <si>
    <t>MOLEX 2WAY</t>
  </si>
  <si>
    <t>22-05-3021</t>
  </si>
  <si>
    <t>Conn Header R/A 2Pos 2.54mm</t>
  </si>
  <si>
    <t>2WAY MOLEX CONNECTOR LEFT ANGLE(2)</t>
  </si>
  <si>
    <t>CONN CRIMP HOUSING 02POS</t>
  </si>
  <si>
    <t>111302F +/- WH3C</t>
  </si>
  <si>
    <t>Molex 2 Way Connector</t>
  </si>
  <si>
    <t>PO2010-60950-LRT</t>
  </si>
  <si>
    <t>111303F +/-WH3C</t>
  </si>
  <si>
    <t>3 WAY MOLEX FEMALE (+/-) C/W PIN</t>
  </si>
  <si>
    <t>3 WAY MOLEX FEMALE (+/-) C/W PIN(6)</t>
  </si>
  <si>
    <t>2.5 W/B CRIMP REC TER</t>
  </si>
  <si>
    <t>2.5 W/B CRIMP REC TER(7)</t>
  </si>
  <si>
    <t>PO1811-44407LRT</t>
  </si>
  <si>
    <t>51191-0300- (Element : 2779907)</t>
  </si>
  <si>
    <t>2.5MM W/B HSG 3CKT</t>
  </si>
  <si>
    <t>PO1811-44353LRT</t>
  </si>
  <si>
    <t>111302M</t>
  </si>
  <si>
    <t>0-022292021</t>
  </si>
  <si>
    <t>BS Yee</t>
  </si>
  <si>
    <t>Equivalent</t>
  </si>
  <si>
    <t>Conn Header Vert 2Pos 2.54mm</t>
  </si>
  <si>
    <t>2WAY MOLEX CONNECTOR MALE</t>
  </si>
  <si>
    <t>22-04-1021</t>
  </si>
  <si>
    <t>PO1703-30964-LRT</t>
  </si>
  <si>
    <t>111303M</t>
  </si>
  <si>
    <t>0-022041031</t>
  </si>
  <si>
    <t>Conn Header Vert 3Pos 2.5mm-22-04-1031</t>
  </si>
  <si>
    <t>3WAY MOLEX HEADER PIN-22-04-1031(3)</t>
  </si>
  <si>
    <t>PO1912-53554-LRT</t>
  </si>
  <si>
    <t>39-01-2040</t>
  </si>
  <si>
    <t>MOLEX 39-01-2040 Connector Housing, Pull Tabs, UL 94V-2, Mini-Fit Jr. Series, Receptacle, 4 Ways, 4.2 mm</t>
  </si>
  <si>
    <t>PO2005-57249-LRT</t>
  </si>
  <si>
    <t>111304M</t>
  </si>
  <si>
    <t>0-022041041</t>
  </si>
  <si>
    <t>Conn Header Vert 4Pos 2.5mm</t>
  </si>
  <si>
    <t>4 WAY MOLEX MALE-22-04-1041</t>
  </si>
  <si>
    <t>PO1708-34597-LRT</t>
  </si>
  <si>
    <t>3424184</t>
  </si>
  <si>
    <t>4WAY MOLEX PLUG CONNECTOR</t>
  </si>
  <si>
    <t>PO1404-06598-LRT</t>
  </si>
  <si>
    <t>42816-0412</t>
  </si>
  <si>
    <t>4 WAY PLUG CONNECTOR - (ELEMENT : 3075801)</t>
  </si>
  <si>
    <t>4 Way Plug Connector - (Element : 3075801)</t>
  </si>
  <si>
    <t>PO1801-37304-LRT</t>
  </si>
  <si>
    <t>CONNECTOR PCB CONTACT FEMALE 10-12AWG</t>
  </si>
  <si>
    <t>PO1311-04593-LRT</t>
  </si>
  <si>
    <t>connector pcb contact male 10-12awg</t>
  </si>
  <si>
    <t>PO1406-07873-LRT</t>
  </si>
  <si>
    <t>24 WAY (BLUE)</t>
  </si>
  <si>
    <t>GPIB CONNECTOR PLUG CLAMP</t>
  </si>
  <si>
    <t>111724F</t>
  </si>
  <si>
    <t>24WAY FEMALE CONNECTOR ?(GPIB CONNECTOR PLUG)</t>
  </si>
  <si>
    <t>24WAY FEMALE CONNECTOR (GPIB CONNECTOR PLUG)</t>
  </si>
  <si>
    <t>PO1412-12573-LRT</t>
  </si>
  <si>
    <t>DPC-5521LM</t>
  </si>
  <si>
    <t>5.5MM DC POWER CONNECTOR</t>
  </si>
  <si>
    <t>PO1605-25162-LRT</t>
  </si>
  <si>
    <t>DC-025M</t>
  </si>
  <si>
    <t>POWER DC JACK</t>
  </si>
  <si>
    <t>PO1808-42363-LRT</t>
  </si>
  <si>
    <t>D-SUB SHELL PLUG SIAE 3 STEEL</t>
  </si>
  <si>
    <t>PO1709-35176-LRT</t>
  </si>
  <si>
    <t>5747842-4 (GOLD)</t>
  </si>
  <si>
    <t>A31947-ND/1658674-1</t>
  </si>
  <si>
    <t>D-SUB CONNECTOR HOUSING PLUG 78 POS</t>
  </si>
  <si>
    <t>15 POSITION D-SUB RECEPTACLE, FEMALE SOCKETS CONNECTOR</t>
  </si>
  <si>
    <t>A-DSF 15LPIII/Z</t>
  </si>
  <si>
    <t>15 Position D-Sub Plug, Male Pins Connector</t>
  </si>
  <si>
    <t>A-DFF 25LPIII/Z - (RS : 674-0892)</t>
  </si>
  <si>
    <t>CONN D-SUB RCPT 25POS IDC</t>
  </si>
  <si>
    <t>PO1904-47364-LRT</t>
  </si>
  <si>
    <t>172-E25-203R001</t>
  </si>
  <si>
    <t>D-SUB STANDARD CONNECTORS IP67,25P,M VERT NI W/CLINCH NUT 1"</t>
  </si>
  <si>
    <t>172-025-102R001</t>
  </si>
  <si>
    <t>S-SUB STANDARD CONNECTORS 9 POS.SO./CUP MALE . 225" SP/BL B/S</t>
  </si>
  <si>
    <t>692121430000</t>
  </si>
  <si>
    <t>USB 3.0  Connectors WR-COMTypeA THT 9Pin Vertical Female</t>
  </si>
  <si>
    <t>USB 3.0  CONNECTORS WR-COMTYPEA THT 9PIN VERTICAL FEMALE</t>
  </si>
  <si>
    <t>PO1606-25447-LRT</t>
  </si>
  <si>
    <t>PN-0000029263</t>
  </si>
  <si>
    <t>PCB FOR INNER USB 3.0 BOARD</t>
  </si>
  <si>
    <t>110409M</t>
  </si>
  <si>
    <t>DB9 CONNECTOR CLAMPING BLUE MALE</t>
  </si>
  <si>
    <t>PO1411-11337-LRT</t>
  </si>
  <si>
    <t>110415M</t>
  </si>
  <si>
    <t>DB15 CONNECTOR CLAMPING BLUE MALE</t>
  </si>
  <si>
    <t>PO1703-31014-LRT</t>
  </si>
  <si>
    <t>110415F</t>
  </si>
  <si>
    <t>DB15 CONNECTOR CLAMPING BLUE FEMALE</t>
  </si>
  <si>
    <t>110409F</t>
  </si>
  <si>
    <t>DB9 CONNECTOR CLAMPING BLUE FEMALE</t>
  </si>
  <si>
    <t>111512M</t>
  </si>
  <si>
    <t>4WAY POWER CONNECTOR MALE C/W PIN-1-480426-0</t>
  </si>
  <si>
    <t>4WAY POWER CONNECTOR MALE C/W PIN-I-480426-0</t>
  </si>
  <si>
    <t>67,74</t>
  </si>
  <si>
    <t>37WAY</t>
  </si>
  <si>
    <t>37WAY CONNECTOR R/A FEMALE</t>
  </si>
  <si>
    <t>DGB37F</t>
  </si>
  <si>
    <t>GENDER CHANGER DB37 FEMALE TO FEMALE</t>
  </si>
  <si>
    <t>PO1307-02707-LRT</t>
  </si>
  <si>
    <t>110137MR</t>
  </si>
  <si>
    <t>DB37 MALE CONNECTOR (SOLDER TYPE)</t>
  </si>
  <si>
    <t>PO1802-38132-LRT</t>
  </si>
  <si>
    <t>DB37WAY</t>
  </si>
  <si>
    <t>DB37 CONNECTOR CLAMPING FEMALE</t>
  </si>
  <si>
    <t>110137FR</t>
  </si>
  <si>
    <t>DB37 Female Connector (Solder Type)</t>
  </si>
  <si>
    <t>MHDM37SS - (Element : 1084682)</t>
  </si>
  <si>
    <t>DB37 FEMALE CONNECTOR - EQUIVQLENT : 5501-37SA-02-F1- MULTICOMP)</t>
  </si>
  <si>
    <t>PO1810-43151-LRT</t>
  </si>
  <si>
    <t>MHDM37SP - ((Element : 1084675)</t>
  </si>
  <si>
    <t>DB37 MALE CONNECTOR (EQUIVALENT : 5501-37PA-02-F1 - MULTICOMP)</t>
  </si>
  <si>
    <t>DGB37MF</t>
  </si>
  <si>
    <t>SLIMLINE SOCKET SAVER, DB37 MALE / FEMALE</t>
  </si>
  <si>
    <t>PO1906-49697-LRT</t>
  </si>
  <si>
    <t>Conn Plug 4Pos MATE-N-LOK</t>
  </si>
  <si>
    <t>4 WAY POWER CONNECTOR</t>
  </si>
  <si>
    <t>P66301-12-LF</t>
  </si>
  <si>
    <t>12 WAY CONNECTOR BLACK</t>
  </si>
  <si>
    <t>233-2898 - (Mpn : 43045-0612) - Element : 1012248</t>
  </si>
  <si>
    <t>0-430450612</t>
  </si>
  <si>
    <t>Wire-To-Board Connector,3mm,6 Contacts,Header,Micro Fit</t>
  </si>
  <si>
    <t>CONNECTOR,PCB VERTICAL HEADER,MICRO FIT 3.0MM,6 WAY</t>
  </si>
  <si>
    <t>1708-34438-LRT</t>
  </si>
  <si>
    <t>233-3037</t>
  </si>
  <si>
    <t>CRIMP CONTACT (20-24AWG)</t>
  </si>
  <si>
    <t>43025-0600 (233-2769)</t>
  </si>
  <si>
    <t>?</t>
  </si>
  <si>
    <t>Please Verify</t>
  </si>
  <si>
    <t>6 WAY CONNECTOR FEMALE</t>
  </si>
  <si>
    <t>43025-0600 (digikey : WM1785-ND)</t>
  </si>
  <si>
    <t>(13)6 POSITION RECTANGULAR HOUSING CONNECTOR RECEPTACLE BLACK 0.118" (3.00MM)</t>
  </si>
  <si>
    <t>6 POSITION RECTANGULAR HOUSING CONNECTOR RECEPTACLE BLACK 0.118" (3.00MM)</t>
  </si>
  <si>
    <t>PO1707-33395-LRT</t>
  </si>
  <si>
    <t>43025-0600 - ( Element : 672907)</t>
  </si>
  <si>
    <t>MICRO-FIT 3.0 RECEPTACLE HOUSING DUAL ROW 6 CIRCUITS</t>
  </si>
  <si>
    <t>PO1907-50400-LRT</t>
  </si>
  <si>
    <t>Same above</t>
  </si>
  <si>
    <t>PO1708-34438-LRT</t>
  </si>
  <si>
    <t>233-2769 - (MPN : 43025-0600) - Element : 2144650</t>
  </si>
  <si>
    <t>Conn Recept 6Pos 3mm Vert Dual</t>
  </si>
  <si>
    <t>CONNECTOR,PCB,RECEPTACLE,MICRO FIT,3.0MM,6 WAY</t>
  </si>
  <si>
    <t>Assembly Technique</t>
  </si>
  <si>
    <t>571-292303-9</t>
  </si>
  <si>
    <t>292303-9</t>
  </si>
  <si>
    <t>Conn Rcpt USB2.0 Type A SMD RA</t>
  </si>
  <si>
    <t>USB CONNECTORS USB TYPE A RECEPT FEMALE SMD/SMT (292303-9)</t>
  </si>
  <si>
    <t>PO1505-16007-LRT</t>
  </si>
  <si>
    <t>692112030100</t>
  </si>
  <si>
    <t>Conn Plug USB3.0 Type A 9P SMD RA</t>
  </si>
  <si>
    <t>USB CONNECTORS WR-COM 3.0 TYPEA SMT 9PIN HZTL MALE WCLIP</t>
  </si>
  <si>
    <t>692121230100</t>
  </si>
  <si>
    <t>69212203-0100</t>
  </si>
  <si>
    <t>CONNECTOR RECEPTACLE USB TYPEA 3.0, SUPER SPEED 9 POSITION THROUGH HOLE, RIGHT ANGLE, HORIZONTA</t>
  </si>
  <si>
    <t>PO1508-18119-LRT</t>
  </si>
  <si>
    <t>292304-1</t>
  </si>
  <si>
    <t>USB Type B Receptacle, Thru Hole Mount</t>
  </si>
  <si>
    <t>710-692121230100</t>
  </si>
  <si>
    <t>USB CONNECTORS WR-COM 3.0 TYPE A 9PIN HZTLFEML OFFSET (692121230100)</t>
  </si>
  <si>
    <t>PO1507-17258-LRT</t>
  </si>
  <si>
    <t>P6630L-02LF</t>
  </si>
  <si>
    <t>P6630L-02</t>
  </si>
  <si>
    <t>Taiwan King Pin Terminal</t>
  </si>
  <si>
    <t>2-Pin Micro Fit 90Deg Plug-in Connector,3mm</t>
  </si>
  <si>
    <t>2WAY CONNECTOR R/A TAIWAN KINGPIN</t>
  </si>
  <si>
    <t>618025227221</t>
  </si>
  <si>
    <t>6180-25227221</t>
  </si>
  <si>
    <t>D Sub Connector,DB25,Standard,Receptacle,25 Contacts</t>
  </si>
  <si>
    <t>WR-DSUB FEMALE IDC WITH UNC 4-40 NUT</t>
  </si>
  <si>
    <t>110425F</t>
  </si>
  <si>
    <t>D Sub Connector,Standard,Receptacle,25Contacts,IDC</t>
  </si>
  <si>
    <t>DB25 CLAMPING BLUE FEMALE</t>
  </si>
  <si>
    <t>110425M</t>
  </si>
  <si>
    <t>6180-25226221</t>
  </si>
  <si>
    <t>D Sub Connector,Standard,Plug,25Contacts,IDC</t>
  </si>
  <si>
    <t>DB25 MALE CONN CLAMPING TYPE</t>
  </si>
  <si>
    <t>DB25</t>
  </si>
  <si>
    <t>CLAMPING BRACKET</t>
  </si>
  <si>
    <t>22-01-3037</t>
  </si>
  <si>
    <t>3 Position Rectangular Housing Connector Receptacle White 0.100" (2.54mm) - (Element :1462838)</t>
  </si>
  <si>
    <t>3 Position Rectangular Housing Connector Receptacle White 0.100" (2.54mm) - (Element :1462838)(1)</t>
  </si>
  <si>
    <t>22-23-2031</t>
  </si>
  <si>
    <t>CONNECTOR HEADER THROUGH HOLE 3 POSITION 0.100" (2.54MM) - (ELEMENT : 1462950)</t>
  </si>
  <si>
    <t>CONNECTOR HEADER THROUGH HOLE 3 POSITION 0.100" (2.54MM) - (ELEMENT : 1462950)(2)</t>
  </si>
  <si>
    <t>22-27-2021</t>
  </si>
  <si>
    <t>0-022272021</t>
  </si>
  <si>
    <t>Header Connector; 2 Ways(30</t>
  </si>
  <si>
    <t>PO1805-40381-LRT</t>
  </si>
  <si>
    <t>0022272031 - (Element : 9731156)</t>
  </si>
  <si>
    <t>MOLEX KK6373 SERIES 2.54MM PITCH, 3 WAY, 1 ROW UNSHROUDED, STRAIGHT PCB HEADER, THROUGH HOLE</t>
  </si>
  <si>
    <t>MOLEX KK6373 SERIES 2.54MM PITCH, 3 WAY, 1 ROW UNSHROUDED, STRAIGHT PCB HEADER, THROUGH HOLE(4)</t>
  </si>
  <si>
    <t>PO1811-44000-LRT</t>
  </si>
  <si>
    <t>26-60-4020</t>
  </si>
  <si>
    <t>0-026604020</t>
  </si>
  <si>
    <t>Conn Header Vert 2Pos 3.96mm</t>
  </si>
  <si>
    <t>HEADER CONNECTOR; 2 WAYS (5)</t>
  </si>
  <si>
    <t>PO1804-40087-LRT</t>
  </si>
  <si>
    <t>3 WAY (R/A)</t>
  </si>
  <si>
    <t>SMALL MOLEX CONNECTOR 5WAY</t>
  </si>
  <si>
    <t>3 WAY MOLEX CONNECTOR(6)</t>
  </si>
  <si>
    <t>3WAY-CHINA</t>
  </si>
  <si>
    <t>3WAY MOLEX CONNECTOR CHINA-WHITE</t>
  </si>
  <si>
    <t>3WAY MOLEX CONNECTOR CHINA-WHITE(7)</t>
  </si>
  <si>
    <t>5WAY</t>
  </si>
  <si>
    <t>SMALL MOLEX CONNECTOR 5WAY(8)</t>
  </si>
  <si>
    <t>MC34645 (Element : 1675775)</t>
  </si>
  <si>
    <t>WIRE-TO-BOARD CONNECTOR, RIGHT ANGLE, 2.54 MM, 4 CONTACTS, HEADER, MC34 SERIES, THROUGH HOLE</t>
  </si>
  <si>
    <t>PO1901-45643-LRT</t>
  </si>
  <si>
    <t>1735447-4</t>
  </si>
  <si>
    <t>CONN HOUSING 4POS 2MM W/LATCH</t>
  </si>
  <si>
    <t>3 Position Rectangular Housing Connector Receptacle White 0.100" (2.54mm)</t>
  </si>
  <si>
    <t>3 POSITION RECTANGULAR HOUSING CONNECTOR RECEPTACLE WHITE 0.100" (2.54MM) - (ELEMENT :1462838)</t>
  </si>
  <si>
    <t>1735801-1</t>
  </si>
  <si>
    <t>CONN SOCKET 24-30 AWG CRIMP TIN</t>
  </si>
  <si>
    <t>Socket Contact Tin 18-24 AWG Crimp Power</t>
  </si>
  <si>
    <t>Non-Gendered Contact Tin 22-30 AWG Crimp</t>
  </si>
  <si>
    <t>110525M</t>
  </si>
  <si>
    <t>5504F1-25P-02-03-F1</t>
  </si>
  <si>
    <t>D Sub Connector,DB25,Standard,Plug,25 Contacts,Solder</t>
  </si>
  <si>
    <t>DB25 CONNECTOR RIGHT ANGLE MALE C/W SCREW EQUAVALENT = 5747238-4</t>
  </si>
  <si>
    <t>PO1406-07790-LRT</t>
  </si>
  <si>
    <t>110525F</t>
  </si>
  <si>
    <t>1734349-1</t>
  </si>
  <si>
    <t>D Sub Connector,Standard,25 Position,Receptacle</t>
  </si>
  <si>
    <t>DB25 CONNECTOR RIGHT ANGLE FEMALE C/W SCREW</t>
  </si>
  <si>
    <t>5747238-4</t>
  </si>
  <si>
    <t>D Sub Connector,Standard,25 Position,Plug</t>
  </si>
  <si>
    <t>TE CONNECTIVITY / AMP 5747238-4 D SUB CONNECTOR, STANDARD, 25 POSITION, PLUG (ELEMENT : 1087536)</t>
  </si>
  <si>
    <t>PO2006-57785-LRT</t>
  </si>
  <si>
    <t>RJ45 CONNECTOR CAT5</t>
  </si>
  <si>
    <t>PO1601-21466-LRT</t>
  </si>
  <si>
    <t>186-3149</t>
  </si>
  <si>
    <t>RJ45 COUPLER JACK</t>
  </si>
  <si>
    <t>PO1803-39043-LRT</t>
  </si>
  <si>
    <t>CAT6 PLUG</t>
  </si>
  <si>
    <t>CAT6 RJ45  CONNECTOR 8pin</t>
  </si>
  <si>
    <t>CAT6 RJ45 CONNECTOR FOR LAN CABLE</t>
  </si>
  <si>
    <t>PO2007-58840-LRT</t>
  </si>
  <si>
    <t>50ohm RF</t>
  </si>
  <si>
    <t>STRAIGHT 50Ω RF ADAPTER TYPE N SOCKET TO TYPE N SOCKET 0 → 11GHZ</t>
  </si>
  <si>
    <t>Straight 50Ω RF Adapter Type N Socket to Type N Socket 0 → 11GHz</t>
  </si>
  <si>
    <t>1057343-1</t>
  </si>
  <si>
    <t>N JACK TO SMA FLANGE CONN</t>
  </si>
  <si>
    <t>CONN ADAPT JACK-JACK BNC TWIN</t>
  </si>
  <si>
    <t>R161075000W</t>
  </si>
  <si>
    <t>RADIALL 50Ω STRAIGHT CABLE MOUNT N TYPE CONNECTOR, PLUG, CRIMP TERMINATION, 0 → 11GHZ, RG165, RG213</t>
  </si>
  <si>
    <t>Radiall 50Ω Straight Cable Mount N Type Connector, Plug, Crimp Termination, 0 → 11GHz, RG165, RG213</t>
  </si>
  <si>
    <t>J01021A0151</t>
  </si>
  <si>
    <t>TELEGARTER 50OHM STRAIGHT PANEL  MOUNT N CONNECTOR JACK</t>
  </si>
  <si>
    <t>CABLE GLAND METAL PG21</t>
  </si>
  <si>
    <t>J01021A0146</t>
  </si>
  <si>
    <t>N JACK CRIMP FOR RG223</t>
  </si>
  <si>
    <t>J01020A0109</t>
  </si>
  <si>
    <t>N TYPE MALE STRAIGHT CONNECTOR</t>
  </si>
  <si>
    <t>NCT90</t>
  </si>
  <si>
    <t>N FEMALE TO SMA MALE FLANGE ADAPTER - (SQUARE) TELEGARNER</t>
  </si>
  <si>
    <t>BNC/M -TNC/F</t>
  </si>
  <si>
    <t>COAXIAL ADAPTER BNC/M  TO TNC FEMALE</t>
  </si>
  <si>
    <t>J01024A0006</t>
  </si>
  <si>
    <t>STRAIGHT 50Ω RF ADAPTER TYPE N SOCKET SOCKET 0 → 11GHZ</t>
  </si>
  <si>
    <t>ANM-TERM1</t>
  </si>
  <si>
    <t>0-6 GHZ TYPE N MALE TERMINATOR 50 OHM</t>
  </si>
  <si>
    <t>J01024A0005</t>
  </si>
  <si>
    <t>N Adaptor For Panel Mounting</t>
  </si>
  <si>
    <t>BNC/TNC/F</t>
  </si>
  <si>
    <t>COAXIAL ADAPTER BNC TO TNC FEMALE</t>
  </si>
  <si>
    <t>DGB25F</t>
  </si>
  <si>
    <t>DB25 GENDER CHANGER FEMALE TO FEMALE</t>
  </si>
  <si>
    <t>DGB50F</t>
  </si>
  <si>
    <t>GENDER CHANGER DB50 FEMALE TO FEMALE</t>
  </si>
  <si>
    <t>SD50P</t>
  </si>
  <si>
    <t>SOLDER CUP D-SUB CONNECTOR MALE DB50</t>
  </si>
  <si>
    <t>1760280</t>
  </si>
  <si>
    <t>CONNECTOR SOLDER CUP SOCKET 62 WAYS (F)</t>
  </si>
  <si>
    <t>MALE</t>
  </si>
  <si>
    <t>62 WAY CONNECTOR SOLDER CUP SOCKET</t>
  </si>
  <si>
    <t>DGB50MF</t>
  </si>
  <si>
    <t>GENDER CHANGER DB50 MALE TO FEMALE</t>
  </si>
  <si>
    <t>PO1703-30850-LRT</t>
  </si>
  <si>
    <t>P66301-10-LF</t>
  </si>
  <si>
    <t>10 WAY CONN BLACK PIN</t>
  </si>
  <si>
    <t>429-028 (FEMALE)</t>
  </si>
  <si>
    <t>DB25 CONNECTOR RF SHIELDED</t>
  </si>
  <si>
    <t>375-2287 (BLACK)</t>
  </si>
  <si>
    <t>DB25 CONNECTOR FEMALE</t>
  </si>
  <si>
    <t>STEUSB</t>
  </si>
  <si>
    <t>Converter DB9_M to USB_A</t>
  </si>
  <si>
    <t>PO1606-25622-LRT</t>
  </si>
  <si>
    <t>PG9W</t>
  </si>
  <si>
    <t>CABLE GLAND WHITE PG9</t>
  </si>
  <si>
    <t>Connector/Plug</t>
  </si>
  <si>
    <t>PG16</t>
  </si>
  <si>
    <t>CABLE GLAND WHITE PG16</t>
  </si>
  <si>
    <t>PG9</t>
  </si>
  <si>
    <t>CABLE GLAND  BLACK PG9</t>
  </si>
  <si>
    <t>PG13.5</t>
  </si>
  <si>
    <t>CABLE GLAND (BLACK)</t>
  </si>
  <si>
    <t>PG13.5W</t>
  </si>
  <si>
    <t>CABLE GLAND  (WHITE)</t>
  </si>
  <si>
    <t>822-9672</t>
  </si>
  <si>
    <t>PO2008-59492-LRT</t>
  </si>
  <si>
    <t>HBL3333C</t>
  </si>
  <si>
    <t>INSULGRIP FLANGED INLETS 30A 125OR250V</t>
  </si>
  <si>
    <t>HBL3334C</t>
  </si>
  <si>
    <t>30A, 125/250V AC, 3 POLE, 3 WIRE NON-GROUNDING INSULGRIP® FLANGED INLET</t>
  </si>
  <si>
    <t>HBL6031</t>
  </si>
  <si>
    <t>WHEATHER PROOF SEAL-TITE SHORT BOOT BLACK</t>
  </si>
  <si>
    <t>Connector/Service</t>
  </si>
  <si>
    <t>PO1808-42257-LRT</t>
  </si>
  <si>
    <t>1803484</t>
  </si>
  <si>
    <t>PHOENIX CONNECTOR VERTICAL 8 WAY</t>
  </si>
  <si>
    <t>PO1603-23258-LRT</t>
  </si>
  <si>
    <t>1803442 (mouser code : 651-1803442 )</t>
  </si>
  <si>
    <t>PLUGGABLE TERMINAL BLOCKS 4 POS 3.81MM PITCH THROUGH HOLE HEADER</t>
  </si>
  <si>
    <t>PO1511-20069-LRT</t>
  </si>
  <si>
    <t>2527619-Element14</t>
  </si>
  <si>
    <t>PLUGGABLE TERMINAL BLOCK, 3.81 MM, 6 WAYS, 28 AWG, 16 AWG, 1 MM², CLAMP</t>
  </si>
  <si>
    <t>1803293 -  (Element : 3704749)</t>
  </si>
  <si>
    <t>CONN HEADER 3MM 4POS DUAL GOLD</t>
  </si>
  <si>
    <t>PO1804-39934-LRT</t>
  </si>
  <si>
    <t>TERMINAL BLOCK HEADER, MALE PINS, SHROUDED (4 SIDE) 0.150" (3.81MM) 6 WAY, VERTICAL THROUGH HOLE</t>
  </si>
  <si>
    <t>284507-2-Element14</t>
  </si>
  <si>
    <t>TERMINAL BLOCK PLUGGABLE, 2 POSITION, 30-14AWG</t>
  </si>
  <si>
    <t>691321100002 (WE : 691 321 100 002)</t>
  </si>
  <si>
    <t>SI-00147200</t>
  </si>
  <si>
    <t>PLUGGABLE TERMINAL BLOCKS WR-TBL PCB MODEL3211 2PIN 3.5MM VTCL</t>
  </si>
  <si>
    <t>691321100004 (We : 691 321 100 004)</t>
  </si>
  <si>
    <t>PLUGGABLE TERMINAL BLOCKS WR-TBL MOD3211 3.5MM 4PIN VERTICAL PCBHDR</t>
  </si>
  <si>
    <t>Terminal Block Header, Male Pins, Shrouded (4 Side) 0.150" (3.81mm) 2 Way, Vertical Through Hole</t>
  </si>
  <si>
    <t>TERMINAL BLOCK HEADER, MALE PINS, SHROUDED (4 SIDE) 0.150" (3.81MM) 2 WAY, VERTICAL THROUGH HOLE</t>
  </si>
  <si>
    <t>22520319</t>
  </si>
  <si>
    <t>16A IEC-C20 PLUG</t>
  </si>
  <si>
    <t>110940</t>
  </si>
  <si>
    <t>40WAY HEADER BOX WITH HOOK STR</t>
  </si>
  <si>
    <t>PO1701-29703-LRT</t>
  </si>
  <si>
    <t>PS15R/1200PC-01</t>
  </si>
  <si>
    <t>AC/DC ADAPTER</t>
  </si>
  <si>
    <t>AM-0751000V</t>
  </si>
  <si>
    <t>D-LINK AM-0751000D41 AC DC ADAPTER 7.5V 1000MA POWER SUPPLY</t>
  </si>
  <si>
    <t>5V3A  Power Supply Type C USB charger</t>
  </si>
  <si>
    <t>5V3A Overload Protection Portable Power Supply Type C USB Univers</t>
  </si>
  <si>
    <t>POWER SUPPLY</t>
  </si>
  <si>
    <t>PO1911-52941-LRT</t>
  </si>
  <si>
    <t>AFM6OUS12 (AP1209UV)</t>
  </si>
  <si>
    <t>TOSHIBA ADAPTER</t>
  </si>
  <si>
    <t>110225M - WHITE</t>
  </si>
  <si>
    <t>DB25 PCB CONNECTOR MALE</t>
  </si>
  <si>
    <t>SD25S-PC</t>
  </si>
  <si>
    <t>DB25 PCB MOUNT CONNECTOR FEMALE</t>
  </si>
  <si>
    <t>110225F - WHITE</t>
  </si>
  <si>
    <t>DB25 PCB CONNECTOR FEMALE</t>
  </si>
  <si>
    <t>110225M - BLUE</t>
  </si>
  <si>
    <t>DB25 PCB MOUNT CONNECTOR MALE</t>
  </si>
  <si>
    <t>110225M - BLACK</t>
  </si>
  <si>
    <t>SD25P-PC</t>
  </si>
  <si>
    <t>DB25 MALE PCB MOUNT</t>
  </si>
  <si>
    <t>110225F - BLUE</t>
  </si>
  <si>
    <t>PO1908-50703-LRT</t>
  </si>
  <si>
    <t>40 WAY BOX HEADER</t>
  </si>
  <si>
    <t>50WAY M-R/A</t>
  </si>
  <si>
    <t>50WAY HEADER BOX MALE R/A</t>
  </si>
  <si>
    <t>'110840</t>
  </si>
  <si>
    <t>40 Way Box Header (R/A)</t>
  </si>
  <si>
    <t>PO1507-17548-LRT</t>
  </si>
  <si>
    <t>HBL7314C</t>
  </si>
  <si>
    <t>INSULGRIP FLANGED INLETS 20A 125 OR 250V</t>
  </si>
  <si>
    <t>PO1910-52018-LRT</t>
  </si>
  <si>
    <t>HBL3325C</t>
  </si>
  <si>
    <t>INSULGRIP FLANGED INLETS 20A 123 OR 250V</t>
  </si>
  <si>
    <t>HBL5266C</t>
  </si>
  <si>
    <t>125 VAC for 15 Amp 5-15P NEMA , Straight, Self Grounding, Commercial,</t>
  </si>
  <si>
    <t>1757048 - - (element : 3705389)</t>
  </si>
  <si>
    <t>PLUGGABLE TERMINAL BLOCKS 5 POS 5.08MM PITCH PLUG 24-12 AWG SCREW</t>
  </si>
  <si>
    <t>PO1811-44030-LRT</t>
  </si>
  <si>
    <t>277-1163-ND</t>
  </si>
  <si>
    <t xml:space="preserve">	1803594</t>
  </si>
  <si>
    <t xml:space="preserve">	Phoenix Contact</t>
  </si>
  <si>
    <t>BS YEE</t>
  </si>
  <si>
    <t>4 Position Terminal Block Plug, Female Sockets0.150" (3.81mm) 180° Free Hanging (In-Line)</t>
  </si>
  <si>
    <t>PO1707-33615-LRT</t>
  </si>
  <si>
    <t>1803633</t>
  </si>
  <si>
    <t>TERM BLOCK PLUG 8POS STR 3.81MM-DIGIKEY:277-1167-ND</t>
  </si>
  <si>
    <t>PO1804-39907-LRT</t>
  </si>
  <si>
    <t>4P_3.81mm Pitch</t>
  </si>
  <si>
    <t>Green Connector</t>
  </si>
  <si>
    <t>PO1606-25766-LRT</t>
  </si>
  <si>
    <t>1803426-Element14</t>
  </si>
  <si>
    <t>TERMINAL BLOCK, HEADER, 3.81 MM, 2 WAYS, 8 A, 160 V, THROUGH HOLE VERTICAL</t>
  </si>
  <si>
    <t>STEUSB-FEMALE</t>
  </si>
  <si>
    <t>CONNECTOR DB9 (M) TO USB (A)</t>
  </si>
  <si>
    <t>CONN 357</t>
  </si>
  <si>
    <t>USB-A TO DB9 MALE ADAPTER</t>
  </si>
  <si>
    <t>24 WAY</t>
  </si>
  <si>
    <t>GPIB CONNECTOR SOCKET (SOLDER TYPE)</t>
  </si>
  <si>
    <t>DM12S-04NU</t>
  </si>
  <si>
    <t>MULTI CONNECTOR DM12S-04NU</t>
  </si>
  <si>
    <t>Connector/Solder Bar</t>
  </si>
  <si>
    <t>110125M</t>
  </si>
  <si>
    <t>D SUB-D25 MALE</t>
  </si>
  <si>
    <t>D Sub D25 Male</t>
  </si>
  <si>
    <t>PO1806-41158-LRT</t>
  </si>
  <si>
    <t>110125F</t>
  </si>
  <si>
    <t>D Sub D25 Female Cup Solder</t>
  </si>
  <si>
    <t>PO1810-43324-LRT</t>
  </si>
  <si>
    <t>110225 (M)</t>
  </si>
  <si>
    <t>D Sub-D25 Male_Round Straight</t>
  </si>
  <si>
    <t>PO1805-40295-LRT</t>
  </si>
  <si>
    <t>MJ-13 (Round)</t>
  </si>
  <si>
    <t>MJ-13</t>
  </si>
  <si>
    <t>MJ-13 Power Jack 1.7mm 4.8mm</t>
  </si>
  <si>
    <t>PANEL MOUNT DC JACK(1)</t>
  </si>
  <si>
    <t>S760K-ND</t>
  </si>
  <si>
    <t>CONN POWER PLUG SOLDER EYELET</t>
  </si>
  <si>
    <t>CONN POWER PLUG SOLDER EYELET(2)</t>
  </si>
  <si>
    <t>5V DC</t>
  </si>
  <si>
    <t>Z CONNECTOR</t>
  </si>
  <si>
    <t>Z CONNECTOR(3)</t>
  </si>
  <si>
    <t>5VDC</t>
  </si>
  <si>
    <t>Z CONNECTOR(4)</t>
  </si>
  <si>
    <t>DC Jack Male ( IE : 660351)-MJ-13 Power Jack 1.7mm 4.8mm</t>
  </si>
  <si>
    <t>DC Jack Male ( IE : 660351)-MJ-13 Power Jack 1.7mm 4.8mm(5)</t>
  </si>
  <si>
    <t>PO1907-50472-LRT</t>
  </si>
  <si>
    <t>RAPC-712X</t>
  </si>
  <si>
    <t>RIGHT ANGLE POWER JACK 2.5MM</t>
  </si>
  <si>
    <t>RIGHT ANGLE POWER JACK 2.5MM(6)</t>
  </si>
  <si>
    <t>DC PLUG GREEN</t>
  </si>
  <si>
    <t>DC PLUG GREEN(7)</t>
  </si>
  <si>
    <t>OD 5.50mm (EP501B)</t>
  </si>
  <si>
    <t>EP501B</t>
  </si>
  <si>
    <t>MPD</t>
  </si>
  <si>
    <t>Conn Pwr Plug 2.5 x 5.5mm Solder</t>
  </si>
  <si>
    <t>660305-DC PLUG BIG Ø5.5M</t>
  </si>
  <si>
    <t>PO1610-28322-LRT</t>
  </si>
  <si>
    <t>1634 02</t>
  </si>
  <si>
    <t>DC Power Connector Plug</t>
  </si>
  <si>
    <t>BANANA PLUG GREEN</t>
  </si>
  <si>
    <t>BANANA PLUG GREEN(9)</t>
  </si>
  <si>
    <t>SR 660305</t>
  </si>
  <si>
    <t>DC PLUG (GREY)</t>
  </si>
  <si>
    <t>DC PLUG (GREY)(10)</t>
  </si>
  <si>
    <t>PO1602-22070-LRT</t>
  </si>
  <si>
    <t>PP-002D-01</t>
  </si>
  <si>
    <t>Power Plug,1.35 x 3.5 x 9mm,S ( OD0.34MM-660352</t>
  </si>
  <si>
    <t>DC Plug Female Small- 660352</t>
  </si>
  <si>
    <t>PO1512-21083-LRT</t>
  </si>
  <si>
    <t>Conn Rcpt 50Pos IDC 28Awg Gold (110650)</t>
  </si>
  <si>
    <t>50 WAY IDC SOCKET -110650</t>
  </si>
  <si>
    <t>50WAY</t>
  </si>
  <si>
    <t>50WAY HEADER BOX WITH HOOK R/A</t>
  </si>
  <si>
    <t>50WAY -M</t>
  </si>
  <si>
    <t>50WAY HEADER BOX WITH HOOK STR</t>
  </si>
  <si>
    <t>50WAY IDC CONNECTOR WITH HOOK</t>
  </si>
  <si>
    <t>CONN</t>
  </si>
  <si>
    <t>PO1501-13710-LRT</t>
  </si>
  <si>
    <t>THY-120650</t>
  </si>
  <si>
    <t>POWER ADAPTER 100-240V 1.5A</t>
  </si>
  <si>
    <t>957-05042-1200</t>
  </si>
  <si>
    <t>POWER ADAPTER 12VDC 4.17A</t>
  </si>
  <si>
    <t>PSC30U-120</t>
  </si>
  <si>
    <t>POWER ADAPTER 100-240V 0.8A</t>
  </si>
  <si>
    <t>8520009</t>
  </si>
  <si>
    <t>POWER ADAPTER 5V 1.5A</t>
  </si>
  <si>
    <t>VE20-120 12VDC</t>
  </si>
  <si>
    <t>POWER ADAPTER 100-240V 1.66A</t>
  </si>
  <si>
    <t>4  PIN METAL CONNECTOR-GX30-4</t>
  </si>
  <si>
    <t>4  PIN METAL CONNECTOR (1)</t>
  </si>
  <si>
    <t>10A 250Vac Contact Pin : 1.6mm - 6mm 4 pin metal connector (Reverse)</t>
  </si>
  <si>
    <t>111103</t>
  </si>
  <si>
    <t>METAL CONNECTOR 3PIN</t>
  </si>
  <si>
    <t>METAL CONNECTOR 3PIN(2)</t>
  </si>
  <si>
    <t>SR15160</t>
  </si>
  <si>
    <t>30MM-4 PIN METAL CONNECTOR-GX30-4</t>
  </si>
  <si>
    <t>4 Pin Metal Connector</t>
  </si>
  <si>
    <t>PO1711-36159-LRT</t>
  </si>
  <si>
    <t xml:space="preserve">111102 </t>
  </si>
  <si>
    <t>METAL CONNECTOR 2PIN</t>
  </si>
  <si>
    <t>METAL CONNECTOR 2PIN(4)</t>
  </si>
  <si>
    <t>MI-721</t>
  </si>
  <si>
    <t>4 PIN METAL CONNECTOR (POWER)</t>
  </si>
  <si>
    <t>4 PIN METAL CONNECTOR (POWER)(5)</t>
  </si>
  <si>
    <t>PO1809-42960-LRT</t>
  </si>
  <si>
    <t>BA11 IT</t>
  </si>
  <si>
    <t>TERMINAL BLOCK IDEC 3WAY</t>
  </si>
  <si>
    <t>1 x 6 (PS-55-B6-SN)</t>
  </si>
  <si>
    <t>6 WAY TERMINAL BLOCK</t>
  </si>
  <si>
    <t>PO1605-25159-LRT</t>
  </si>
  <si>
    <t>TB-1512</t>
  </si>
  <si>
    <t>600V 15A TERMINAL SOCKET</t>
  </si>
  <si>
    <t>10A 10MM</t>
  </si>
  <si>
    <t>PLASTIC TERMINAL BLOCK</t>
  </si>
  <si>
    <t>550102</t>
  </si>
  <si>
    <t>PVC TERMINAL BLOCK</t>
  </si>
  <si>
    <t>3PIN BLK</t>
  </si>
  <si>
    <t>3PIN PLUG BLACK</t>
  </si>
  <si>
    <t>855733</t>
  </si>
  <si>
    <t>2PIN PLUG</t>
  </si>
  <si>
    <t>000117</t>
  </si>
  <si>
    <t>3PIN PLUG</t>
  </si>
  <si>
    <t>3 Way Pin Plug</t>
  </si>
  <si>
    <t>PO1707-33443-LRT</t>
  </si>
  <si>
    <t>UMS PT13 13A</t>
  </si>
  <si>
    <t>UMS PT13 13A Plug UG Top (490-015)</t>
  </si>
  <si>
    <t>UMS PT13 13A Plug UG Top</t>
  </si>
  <si>
    <t>PO1807-41378-LRT</t>
  </si>
  <si>
    <t>490-015</t>
  </si>
  <si>
    <t>13A 3 PIN PLUG</t>
  </si>
  <si>
    <t>PO2008-59457-LRT</t>
  </si>
  <si>
    <t>P6630L-06C-LF</t>
  </si>
  <si>
    <t>6WAY R/A CONNECTOR TAIWAN KINGPIN</t>
  </si>
  <si>
    <t>1310006</t>
  </si>
  <si>
    <t>600 4P ROCKER SWITCH-RED</t>
  </si>
  <si>
    <t>PO1605-24349-LRT</t>
  </si>
  <si>
    <t>ELH/RLH</t>
  </si>
  <si>
    <t>RIGHT LIGHT HOLDER</t>
  </si>
  <si>
    <t>R-302</t>
  </si>
  <si>
    <t>AC CHASSIS SOCKET</t>
  </si>
  <si>
    <t>225201948</t>
  </si>
  <si>
    <t>IEC SOCKET INLINE</t>
  </si>
  <si>
    <t>3PIN</t>
  </si>
  <si>
    <t>AC IEC INLINE CHASSIS SOCKET</t>
  </si>
  <si>
    <t>FUSE HOLDER-20MM PANEL MOUNT</t>
  </si>
  <si>
    <t>IEC SOCKET PANEL MOUNT</t>
  </si>
  <si>
    <t>3 PIN AC CHASIS PLUG</t>
  </si>
  <si>
    <t>P783</t>
  </si>
  <si>
    <t>IEC  SWITCH SOCKET</t>
  </si>
  <si>
    <t>60MM</t>
  </si>
  <si>
    <t>60MM TABLE HOLE COVER</t>
  </si>
  <si>
    <t>Connector/Plastic Box</t>
  </si>
  <si>
    <t>C13 IEC SOCKET - (EQUIVALENT : IE : 220407)</t>
  </si>
  <si>
    <t>776-9144</t>
  </si>
  <si>
    <t>RS PRO C19 PANEL MOUNT IEC SOCKET, 20A, 250 V AC</t>
  </si>
  <si>
    <t>PO1907-50337-LRT</t>
  </si>
  <si>
    <t>50WAY BOX HEADER</t>
  </si>
  <si>
    <t>FONT size=8PTS2.54 mm 50 Way Male Box Header High Temperature</t>
  </si>
  <si>
    <t>FONT size=8PTS2.54 mm 50 Way Male Box Header High Temperature-612050235121</t>
  </si>
  <si>
    <t>DM12P-04NU</t>
  </si>
  <si>
    <t>FITTING PLUG</t>
  </si>
  <si>
    <t>P66301-08-LF</t>
  </si>
  <si>
    <t>8WAY CONNECTOR STRAIGHT BLACK PIN</t>
  </si>
  <si>
    <t>TA-030</t>
  </si>
  <si>
    <t>NITECH TERMINAL BLOCK</t>
  </si>
  <si>
    <t>SZ-101 NO</t>
  </si>
  <si>
    <t>SALZER NO BLOCK</t>
  </si>
  <si>
    <t>B</t>
  </si>
  <si>
    <t>Switches/Switch</t>
  </si>
  <si>
    <t>SS5GL</t>
  </si>
  <si>
    <t>(3)MICRO SWITCH</t>
  </si>
  <si>
    <t>MICRO SWITCH</t>
  </si>
  <si>
    <t>SS-3GL13P</t>
  </si>
  <si>
    <t>MICRO SWITCH SIMULATED ROLLER LEVEL</t>
  </si>
  <si>
    <t>MICRO SWITCH SIMULATED ROLLER LEVER</t>
  </si>
  <si>
    <t>MS005-6PIN</t>
  </si>
  <si>
    <t>(4)MINIATURE TOGGLE SWITCH</t>
  </si>
  <si>
    <t>MINIATURE TOGGLE SWITCH</t>
  </si>
  <si>
    <t>MS004-3PIN-440120</t>
  </si>
  <si>
    <t>(5)MINIATURE TOGGLE SWITCH-E2012</t>
  </si>
  <si>
    <t>SS-5GL2 - (440152)</t>
  </si>
  <si>
    <t>(6)Micro Switch With Roller</t>
  </si>
  <si>
    <t>Micro Switch With Roller</t>
  </si>
  <si>
    <t>SS_01GL2D (440152)</t>
  </si>
  <si>
    <t>MICRO SWITCH WITH ROLLER</t>
  </si>
  <si>
    <t>SS-01GL2D</t>
  </si>
  <si>
    <t>Switch Snap Act SPDT 100MA 125V</t>
  </si>
  <si>
    <t>PO2007-58875-LRT</t>
  </si>
  <si>
    <t>SS5GL2</t>
  </si>
  <si>
    <t>440152 MICRO SWITCH ROLLER</t>
  </si>
  <si>
    <t>MICRO SWITCH ROLLER</t>
  </si>
  <si>
    <t>(7)MICRO SWITCH SOLDER</t>
  </si>
  <si>
    <t>PO1611-28688-LRT</t>
  </si>
  <si>
    <t>SS-5GL2</t>
  </si>
  <si>
    <t>PO2007-58873-LRT</t>
  </si>
  <si>
    <t>BNN-ES-ES-D</t>
  </si>
  <si>
    <t>PUSH BUTTON CHROME</t>
  </si>
  <si>
    <t>3, 4, 5</t>
  </si>
  <si>
    <t>Switches/Button</t>
  </si>
  <si>
    <t>PO1802-38302-LRT</t>
  </si>
  <si>
    <t>CR0402-JW-104GLF (mouse : 652-CR0402JW-104GLF)</t>
  </si>
  <si>
    <t>(1)RES,MF,100KOHM,5%,.0625W,SM,0402,200PPM/CEL,PB-FREE</t>
  </si>
  <si>
    <t>RES,MF,100KOHM,5%,.0625W,SM,0402,200PPM/CEL,PB-FREE</t>
  </si>
  <si>
    <t>EMC Components/Resistor</t>
  </si>
  <si>
    <t>PO1712-37116-LRT</t>
  </si>
  <si>
    <t>C0402C101J5GACTU - (Mouser : 80-C0402C101J5G)</t>
  </si>
  <si>
    <t>(2)CAP,CHIP,100PF,+5%,-5%,50V-DC,0402,C0G,-55DEG CMIN,125DEG CMAX</t>
  </si>
  <si>
    <t>CAP,CHIP,100PF,+5%,-5%,50V-DC,0402,C0G,-55DEG CMIN,125DEG CMAX</t>
  </si>
  <si>
    <t>EMC Components/Fixed Capacitor</t>
  </si>
  <si>
    <t>C0402Y5V160-224ZNE - (Equivalent : CL05F224ZO5NNNC)</t>
  </si>
  <si>
    <t>(3)C0402Y5V160-224ZNE - (Equivalent : CL05F224ZO5NNNC)</t>
  </si>
  <si>
    <t>436=413</t>
  </si>
  <si>
    <t>PO1712-36868-LRT</t>
  </si>
  <si>
    <t>AF0402FR-0710KL (Mouser : 603-AF0402FR-0710KL)</t>
  </si>
  <si>
    <t>(4)RES,MF,10KOHM,1%,.0625W,SM,0402,200PPM/CEL,PB-FREE</t>
  </si>
  <si>
    <t>RES,MF,10KOHM,1%,.0625W,SM,0402,200PPM/CEL,PB-FREE</t>
  </si>
  <si>
    <t>5-747905-2 - (element : 1134837)</t>
  </si>
  <si>
    <t>(5)9 RCPT SOLDER CUP, GOLD FLASH, D-SUB CONNECTOR</t>
  </si>
  <si>
    <t>9 RCPT SOLDER CUP, GOLD FLASH, D-SUB CONNECTOR</t>
  </si>
  <si>
    <t>PO1711-36287-LRT</t>
  </si>
  <si>
    <t>C0402C103K3RACTU - (Element : 1650806RL)</t>
  </si>
  <si>
    <t>(6)SMD MULTILAYER CERAMIC CAPACITOR, 0402 [1005 METRIC], 0.01 ΜF, 25 V, ± 10%, X7R, C SERIES</t>
  </si>
  <si>
    <t>SMD MULTILAYER CERAMIC CAPACITOR, 0402 [1005 METRIC], 0.01 ΜF, 25 V, ± 10%, X7R, C SERIES</t>
  </si>
  <si>
    <t>EMC Components/Ceramic Dielectric,Single Layer</t>
  </si>
  <si>
    <t>PO1707-33858-LRT</t>
  </si>
  <si>
    <t>C0805C225K4RAC3123 - (Equivalent: EMK212B7225KG-T)</t>
  </si>
  <si>
    <t>(7)CAP,FXD,2.2UF,+10%,-10%,16V-DC,0805,X7R,-55DEG CMIN,125DEG CMAX- (DIGITAL : 587-1431-1-ND)</t>
  </si>
  <si>
    <t>CAP,FXD,2.2UF,+10%,-10%,16V-DC,0805,X7R,-55DEG CMIN,125DEG CMAX- (DIGITAL : 587-1431-1-ND)</t>
  </si>
  <si>
    <t>EMC Components/Ceramic Dielectric,Single Laye</t>
  </si>
  <si>
    <t>1803722</t>
  </si>
  <si>
    <t>(8)RES 52.3KOHM, 1%, 0625W, 0402</t>
  </si>
  <si>
    <t>RES 52.3KOHM, 1%, 0625W, 0402</t>
  </si>
  <si>
    <t>PO1409-09964-LRT</t>
  </si>
  <si>
    <t>1803699</t>
  </si>
  <si>
    <t>(9)RES 30.1KOHM, 1%, 0625W, 0402</t>
  </si>
  <si>
    <t>RES 30.1KOHM, 1%, 0625W, 0402</t>
  </si>
  <si>
    <t>MAX3231EBV-1</t>
  </si>
  <si>
    <t>(10)IC MAXIM</t>
  </si>
  <si>
    <t>IC MAXIM</t>
  </si>
  <si>
    <t>PO1308-03224-LRT</t>
  </si>
  <si>
    <t>2397323</t>
  </si>
  <si>
    <t>(11)RES 24.3KOHM, 1%, 0625W, 0402</t>
  </si>
  <si>
    <t>RES 24.3KOHM, 1%, 0625W, 0402</t>
  </si>
  <si>
    <t>PO1409-09975-LRT</t>
  </si>
  <si>
    <t>TK11100CSCB-GH</t>
  </si>
  <si>
    <t>(12)IC,LNR V REGLTR,ADJUSTABLE,-0.4V,320MA,SOT-23,SOT-23/6,LINEAR</t>
  </si>
  <si>
    <t>IC,LNR V REGLTR,ADJUSTABLE,-0.4V,320MA,SOT-23,SOT-23/6,LINEAR</t>
  </si>
  <si>
    <t>PO1708-34547-LRT</t>
  </si>
  <si>
    <t>FH12-20S-0.5SH(55) - (Element : 1324549)</t>
  </si>
  <si>
    <t>CONN ZIF,BOARD TO WIRE,F,18CONT,GLD FLSH,ZIF (20 PINS)</t>
  </si>
  <si>
    <t>PO1712-37115-LRT</t>
  </si>
  <si>
    <t>FTSH-105-01-L-DV- (Element : 1667759)</t>
  </si>
  <si>
    <t>CONN,MALE,MICRO HEADER, 10 PINS, FTSH, EPP</t>
  </si>
  <si>
    <t>1803685</t>
  </si>
  <si>
    <t>RES 22.1KOHM, 1%, 0625W, 0402</t>
  </si>
  <si>
    <t>5-747904-2</t>
  </si>
  <si>
    <t>9 PLUG SOLDER CUP,GOLD FLASH -</t>
  </si>
  <si>
    <t>PO1711-36175-LRT</t>
  </si>
  <si>
    <t>5A</t>
  </si>
  <si>
    <t>FUSED HOLDER</t>
  </si>
  <si>
    <t>Switches/Fuse</t>
  </si>
  <si>
    <t>09-10201-02 (element : 1608081)</t>
  </si>
  <si>
    <t>09-10201-02</t>
  </si>
  <si>
    <t>EAO</t>
  </si>
  <si>
    <t>Slide Switch,SPDT,On-On,Through Hole,500mA</t>
  </si>
  <si>
    <t>EAO 09-10201-02  Slide Switch, SPDT, Horizontal, Through Hole, 500 mA</t>
  </si>
  <si>
    <t>PO1605-25134-LRT</t>
  </si>
  <si>
    <t>3A</t>
  </si>
  <si>
    <t>FUSE 3A</t>
  </si>
  <si>
    <t>Switches/Fuse Switches and Switch Fuses</t>
  </si>
  <si>
    <t>S2PBM-ES542</t>
  </si>
  <si>
    <t>EMERGENCY STOP SWITCH-EMO</t>
  </si>
  <si>
    <t>PO1707-33438-LRT</t>
  </si>
  <si>
    <t>440134</t>
  </si>
  <si>
    <t>EMO SWITCH</t>
  </si>
  <si>
    <t>PO1706-33052-LRT</t>
  </si>
  <si>
    <t>S2PBM-ES542- (SZPBM-ES5426)</t>
  </si>
  <si>
    <t>PO1909-51518-LRT</t>
  </si>
  <si>
    <t>DC 24V</t>
  </si>
  <si>
    <t>ORANGE LIGHT BUTTON</t>
  </si>
  <si>
    <t>YW-E01</t>
  </si>
  <si>
    <t>IDEC</t>
  </si>
  <si>
    <t>Contact Block,YW and CW Series,1NO,Screw Terminal</t>
  </si>
  <si>
    <t>IDEC PUSH BUTTON BLUE</t>
  </si>
  <si>
    <t>YW-E10</t>
  </si>
  <si>
    <t>Contact Block,YW and CW Series,1NC,Screw Terminal</t>
  </si>
  <si>
    <t>PUSH BUTTON GREEN</t>
  </si>
  <si>
    <t>UMS L113</t>
  </si>
  <si>
    <t>13A SWITCH SOCKET</t>
  </si>
  <si>
    <t>Switches/Socket</t>
  </si>
  <si>
    <t>E/SI/CI</t>
  </si>
  <si>
    <t>CLIPSAL 1 GANG SWITCH</t>
  </si>
  <si>
    <t>ADAM--3962-A</t>
  </si>
  <si>
    <t>DB62 DIN-RAIL WIRING BOARD</t>
  </si>
  <si>
    <t>DB62 DIN-rail Wiring Board-terminal board</t>
  </si>
  <si>
    <t>ML40/36W</t>
  </si>
  <si>
    <t>CHOOKE BALLAST</t>
  </si>
  <si>
    <t>Box</t>
  </si>
  <si>
    <t>S8871 WHI</t>
  </si>
  <si>
    <t>MK PLATESWITCH</t>
  </si>
  <si>
    <t>R13-91</t>
  </si>
  <si>
    <t>ROCKER SWITCH RED 220V-250V</t>
  </si>
  <si>
    <t>C1450AT</t>
  </si>
  <si>
    <t>POWER ON OFF SWITCH</t>
  </si>
  <si>
    <t>KDZ-3</t>
  </si>
  <si>
    <t>ROCKER SWITCH BIG RED 250V</t>
  </si>
  <si>
    <t>C1353VQ0/1GRN (Element : 521978)</t>
  </si>
  <si>
    <t>ROCKER SWITCH 4PIN-GREEN</t>
  </si>
  <si>
    <t>ROKER SWITCH BULGIN</t>
  </si>
  <si>
    <t>130375-2 SW</t>
  </si>
  <si>
    <t>ROCKER SWITCH RED 230V</t>
  </si>
  <si>
    <t>130375-4 SW</t>
  </si>
  <si>
    <t>ROCKER SWITCH ORANGE</t>
  </si>
  <si>
    <t>C1450OAT</t>
  </si>
  <si>
    <t>ROCKER SWITCH -BLACK</t>
  </si>
  <si>
    <t>250VAC</t>
  </si>
  <si>
    <t>ROCKER SWITCH SMALL 4PIN-GREEN</t>
  </si>
  <si>
    <t>ROCKER SWITCH</t>
  </si>
  <si>
    <t xml:space="preserve">Switches/Fuses </t>
  </si>
  <si>
    <t>3PIN SW</t>
  </si>
  <si>
    <t>3PIN SWITCH SMALL BLACK</t>
  </si>
  <si>
    <t>ROCKER SWITCH BIG 4PIN GREEN</t>
  </si>
  <si>
    <t>ROCKER SWITCH GREEN</t>
  </si>
  <si>
    <t>ZP08UN</t>
  </si>
  <si>
    <t>SMC VACCUM PAD</t>
  </si>
  <si>
    <t>BUTTON PLASTIC / KNOB</t>
  </si>
  <si>
    <t>ZP2-B08MUGS</t>
  </si>
  <si>
    <t>SMC Corporation</t>
  </si>
  <si>
    <t>Vacuum Pad,Flat Pads #8</t>
  </si>
  <si>
    <t>VACUUM PAD (LRT/STN1704-0013) SUPPLIER: SMC</t>
  </si>
  <si>
    <t>PO1705-32174-LRT</t>
  </si>
  <si>
    <t>ZP10BN</t>
  </si>
  <si>
    <t>PO1604-23699-LRT</t>
  </si>
  <si>
    <t>Vacuum Pad,Bellows Pads #8</t>
  </si>
  <si>
    <t>VACCUM PAD</t>
  </si>
  <si>
    <t>PO1509-18328-LRT</t>
  </si>
  <si>
    <t>ZP2-B08MB-GN-china</t>
  </si>
  <si>
    <t>Vacuum Pad,Bellows Pads #8(CHINA)</t>
  </si>
  <si>
    <t>ZP2-B10MB-GN</t>
  </si>
  <si>
    <t>Vacuum Pad,Bellows Pads #10</t>
  </si>
  <si>
    <t>Vacuum Pad ZP2-B10MB-GN</t>
  </si>
  <si>
    <t>PO1511-20504-LRT</t>
  </si>
  <si>
    <t>SC100B-2.7BSR(ESD)</t>
  </si>
  <si>
    <t>Single Bellows Vacuum Cap</t>
  </si>
  <si>
    <t>M3</t>
  </si>
  <si>
    <t>THUMB KNOB</t>
  </si>
  <si>
    <t>THUMB KNOD</t>
  </si>
  <si>
    <t>PO1901-45897-LRT</t>
  </si>
  <si>
    <t>ZP3-T13BGN-A5</t>
  </si>
  <si>
    <t>VERTICAL VACUUM INLET W/ADAPTER</t>
  </si>
  <si>
    <t>ZP2-TB08MBGN-H5</t>
  </si>
  <si>
    <t>BELLOWS PAD</t>
  </si>
  <si>
    <t>PO1910-52535-LRT</t>
  </si>
  <si>
    <t>ZP2-TB08MUGS-H5</t>
  </si>
  <si>
    <t>Vacuum Pad With Adapter-ZP2-TB08MUGS-H5</t>
  </si>
  <si>
    <t>ZP2-TB04MBGS-A3</t>
  </si>
  <si>
    <t>Vacuum Pad Series ZP2</t>
  </si>
  <si>
    <t>ZP2-TB06MBGS-H5</t>
  </si>
  <si>
    <t>ZP2-02ZJGS</t>
  </si>
  <si>
    <t>47ohm 10w</t>
  </si>
  <si>
    <t>RESISTOR 47OHM 10W</t>
  </si>
  <si>
    <t>Resistor 47ohm 10w-white big</t>
  </si>
  <si>
    <t>PO1307-02505-LRT</t>
  </si>
  <si>
    <t>300ohm</t>
  </si>
  <si>
    <t>RESISTOR 300OHM 5W</t>
  </si>
  <si>
    <t>Resistor 300ohm 5w -white big</t>
  </si>
  <si>
    <t>PO1311-04400-LRT</t>
  </si>
  <si>
    <t>RY24WFZ-K</t>
  </si>
  <si>
    <t>TAKAMISAWA RELAY 24V</t>
  </si>
  <si>
    <t>EMC Components/Relay</t>
  </si>
  <si>
    <t>PO1410-10480-LRT</t>
  </si>
  <si>
    <t>RY5W-K</t>
  </si>
  <si>
    <t>TAKAMISAWA RELAY 5W</t>
  </si>
  <si>
    <t>MS305</t>
  </si>
  <si>
    <t>DS-316-W</t>
  </si>
  <si>
    <t>Self-resetting OFF/ON Switch Push Button No Lock,White-DS-316-W</t>
  </si>
  <si>
    <t>440146-PUSH BUTTON WHITE-DS-316-W</t>
  </si>
  <si>
    <t>PO1603-23062-LRT</t>
  </si>
  <si>
    <t>Self-resetting Off On Switch Push Button No Lock White</t>
  </si>
  <si>
    <t>MS350(GREEN)</t>
  </si>
  <si>
    <t>DS-316-G</t>
  </si>
  <si>
    <t>Self-resetting OFF/ON Switvh Push Button No Lock,Green</t>
  </si>
  <si>
    <t xml:space="preserve">Push Button - </t>
  </si>
  <si>
    <t>PO1611-29047-LRT</t>
  </si>
  <si>
    <t>Self-resetting OFF/ON Switch Push Button No Lock,Green - Push Button -  MS305 GREEN -(IE CODE : 440146)</t>
  </si>
  <si>
    <t>PO2005-57252-LRT</t>
  </si>
  <si>
    <t>NSE 04-01-I</t>
  </si>
  <si>
    <t>Speed Controller</t>
  </si>
  <si>
    <t>YS-50</t>
  </si>
  <si>
    <t>PANEL METER DC 30V</t>
  </si>
  <si>
    <t>Switches/Detector</t>
  </si>
  <si>
    <t>AH3D-DM 240VAC</t>
  </si>
  <si>
    <t>DIGITAL TIMER</t>
  </si>
  <si>
    <t>ZB2-BE102C</t>
  </si>
  <si>
    <t>SALZER NC BLOCK</t>
  </si>
  <si>
    <t>XB2 BS542</t>
  </si>
  <si>
    <t>EMERGENCY STOP SWITCH</t>
  </si>
  <si>
    <t>TQ2SA-24V-Z</t>
  </si>
  <si>
    <t>Panasonic Electric Works</t>
  </si>
  <si>
    <t>Relay Telecom DPDT 2A 24VDC</t>
  </si>
  <si>
    <t>PANASONIC ELECTRIC WORKS TQ2SA-24V SIGNAL RELAY, TQ-SMD SERIES, DPDT, 24 VDC, 2 A, SMD, NON LATCHING</t>
  </si>
  <si>
    <t>PO1605-24952-LRT</t>
  </si>
  <si>
    <t>FDB-25PTI2/1-LF</t>
  </si>
  <si>
    <t xml:space="preserve">	FDB-25PTI2/1-LF</t>
  </si>
  <si>
    <t>D Sub Connector,Filtered,Plug,25 Contacts,DB25 (1114112)</t>
  </si>
  <si>
    <t>DB25 RF SHIELDED MALE</t>
  </si>
  <si>
    <t>PO1711-36532-LRT</t>
  </si>
  <si>
    <t>292304-1 - (element code : 1076665 )</t>
  </si>
  <si>
    <t>CONNECTOR USB RECEPT R/A TYPE B</t>
  </si>
  <si>
    <t>PO1903-46707-LRT</t>
  </si>
  <si>
    <t>FH19SC-30S-0.5SH(99) - (Element ; 2687454)</t>
  </si>
  <si>
    <t>FH19SC-30S-0.5SH(99) -  FFC / FPC Board Connector, ZIF, 0.5 mm, 30 Contacts, Receptacle, FH19SC Series, Surface Mount</t>
  </si>
  <si>
    <t>PO1707-33930-LRT</t>
  </si>
  <si>
    <t>2070473</t>
  </si>
  <si>
    <t>CAP 2.2UF, +/-10%, 16V, 0805, X7R</t>
  </si>
  <si>
    <t>Cap 2.2uf, +/-10%, 16v, 0805, X7R (C0805C225KARAC)</t>
  </si>
  <si>
    <t>MC0402X224K160CT - (Element : 1759389)</t>
  </si>
  <si>
    <t>MC0402X224K160CT -  SMD MULTILAYER CERAMIC CAPACITOR, 0402 [1005 METRIC], 0.22 ΜF, 16 V, ± 10%, X5R, MC SERIES</t>
  </si>
  <si>
    <t>EMC Components/Ceramic Dielectric, Multilayer</t>
  </si>
  <si>
    <t>PO1709-35167-LRT</t>
  </si>
  <si>
    <t>2-84982-0</t>
  </si>
  <si>
    <t>CONN,BRD TO WR,1 ROW,20CONT,1MM,TIN,FFC-FPC 1.00 MM PITCH,</t>
  </si>
  <si>
    <t>PO1707-33929-LRT</t>
  </si>
  <si>
    <t>A102200CT-ND</t>
  </si>
  <si>
    <t>RES 100 OHM 1/16W 1% 0603~MFG # 6-1879335-5</t>
  </si>
  <si>
    <t>PO1306-02141-LRT</t>
  </si>
  <si>
    <t>MFR-25FRF52-110R</t>
  </si>
  <si>
    <t>Res 110 Ohm 1/4W 1% Axial</t>
  </si>
  <si>
    <t>865080653016</t>
  </si>
  <si>
    <t>Cap 100 UF 20% 50 V</t>
  </si>
  <si>
    <t>1358069</t>
  </si>
  <si>
    <t>RES 10KOHM, 1%, 0625W, 0402</t>
  </si>
  <si>
    <t>PO1406-07230-LRT</t>
  </si>
  <si>
    <t>TM1704</t>
  </si>
  <si>
    <t>PO1506-16370-LRT</t>
  </si>
  <si>
    <t>PE1521</t>
  </si>
  <si>
    <t>SWITCH +12V</t>
  </si>
  <si>
    <t>401-2208</t>
  </si>
  <si>
    <t>RF SWITCH 12VDC</t>
  </si>
  <si>
    <t>YELLOW</t>
  </si>
  <si>
    <t>VANDAL RESISTAN S/W AMBER</t>
  </si>
  <si>
    <t>Switches/Fixed Carbon Resistor</t>
  </si>
  <si>
    <t>GREEN</t>
  </si>
  <si>
    <t>VANDAL RESISTAN  S/W</t>
  </si>
  <si>
    <t>XB2-BS142</t>
  </si>
  <si>
    <t>SZXPBM-ES542</t>
  </si>
  <si>
    <t>Salzer</t>
  </si>
  <si>
    <t>22mm EMO Switch</t>
  </si>
  <si>
    <t>22MM EM-SW(SALZER) - EMERGENCY KEY REELEASE USH BUTTON</t>
  </si>
  <si>
    <t>BUTTON</t>
  </si>
  <si>
    <t>PO1605-24814-LRT</t>
  </si>
  <si>
    <t>A22SN211B</t>
  </si>
  <si>
    <t>Maruyasu</t>
  </si>
  <si>
    <t>Arrow Switch,2 Strokes,ON-OFF</t>
  </si>
  <si>
    <t>ON OFF SWITCH</t>
  </si>
  <si>
    <t>35A-ACA-0088-30</t>
  </si>
  <si>
    <t>MAC VALVE-35-ACA-0088-30</t>
  </si>
  <si>
    <t>LA115-A5-11RD-2</t>
  </si>
  <si>
    <t>COMMAND SWITCH DOUBLE PUSH BUTTON</t>
  </si>
  <si>
    <t>6A 125VAC</t>
  </si>
  <si>
    <t>5637A9</t>
  </si>
  <si>
    <t>Apem</t>
  </si>
  <si>
    <t>Toggle Switch,(On)-Off-(On),SPDT,Panel,6A</t>
  </si>
  <si>
    <t>TOGGLE SWITCH BLUE 3PIN</t>
  </si>
  <si>
    <t>TAT SWITCH BLACK</t>
  </si>
  <si>
    <t>NO HAVE PART NO. AT PMS SYSTEM</t>
  </si>
  <si>
    <t xml:space="preserve">MINI PUSH BUTTON TALL </t>
  </si>
  <si>
    <t>D027</t>
  </si>
  <si>
    <t>MINIATURE PUSH BUTTON 3PIN</t>
  </si>
  <si>
    <t>KIV = 17 Incomplate part findout foreing object (paper clip)</t>
  </si>
  <si>
    <t>KFC7X7-A</t>
  </si>
  <si>
    <t>Yueqing Daier Electron</t>
  </si>
  <si>
    <t>Plastic Push Button,ON-ON</t>
  </si>
  <si>
    <t>POWER SWITCH, MINIATURE DPDT ON ON PUSH BUTTON SWITCH</t>
  </si>
  <si>
    <t>SLIDE SWITCH ON OFF RED</t>
  </si>
  <si>
    <t xml:space="preserve">Part Rusty (Can't Update at system. No have Part# </t>
  </si>
  <si>
    <t>1MD3T6B11M1QE -(Element : 9473670)</t>
  </si>
  <si>
    <t>DPDT Mechanical Switch</t>
  </si>
  <si>
    <t>PO1905-48754-LRT</t>
  </si>
  <si>
    <t>DFW050H3.4TCBAR</t>
  </si>
  <si>
    <t>DOUBLE ENDED PROBE-DP050-3.4-M30H33</t>
  </si>
  <si>
    <t>EMC Components/Probe</t>
  </si>
  <si>
    <t>PO1801-37314-LRT</t>
  </si>
  <si>
    <t>DP050-3.45-H30AR33</t>
  </si>
  <si>
    <t>PROBE - DP050-3.45-H304R33_20161223150729</t>
  </si>
  <si>
    <t>PO1702-30174-LRT</t>
  </si>
  <si>
    <t>DF037044H7.4-R0</t>
  </si>
  <si>
    <t>PROBE PIN 0.5M PITCH</t>
  </si>
  <si>
    <t>po1710-35414-lrt</t>
  </si>
  <si>
    <t>9500-127-12-A-DS</t>
  </si>
  <si>
    <t>9500 VENTILATION PANELS</t>
  </si>
  <si>
    <t>.</t>
  </si>
  <si>
    <t>1803711</t>
  </si>
  <si>
    <t>RES 39.2KOHM, 1%, 0625W, 0402</t>
  </si>
  <si>
    <t>CC0603KRX5R7BB105</t>
  </si>
  <si>
    <t>CERAMIC CAPACITOR, 1UF, 16V, X5R, 10%, 0603, FULL REEL</t>
  </si>
  <si>
    <t>EMC Components/Ceramic Dielectric, Single Layer</t>
  </si>
  <si>
    <t>1841015</t>
  </si>
  <si>
    <t>FUSE FST BLW, 3A, 24V, SMD</t>
  </si>
  <si>
    <t>EMC Components/Fuse</t>
  </si>
  <si>
    <t>PO1312-04886-LRT</t>
  </si>
  <si>
    <t>C0402C104K8PACTU - (Element : 1288282RL)</t>
  </si>
  <si>
    <t>SMD MULTILAYER CERAMIC CAPACITOR, 0402 [1005 METRIC], 0.1 ΜF, 10 V, ± 10%, X5R, C SERIES</t>
  </si>
  <si>
    <t>EMC Components/Ceramic Dielectric,Multilayer</t>
  </si>
  <si>
    <t>CR0402-JW-330GLF</t>
  </si>
  <si>
    <t>RES,MF,33OHM,5%,.0625W,SM,0402,200PPM/CEL,PB-FREE</t>
  </si>
  <si>
    <t>C0603C225K9PACTU - (Element : 1288257RL)</t>
  </si>
  <si>
    <t>RC0402JR-07100KL</t>
  </si>
  <si>
    <t>RES, 100K OHM, 5%,0625W,0402</t>
  </si>
  <si>
    <t>1899999</t>
  </si>
  <si>
    <t>Array Supr SMD 17v, .225WSOT-23</t>
  </si>
  <si>
    <t>RC0402JR-0710KL- (element : 2131800)</t>
  </si>
  <si>
    <t>RES,MF,10KOHM,5%,.0625W,SM,0402,200PPM/CEL,PB-FREE</t>
  </si>
  <si>
    <t>PO1712-36842-LRT</t>
  </si>
  <si>
    <t>228-0607</t>
  </si>
  <si>
    <t>MAGNETIC SWITCH</t>
  </si>
  <si>
    <t>PO1309-03732-LRT</t>
  </si>
  <si>
    <t>13200190</t>
  </si>
  <si>
    <t>MAGNETIC SWITCH -2 WAY (NORMALLY CLOSE)</t>
  </si>
  <si>
    <t>PO1308-03166-LRT</t>
  </si>
  <si>
    <t>D5mm X 5mm</t>
  </si>
  <si>
    <t>SUPER MAGNET</t>
  </si>
  <si>
    <t>PO1911-52993-LRT</t>
  </si>
  <si>
    <t>Ø6mm x 2.5mm</t>
  </si>
  <si>
    <t>U-JOVAN 5pcs 10 x 15 mm Mini Round Neodymium Magnets 10*15mm N35 Super Powerful Craft Strong Rare Earth Magnet</t>
  </si>
  <si>
    <t>PO1912-53860-LRT</t>
  </si>
  <si>
    <t>T0717SBAAA</t>
  </si>
  <si>
    <t>Arcolectric</t>
  </si>
  <si>
    <t>Power Entry Connector,250VAC,10A,Panel Mount</t>
  </si>
  <si>
    <t>SWITCHED AND FUSED INLETS-964-463</t>
  </si>
  <si>
    <t xml:space="preserve">LED/Fuse Switches and Switch Fuses </t>
  </si>
  <si>
    <t>PO1708-34137-LRT</t>
  </si>
  <si>
    <t>24V 10W</t>
  </si>
  <si>
    <t>AUTO LAMP BULBS</t>
  </si>
  <si>
    <t>LED/Fuse</t>
  </si>
  <si>
    <t>K10-05</t>
  </si>
  <si>
    <t>POWER SUPPLY 5V</t>
  </si>
  <si>
    <t>31 , 38</t>
  </si>
  <si>
    <t>Power Magnetics/Power Supply</t>
  </si>
  <si>
    <t>PO1606-25798-LRT</t>
  </si>
  <si>
    <t>K10-24</t>
  </si>
  <si>
    <t>POWER SUPPLY(LEATON)</t>
  </si>
  <si>
    <t>32 , 39</t>
  </si>
  <si>
    <t>Leaton Electric</t>
  </si>
  <si>
    <t>10W Single Output Switching Power Supply</t>
  </si>
  <si>
    <t>PO1602-22421-LRT</t>
  </si>
  <si>
    <t>SMR63</t>
  </si>
  <si>
    <t>SMALL BALL BEARING - PRECISION MINIATURE BEARINGS S.STEEL - EZO</t>
  </si>
  <si>
    <t>BEARING</t>
  </si>
  <si>
    <t>PO1901-458472-LRT</t>
  </si>
  <si>
    <t>DDR 630ZZ</t>
  </si>
  <si>
    <t>BALL BEARING</t>
  </si>
  <si>
    <t>BFLB4-5</t>
  </si>
  <si>
    <t>MISUMI 4MM BUSHING-BFLB4-5</t>
  </si>
  <si>
    <t>Assembly Technique/Bush</t>
  </si>
  <si>
    <t>PO1607-26567-LRT</t>
  </si>
  <si>
    <t>BFLB5-6</t>
  </si>
  <si>
    <t>BUSHING</t>
  </si>
  <si>
    <t>Others/Bush</t>
  </si>
  <si>
    <t>PO1707-33875-LRT</t>
  </si>
  <si>
    <t>BFLB6-5</t>
  </si>
  <si>
    <t>MISUMI 6MM BUSHING-BFLB6-5</t>
  </si>
  <si>
    <t>PRECISION OIL FREE BUSHINGS</t>
  </si>
  <si>
    <t>PO1701-29976-LRT</t>
  </si>
  <si>
    <t>BFLB6-8</t>
  </si>
  <si>
    <t>PRECISION OIL FREE BUSHING</t>
  </si>
  <si>
    <t>PO1805-40212-LRT</t>
  </si>
  <si>
    <t>LHFC6</t>
  </si>
  <si>
    <t>Flanged Linear Bushings-LHFC6</t>
  </si>
  <si>
    <t>PO1804-39904-LRT</t>
  </si>
  <si>
    <t>LFB 0605</t>
  </si>
  <si>
    <t>PO1506-16585-LRT</t>
  </si>
  <si>
    <t>LFB04-08</t>
  </si>
  <si>
    <t>OIL BUSHING</t>
  </si>
  <si>
    <t>PO1510-19668-LRT</t>
  </si>
  <si>
    <t>LM3UU</t>
  </si>
  <si>
    <t>PO1606-2519-LRT</t>
  </si>
  <si>
    <t>LM4UU</t>
  </si>
  <si>
    <t>SLIDE BUSH</t>
  </si>
  <si>
    <t>PO2004-56321-LRT</t>
  </si>
  <si>
    <t>LM6LUU</t>
  </si>
  <si>
    <t>Linear Bushing</t>
  </si>
  <si>
    <t>PO1803-38582-LRT</t>
  </si>
  <si>
    <t>LM6UU</t>
  </si>
  <si>
    <t>PO1307-02570-LRT</t>
  </si>
  <si>
    <t>LM8UU</t>
  </si>
  <si>
    <t>PO1512-21224-LRT</t>
  </si>
  <si>
    <t>LMB 6UU</t>
  </si>
  <si>
    <t>LMF12UU</t>
  </si>
  <si>
    <t>Assembly Technique/Bearing</t>
  </si>
  <si>
    <t>PO1303-00842-LRT</t>
  </si>
  <si>
    <t>LHFR6</t>
  </si>
  <si>
    <t>PO1711-36036-LRT</t>
  </si>
  <si>
    <t>LMF6</t>
  </si>
  <si>
    <t>LM8LUU</t>
  </si>
  <si>
    <t>Machifit</t>
  </si>
  <si>
    <t>8mm Long Type Linear Motion Ball Bearing Slide Bushing</t>
  </si>
  <si>
    <t>LM6NUU</t>
  </si>
  <si>
    <t>LMH10UU</t>
  </si>
  <si>
    <t>PO1411-11318-LRT</t>
  </si>
  <si>
    <t>OIL FREE BUSHING</t>
  </si>
  <si>
    <t>THOMSON A 61014</t>
  </si>
  <si>
    <t>HSM8GWUU</t>
  </si>
  <si>
    <t>SLIDER BUSH 8M</t>
  </si>
  <si>
    <t>DH-08</t>
  </si>
  <si>
    <t>DH-08 BUSHING GROMMET</t>
  </si>
  <si>
    <t>PO2006-58018-LRT</t>
  </si>
  <si>
    <t>DH-13</t>
  </si>
  <si>
    <t>DH-13 BUSHING GROMMET</t>
  </si>
  <si>
    <t>DH-16</t>
  </si>
  <si>
    <t>DH-16 BUSHING GROMMET</t>
  </si>
  <si>
    <t>BW-S3W2+</t>
  </si>
  <si>
    <t>Precision Fixed Attenuator 50Ohm 2W 3dB</t>
  </si>
  <si>
    <t>ATTENUATOR 3dB</t>
  </si>
  <si>
    <t>Assembly Technique/Adapter</t>
  </si>
  <si>
    <t>PO1507-17643-LRT</t>
  </si>
  <si>
    <t>3M-40</t>
  </si>
  <si>
    <t>Api Technologies Corp</t>
  </si>
  <si>
    <t>RF Attenuator-Coaxial,SMA Female-SMA Male,2W,40dB</t>
  </si>
  <si>
    <t>WEINSCHEL ATTENUATOR</t>
  </si>
  <si>
    <t>BW-S50W2+</t>
  </si>
  <si>
    <t>Precision Fixed Attenuator 50Ohm 2W 50dB</t>
  </si>
  <si>
    <t>ATTENUATOR 50dB</t>
  </si>
  <si>
    <t>BW-S10W2+</t>
  </si>
  <si>
    <t>Precision Fixed Attenuator 50Ohm 2W 10dB</t>
  </si>
  <si>
    <t>ATTENUATOR 10dB</t>
  </si>
  <si>
    <t>3M - 10</t>
  </si>
  <si>
    <t>3M-10</t>
  </si>
  <si>
    <t>RF Attenuator-Coaxial,SMA Female-SMA Male,2W,10dB</t>
  </si>
  <si>
    <t>665-10-1</t>
  </si>
  <si>
    <t>2 Watt Attenuator</t>
  </si>
  <si>
    <t>MECA ATTENUATOR</t>
  </si>
  <si>
    <t>4370M</t>
  </si>
  <si>
    <t>SMA COAXIAL FIXED TERMINATOR</t>
  </si>
  <si>
    <t>SMD2-L-DA-16-10-K0H-D</t>
  </si>
  <si>
    <t>CKD</t>
  </si>
  <si>
    <t>SMD2 Compact Cylinder</t>
  </si>
  <si>
    <t>Super Mount Cylinder</t>
  </si>
  <si>
    <t>Assembly Technique/Cylinder</t>
  </si>
  <si>
    <t>PO1507-17051-LRT</t>
  </si>
  <si>
    <t>P3G-08</t>
  </si>
  <si>
    <t>CONNECTION SOCKET</t>
  </si>
  <si>
    <t>Assembly Technique/Socket</t>
  </si>
  <si>
    <t>PO1311-04318-LRT</t>
  </si>
  <si>
    <t>SDAS 80-40</t>
  </si>
  <si>
    <t>COMPACT CYLINDER</t>
  </si>
  <si>
    <t>SF-A0409</t>
  </si>
  <si>
    <t>GOOD LEAD FREE SOLDER WIRE SF-A0409 0.8MM (15MTR / RL)</t>
  </si>
  <si>
    <t>Solder Wire</t>
  </si>
  <si>
    <t>PO1902-46335-LRT</t>
  </si>
  <si>
    <t>0.8MM</t>
  </si>
  <si>
    <t>SOLDER WIRE 0.8MM - (1 ROLL = 500G)</t>
  </si>
  <si>
    <t>Signal&amp;Communication/Wire</t>
  </si>
  <si>
    <t>PO1703-30924-LRT</t>
  </si>
  <si>
    <t>1.0mm</t>
  </si>
  <si>
    <t>MIG CONTACT TIP</t>
  </si>
  <si>
    <t>PO1810-43202-LRT</t>
  </si>
  <si>
    <t>000113</t>
  </si>
  <si>
    <t>SPONGE SOLDER</t>
  </si>
  <si>
    <t>Sponge</t>
  </si>
  <si>
    <t>G/Roll 1000g    Size 0.8</t>
  </si>
  <si>
    <t>GOOD LEAD FREE SOLDER WIRE 1.0MM</t>
  </si>
  <si>
    <t>Solder wire lead free tin wire tin wire environmental protection solder wire</t>
  </si>
  <si>
    <t>PO2004-56461-LRT</t>
  </si>
  <si>
    <t>660502</t>
  </si>
  <si>
    <t>Led Indicator Green</t>
  </si>
  <si>
    <t>PO1507-17271-LRT</t>
  </si>
  <si>
    <t>MC19040001</t>
  </si>
  <si>
    <t>LED Indicator 110-5246(Green) - LED Panel Mount Indicator,Green - (IE : 660502)</t>
  </si>
  <si>
    <t>PO1910-52176-LRT</t>
  </si>
  <si>
    <t>AD22 240V AC LED PILOT LAMP (GREEN )</t>
  </si>
  <si>
    <t>LED/Diode</t>
  </si>
  <si>
    <t>PO1603-23010-LRT</t>
  </si>
  <si>
    <t>MC19040003</t>
  </si>
  <si>
    <t>LED PANEL MOUNT INDICATOR RED (IE : 660501)</t>
  </si>
  <si>
    <t>PO1909-51516-LRT</t>
  </si>
  <si>
    <t>AD16-22SM</t>
  </si>
  <si>
    <t>Alarm LED Indicator Pilot Lamp With Buzzer</t>
  </si>
  <si>
    <t>PO1911-52831-LRT</t>
  </si>
  <si>
    <t>PO1605-24470-LRT</t>
  </si>
  <si>
    <t>SN5 (550400)</t>
  </si>
  <si>
    <t>Spacer</t>
  </si>
  <si>
    <t>Assembly Technique/Spacer</t>
  </si>
  <si>
    <t>PO1512-21180-LRT</t>
  </si>
  <si>
    <t>STANDOFF</t>
  </si>
  <si>
    <t>STANDOFF -SN30</t>
  </si>
  <si>
    <t>PO2004-56216-LRT</t>
  </si>
  <si>
    <t>SN15MM-SPACER</t>
  </si>
  <si>
    <t>PO1411-12025-LRT</t>
  </si>
  <si>
    <t>SPACER SN20</t>
  </si>
  <si>
    <t>PO1405-07445-LRT</t>
  </si>
  <si>
    <t>SN20</t>
  </si>
  <si>
    <t>Standoff</t>
  </si>
  <si>
    <t>PO1911-53155-LRT</t>
  </si>
  <si>
    <t>SN25</t>
  </si>
  <si>
    <t>PO2008-59490-LRT</t>
  </si>
  <si>
    <t>SPACER SN25</t>
  </si>
  <si>
    <t>PO1511-19870-LRT</t>
  </si>
  <si>
    <t>nut</t>
  </si>
  <si>
    <t>SPACER HEXAGON NUT</t>
  </si>
  <si>
    <t>550401-SS5</t>
  </si>
  <si>
    <t>SPACER SS5</t>
  </si>
  <si>
    <t>SPACER SS10MM</t>
  </si>
  <si>
    <t>PO1612-29671-LRT</t>
  </si>
  <si>
    <t>SPACER-SS20</t>
  </si>
  <si>
    <t>Assembly Technique/Bracket</t>
  </si>
  <si>
    <t>PO1707-33693-LRT</t>
  </si>
  <si>
    <t>SPACER-SS30</t>
  </si>
  <si>
    <t>SN10MM-SPACER</t>
  </si>
  <si>
    <t>PO1603-22911-LRT</t>
  </si>
  <si>
    <t>SN10</t>
  </si>
  <si>
    <t>(11)SN10MM-SPACER</t>
  </si>
  <si>
    <t>PO1911-52851-LRT</t>
  </si>
  <si>
    <t>SN40</t>
  </si>
  <si>
    <t>SPACER SN40</t>
  </si>
  <si>
    <t>PO1408-05828-LRT</t>
  </si>
  <si>
    <t>Part Crack &amp; return to Store. But find out the damage part in the WIP Bin</t>
  </si>
  <si>
    <t>SN5/SS5,10,15,20</t>
  </si>
  <si>
    <t>SPACER SCREW</t>
  </si>
  <si>
    <t>R25-1001002 - (Element : 2345349)</t>
  </si>
  <si>
    <t>Standoff, Nickel Plated, Brass, M2.5, Hex Female, 10 mm, R25 Series</t>
  </si>
  <si>
    <t>PO1803-39382-LRT</t>
  </si>
  <si>
    <t>EPA - 100</t>
  </si>
  <si>
    <t>Assembly Technique/Valve-Solenoid</t>
  </si>
  <si>
    <t>PO1610-28418-LRT</t>
  </si>
  <si>
    <t>EPA 105</t>
  </si>
  <si>
    <t>Micro Switch</t>
  </si>
  <si>
    <t>Assembly Technique/Switch</t>
  </si>
  <si>
    <t>EPA-107</t>
  </si>
  <si>
    <t>SSD-26-20</t>
  </si>
  <si>
    <t>M6 HOLE</t>
  </si>
  <si>
    <t>JDA25X20-COMPACT CYLINDER FOR CLAMP( UE )</t>
  </si>
  <si>
    <t>SZ-A20</t>
  </si>
  <si>
    <t>FUJI ELECTRIC</t>
  </si>
  <si>
    <t>Signal&amp;Communications/Socket</t>
  </si>
  <si>
    <t>808-03-07-061</t>
  </si>
  <si>
    <t>WESTAT #CWG-338 220V SINGLE CONTNUOUS WRIST STRAP TESTER</t>
  </si>
  <si>
    <t>Signal&amp;Communications/Detector</t>
  </si>
  <si>
    <t>1455C801</t>
  </si>
  <si>
    <t>Metal Enclosure, 1455 Series, Extruded With Metal End Panels, Small, Extruded Aluminium, 23 mm</t>
  </si>
  <si>
    <t xml:space="preserve">ENCLOSURE  </t>
  </si>
  <si>
    <t>PO2007-58422-LRT</t>
  </si>
  <si>
    <t>660531</t>
  </si>
  <si>
    <t>LED RED ROUND -WIFI</t>
  </si>
  <si>
    <t>PO1509-18416-LRT</t>
  </si>
  <si>
    <t>RED/ GREEN/ YELLOW</t>
  </si>
  <si>
    <t>LED HOLDER</t>
  </si>
  <si>
    <t>LED/Service</t>
  </si>
  <si>
    <t>660522</t>
  </si>
  <si>
    <t>LED YELLOW -AMBER</t>
  </si>
  <si>
    <t>5mm  square</t>
  </si>
  <si>
    <t>LED RED RECTANGULAR-TNA</t>
  </si>
  <si>
    <t>10mm-green</t>
  </si>
  <si>
    <t>LED RECTANGULAR GREEN</t>
  </si>
  <si>
    <t>660532</t>
  </si>
  <si>
    <t>5MM LED GREEN (ROUND)</t>
  </si>
  <si>
    <t>5MM LED AMBER/YELLOW (ROUND)</t>
  </si>
  <si>
    <t>5MM LED RED (ROUND)</t>
  </si>
  <si>
    <t>660513</t>
  </si>
  <si>
    <t>RECTANGULAR LED GREEN</t>
  </si>
  <si>
    <t>5MM RECTANGULAR LED GREEN</t>
  </si>
  <si>
    <t>RD-60B</t>
  </si>
  <si>
    <t>5V,24V POWER SUPPLY - CHANGE TO NED-75B</t>
  </si>
  <si>
    <t>PO1604-24080-LRT</t>
  </si>
  <si>
    <t>RS-50-12</t>
  </si>
  <si>
    <t>Meanwell Power Supply</t>
  </si>
  <si>
    <t>PO1403-06194-LRT</t>
  </si>
  <si>
    <t>RS-50-24</t>
  </si>
  <si>
    <t>PO1507-17134-LRT</t>
  </si>
  <si>
    <t>K10-12</t>
  </si>
  <si>
    <t>LEATON POWER SUPPLY 12V</t>
  </si>
  <si>
    <t>1329733</t>
  </si>
  <si>
    <t>86.30.0.024.0000 -  ANALOGUE TIMER, MODULE, MULTIFUNCTION, 86 SERIES, ON-DELAY, ON-PULSE, 1 RANGES, 0.05 S, 100 H</t>
  </si>
  <si>
    <t>Power Magnetics/Relay</t>
  </si>
  <si>
    <t>22UF 16V</t>
  </si>
  <si>
    <t>CAPACITOR</t>
  </si>
  <si>
    <t>Capacitor/Fixed Capacitor</t>
  </si>
  <si>
    <t>100UF 16V</t>
  </si>
  <si>
    <t>E-CAP 100UF</t>
  </si>
  <si>
    <t>100UF 50V-551232</t>
  </si>
  <si>
    <t>E-CAP 100UF 50V-BLACK</t>
  </si>
  <si>
    <t>100uf-50v-9693793</t>
  </si>
  <si>
    <t>CAPACITOR 100UF 50V-BLUE-ECA-1HM101</t>
  </si>
  <si>
    <t>CAPACITOR 100UF 50V-BLUE</t>
  </si>
  <si>
    <t>PO1411-11240-LRT</t>
  </si>
  <si>
    <t>25PX100MEFC5X11</t>
  </si>
  <si>
    <t>E-CAP 100UF 25V - (IE : 551230)</t>
  </si>
  <si>
    <t>470uf 50v</t>
  </si>
  <si>
    <t>2200UF 6.3V</t>
  </si>
  <si>
    <t>4700UF 16V</t>
  </si>
  <si>
    <t>PO1605-24653-LRT</t>
  </si>
  <si>
    <t>4700UF 25V</t>
  </si>
  <si>
    <t>10000UF,50W</t>
  </si>
  <si>
    <t>E-CAPACITOR</t>
  </si>
  <si>
    <t>PO1612-29548-LRT</t>
  </si>
  <si>
    <t>PO1705-32458-LRT</t>
  </si>
  <si>
    <t>MINIATURE BALL BEARING - (S/STEEL)</t>
  </si>
  <si>
    <t>PO1803-38470-LRT</t>
  </si>
  <si>
    <t>608ZZ</t>
  </si>
  <si>
    <t>PO1308-03398-LRT</t>
  </si>
  <si>
    <t>MINIATURE BALL BEARING</t>
  </si>
  <si>
    <t>PO1805-40320-LRT</t>
  </si>
  <si>
    <t>6000DD</t>
  </si>
  <si>
    <t>Deep Groove Ball Bearing Single Row</t>
  </si>
  <si>
    <t>Assembly Technique/Ball Screw</t>
  </si>
  <si>
    <t>PO2001-54350-LRT</t>
  </si>
  <si>
    <t>DEEP GROOVE BALL BEARING</t>
  </si>
  <si>
    <t>16002ZZ</t>
  </si>
  <si>
    <t>PO1803-39265-LRT</t>
  </si>
  <si>
    <t>6002 - (6002ZZ-JA)</t>
  </si>
  <si>
    <t>Bearing -6002</t>
  </si>
  <si>
    <t>6902ZZ</t>
  </si>
  <si>
    <t>Bearing - 6902ZZ - (FBJ)</t>
  </si>
  <si>
    <t>695ZZ</t>
  </si>
  <si>
    <t>BEARING - 695ZZ</t>
  </si>
  <si>
    <t>PO1804-39900-LRT</t>
  </si>
  <si>
    <t>F695ZZ</t>
  </si>
  <si>
    <t>BEARING - F695ZZ</t>
  </si>
  <si>
    <t>FL696ZZ</t>
  </si>
  <si>
    <t>PO1603-22546-LRT</t>
  </si>
  <si>
    <t>FL6700ZZ</t>
  </si>
  <si>
    <t>Flange Small Deep Groove Ball Bearing</t>
  </si>
  <si>
    <t>PO1910-52245-LRT</t>
  </si>
  <si>
    <t>MR63ZZ</t>
  </si>
  <si>
    <t>PO1708-34229-LRT</t>
  </si>
  <si>
    <t>MR83ZZ</t>
  </si>
  <si>
    <t>BEARING -MR63ZZ</t>
  </si>
  <si>
    <t>PO1606-25807-LRT</t>
  </si>
  <si>
    <t>MR95ZZ</t>
  </si>
  <si>
    <t>PRECISION MINATURE BEARING (ID : 5MM, OD : 9MM, THICKNESS : 3.0MM) S/STEEL</t>
  </si>
  <si>
    <t>PO1802-38406-LRT</t>
  </si>
  <si>
    <t>CF5</t>
  </si>
  <si>
    <t>CAM FOLLOWER</t>
  </si>
  <si>
    <t>PO1809-42980-LRT</t>
  </si>
  <si>
    <t>PO1711-36046-LRT</t>
  </si>
  <si>
    <t>CF8</t>
  </si>
  <si>
    <t>CF3UU</t>
  </si>
  <si>
    <t>PO1311-04683-LRT</t>
  </si>
  <si>
    <t>CAM FOLLOWERS(CF4)-CHINA</t>
  </si>
  <si>
    <t>CF4UU</t>
  </si>
  <si>
    <t>Cam Follower (CF4) - ( Brand - IKO Japan )</t>
  </si>
  <si>
    <t>PO1708-34386-LRT</t>
  </si>
  <si>
    <t>CFS-5F</t>
  </si>
  <si>
    <t>PO1910-52585-LRT</t>
  </si>
  <si>
    <t>688AZZ1</t>
  </si>
  <si>
    <t>Bearing - 688AZZ1</t>
  </si>
  <si>
    <t>PO1802-38431-LRT</t>
  </si>
  <si>
    <t>686AVV</t>
  </si>
  <si>
    <t>MR114VV</t>
  </si>
  <si>
    <t>Bearing - (Equivalent : 694.2RS Precision Miniature Bearings ) EZO</t>
  </si>
  <si>
    <t>Ø2.0</t>
  </si>
  <si>
    <t>Ø2.0 STEEL BALL</t>
  </si>
  <si>
    <t>Ø2.5</t>
  </si>
  <si>
    <t>Ø2.5 STEEL BALL</t>
  </si>
  <si>
    <t>STEEL BALL</t>
  </si>
  <si>
    <t>PO1708-34652-LRT</t>
  </si>
  <si>
    <t>STEEL BALL 3.0MM</t>
  </si>
  <si>
    <t>STEEL BALL 3.5MM</t>
  </si>
  <si>
    <t>PO1805-40394-LRT</t>
  </si>
  <si>
    <t>12MM</t>
  </si>
  <si>
    <t>S/S STEEL BALL BEARING</t>
  </si>
  <si>
    <t>PO1607-26931-LRT</t>
  </si>
  <si>
    <t>F699ZZ1</t>
  </si>
  <si>
    <t>MINIATURE BALL BEARING WITH FLANGE -S/STEEL -( BRAND EZO - F699HZZ)</t>
  </si>
  <si>
    <t>6800ZZ</t>
  </si>
  <si>
    <t>deep Groove Ball Bearing - S/Steel -(Brand JA Korea - SS6800ZZ)</t>
  </si>
  <si>
    <t>F688A</t>
  </si>
  <si>
    <t>Deep Grove Ball Bearing with Flanged Outer Ring - NIS SSLF 688A W/O Cover - S/steel - ID : 8 , OD : 16 , H: 4mm</t>
  </si>
  <si>
    <t>ASDAS12 X 15</t>
  </si>
  <si>
    <t>COMPACT CYLUNDER</t>
  </si>
  <si>
    <t>SDAS12-50</t>
  </si>
  <si>
    <t>CDQ2WB12-5DCMZ</t>
  </si>
  <si>
    <t>SMC COMPCT CYLINDER</t>
  </si>
  <si>
    <t>CDQ2B12-5DC</t>
  </si>
  <si>
    <t>SMC COMPACT CYLINDER SMALL</t>
  </si>
  <si>
    <t>JDA 25 X 20 M6</t>
  </si>
  <si>
    <t>Compact Cylinder</t>
  </si>
  <si>
    <t>PO1910-51935-LRT</t>
  </si>
  <si>
    <t>JDA 25 X 20 M5</t>
  </si>
  <si>
    <t>SS5Y3-41-02-M5</t>
  </si>
  <si>
    <t>SMC MANIFOLD</t>
  </si>
  <si>
    <t>Assembly Technique/\Valve-Solenoid</t>
  </si>
  <si>
    <t>CXSM15-20</t>
  </si>
  <si>
    <t>SMC TWIN ROD CYLINDER</t>
  </si>
  <si>
    <t>PO1406-07713-LRT</t>
  </si>
  <si>
    <t>MJBV-02</t>
  </si>
  <si>
    <t xml:space="preserve">Check Valve with 04ST Both Side	</t>
  </si>
  <si>
    <t>Check Valve with 04ST Both Side</t>
  </si>
  <si>
    <t>KAM-08</t>
  </si>
  <si>
    <t>CHECK VALVE</t>
  </si>
  <si>
    <t>C3-C3-56100-261-130N</t>
  </si>
  <si>
    <t>C3C3F56100-100-261-130N</t>
  </si>
  <si>
    <t>Easylift</t>
  </si>
  <si>
    <t>Gas Spring 130N</t>
  </si>
  <si>
    <t>GAS SPRING</t>
  </si>
  <si>
    <t>Assembly Technique/Gas Spring</t>
  </si>
  <si>
    <t>F1C3F-56-100-261 400N</t>
  </si>
  <si>
    <t>Gas Spring</t>
  </si>
  <si>
    <t>PO2003-55482-LRT</t>
  </si>
  <si>
    <t>ST1-DC5V-F  (element 14 code : 2395970 )</t>
  </si>
  <si>
    <t>PANASONIC ELECTRIC WORKS  ST1-DC5V-F  RELAY, 1NO, 1NC, 380VAC, 250VDC, 8A</t>
  </si>
  <si>
    <t>PO1510-19634-LRT</t>
  </si>
  <si>
    <t>1-406541-1 (digikey code : A97716-ND)</t>
  </si>
  <si>
    <t>CONN MOD JACK 8P8C R/A SHIELDED</t>
  </si>
  <si>
    <t>PO1510-19705-LRT</t>
  </si>
  <si>
    <t>54602-910LF</t>
  </si>
  <si>
    <t>CONN MOD JACK 10P10C R/A UNSHLD - (Element : 2751506)</t>
  </si>
  <si>
    <t>PO1911-52700-LRT</t>
  </si>
  <si>
    <t>1654686</t>
  </si>
  <si>
    <t>TURRET SOLDER PRESS MOUNT TERMINAL, INSULATED, 3.45 MM, GOLD, 9.91 MM, 5.56 MM</t>
  </si>
  <si>
    <t>Signal&amp;Communication/ Connector</t>
  </si>
  <si>
    <t>145-141</t>
  </si>
  <si>
    <t>PLUG TINI Q PANEL 3P</t>
  </si>
  <si>
    <t>Signal&amp;Communication/Connector</t>
  </si>
  <si>
    <t>G2R-1-SN DC24(S) BY OMB</t>
  </si>
  <si>
    <t>G2R-1-SN DC24(S)</t>
  </si>
  <si>
    <t>Omron</t>
  </si>
  <si>
    <t>Relay Gen Purpose SPDT 10A 24V</t>
  </si>
  <si>
    <t>Omron Pcb Relay - G2R-1-SN DC24(S) By OMB</t>
  </si>
  <si>
    <t>RELAY</t>
  </si>
  <si>
    <t>PO1704-31465-LRT</t>
  </si>
  <si>
    <t>IEC255</t>
  </si>
  <si>
    <t>OMRON RELAY C/W BASE NEXGEN</t>
  </si>
  <si>
    <t>H7EC BLM</t>
  </si>
  <si>
    <t>OMRON COUNTER</t>
  </si>
  <si>
    <t>Power Magnetics/Detector</t>
  </si>
  <si>
    <t>PO1408-09409-LRT</t>
  </si>
  <si>
    <t>PO1807-41285-LRT</t>
  </si>
  <si>
    <t>LRT/FAB</t>
  </si>
  <si>
    <t>DUT DIAPHRAGM SI PRO CODE : LRT/FIX 1312-0008~MATERIAL : SILICONE RUBBER BLACK 70°±5° SHORE A</t>
  </si>
  <si>
    <t>1608-000010</t>
  </si>
  <si>
    <t>4.5MM MATE ABLE SEAL. RED COLOR SGARE A 60 - (HIGH STERNGTH SILICONE -50A)</t>
  </si>
  <si>
    <t>PO2009-59714-LRT</t>
  </si>
  <si>
    <t>1608-000010 REV:0</t>
  </si>
  <si>
    <t>4.5mm MATE ABLE SEAL</t>
  </si>
  <si>
    <t>PO1911-52709-LRT</t>
  </si>
  <si>
    <t>4MM MATE ABLE SEAL</t>
  </si>
  <si>
    <t>AM-105204</t>
  </si>
  <si>
    <t>shincoil spring</t>
  </si>
  <si>
    <t>DISK spring</t>
  </si>
  <si>
    <t>Assembly Technique/Washer</t>
  </si>
  <si>
    <t>PO1406-07931-LRT</t>
  </si>
  <si>
    <t>AM-63203</t>
  </si>
  <si>
    <t>SHINCOIL SPRING</t>
  </si>
  <si>
    <t>137 ( element :  1229989)</t>
  </si>
  <si>
    <t>Abbatron HH Smith</t>
  </si>
  <si>
    <t>Binding Post,15A,#8-32,Solder</t>
  </si>
  <si>
    <t>METAL BINDING POST</t>
  </si>
  <si>
    <t>Assembly Technique/Fasterner</t>
  </si>
  <si>
    <t>SM4534</t>
  </si>
  <si>
    <t>RA N Male To Female Adapter</t>
  </si>
  <si>
    <t>N(M) TO N(M) RIGHT ANGLE ADAPTER ( ON RF PORT OF CMW500)</t>
  </si>
  <si>
    <t>PO1805-40703-LRT</t>
  </si>
  <si>
    <t>VAT-30W2+</t>
  </si>
  <si>
    <t>Coaxial SMA Fixed Attenuator,50Ohm,2W,30dB</t>
  </si>
  <si>
    <t>COAXIAL SMA FIXED ATTENUATOR</t>
  </si>
  <si>
    <t>PO1711-36213-LRT</t>
  </si>
  <si>
    <t>33_BNC-N-Q50-4/133_NE</t>
  </si>
  <si>
    <t>Huber+Suhner</t>
  </si>
  <si>
    <t>RF Adapters-Between Series BNC Plug M To N Jack F,Quick Mate</t>
  </si>
  <si>
    <t>HUBER+SUHNER_33_BNC-N-Q50-4-133_N_3DMODEL - (RS - 112-128)</t>
  </si>
  <si>
    <t>PO1710-35934-LRT</t>
  </si>
  <si>
    <t>31-315-RFX</t>
  </si>
  <si>
    <t xml:space="preserve">Conn BNC PLUG, STRAIGHT, 50 OHM, CRIMP - (Element : 1919969)	</t>
  </si>
  <si>
    <t>82-12-400-16</t>
  </si>
  <si>
    <t>Southco</t>
  </si>
  <si>
    <t>1/4 Turn Stud Winghead</t>
  </si>
  <si>
    <t>TURN STUD WINGHEAD</t>
  </si>
  <si>
    <t>82-11-300-16</t>
  </si>
  <si>
    <t>1/4 Turn Stud Oval Slotted</t>
  </si>
  <si>
    <t>1/4 TURN STUD</t>
  </si>
  <si>
    <t>PO1405-06982-LRT</t>
  </si>
  <si>
    <t>82-32-201-20</t>
  </si>
  <si>
    <t>RETAINER</t>
  </si>
  <si>
    <t>PO1807-41407-LRT</t>
  </si>
  <si>
    <t>82-35-308-55</t>
  </si>
  <si>
    <t>DZUS Lion Quarter-Turn Fasteners</t>
  </si>
  <si>
    <t>RECEPTACLES</t>
  </si>
  <si>
    <t>PO1710-35693-LRT</t>
  </si>
  <si>
    <t>43-13-1-24</t>
  </si>
  <si>
    <t>EJECTOR PIN</t>
  </si>
  <si>
    <t>Assembly Technique/Spring</t>
  </si>
  <si>
    <t>82-46-101-41</t>
  </si>
  <si>
    <t>NYLON WEAR WASHER</t>
  </si>
  <si>
    <t>855-M20-7830646</t>
  </si>
  <si>
    <t>HEADERS &amp; WIRE HOUSINGS 06+06 DIL VERTICAL SOCKET TIN (M20-7830646)</t>
  </si>
  <si>
    <t>PO1412-13051-LRT</t>
  </si>
  <si>
    <t>V4NT7 ( RS : 157-1008 )</t>
  </si>
  <si>
    <t>MICRO SWITCH SOLDER TERMINAL</t>
  </si>
  <si>
    <t>MDF97-5S-3.5C</t>
  </si>
  <si>
    <t>Headers &amp; Wire Housings</t>
  </si>
  <si>
    <t>JDA25x20</t>
  </si>
  <si>
    <t>WuSung-JDA25X20</t>
  </si>
  <si>
    <t>PO1611-29035-LRT</t>
  </si>
  <si>
    <t>4GA110R-C6-E2H</t>
  </si>
  <si>
    <t>CKD VALVE C6-12V</t>
  </si>
  <si>
    <t>VALVE-SOLENOID</t>
  </si>
  <si>
    <t>4GA110-C6-E2H-3</t>
  </si>
  <si>
    <t>SSK</t>
  </si>
  <si>
    <t>CKD Valve C6-24V</t>
  </si>
  <si>
    <t>CKD VALVE C6-24V</t>
  </si>
  <si>
    <t>PO1710-35933-LRT</t>
  </si>
  <si>
    <t>4GA119-C4-E2H-4</t>
  </si>
  <si>
    <t>CKD VALVE C4-12V</t>
  </si>
  <si>
    <t>CKD Soleniod Valve 12V</t>
  </si>
  <si>
    <t>PO1604-24149-LRT</t>
  </si>
  <si>
    <t>4GA110-C4-E2H</t>
  </si>
  <si>
    <t>Connector/Valve-Solenoid</t>
  </si>
  <si>
    <t>CKD VALVE 24v</t>
  </si>
  <si>
    <t>CKD VALVE</t>
  </si>
  <si>
    <t>4GA110-C4-E2H-3</t>
  </si>
  <si>
    <t>CKD Valve 24V</t>
  </si>
  <si>
    <t>CKD Valve C4 24V</t>
  </si>
  <si>
    <t>4GA119-C4-E2H</t>
  </si>
  <si>
    <t>Others/Valve-solenoid</t>
  </si>
  <si>
    <t>4GA119R-C4-E2H-3</t>
  </si>
  <si>
    <t>4GA110R-C4-E2H-4</t>
  </si>
  <si>
    <t>PC0602</t>
  </si>
  <si>
    <t>MALE STRAIGHT</t>
  </si>
  <si>
    <t>MALE STRAIGHT FITTING</t>
  </si>
  <si>
    <t>PO1804-39488-LRT</t>
  </si>
  <si>
    <t>CPF20</t>
  </si>
  <si>
    <t>AIR COUPLER PLUG</t>
  </si>
  <si>
    <t>20SH</t>
  </si>
  <si>
    <t>Socket - (Brand : Nitto Kohki)</t>
  </si>
  <si>
    <t>20PM</t>
  </si>
  <si>
    <t>Plug - (Brand : Nitto Kohki)</t>
  </si>
  <si>
    <t>1/16 NPT - 27</t>
  </si>
  <si>
    <t>PRESSURE PLUG</t>
  </si>
  <si>
    <t>PO1408-09293-LRT</t>
  </si>
  <si>
    <t>CDMB20-40</t>
  </si>
  <si>
    <t>ROUND PENCIL CYLINDER</t>
  </si>
  <si>
    <t>LATCH</t>
  </si>
  <si>
    <t>MPCIE CONNECTOR LATCH</t>
  </si>
  <si>
    <t>166291-1</t>
  </si>
  <si>
    <t>Conn D-Sub Socket 20-24Awg Crimp</t>
  </si>
  <si>
    <t>AMP FROM TE CONNECTIVITY  166291-1  D SUB CONTACT, D SUB CONNECTORS, SOCKET, PHOSPHOR BRONZE, GOLD PLATED CONTACTS, 20 AWG, 24 AWG (ELEMENT : 3416770)</t>
  </si>
  <si>
    <t>Assembly Technique/Pin</t>
  </si>
  <si>
    <t>PO1701-29787-LRT</t>
  </si>
  <si>
    <t>0-430300007</t>
  </si>
  <si>
    <t>Conn Socket 20-24Awg Crimp Tin</t>
  </si>
  <si>
    <t>6 WAY CONNECTOR-FEMALE(PIN) ( 1 BAG = 100 PCS)</t>
  </si>
  <si>
    <t>PO1510-19318-LRT</t>
  </si>
  <si>
    <t>A-DF 09 A/KG-T2S</t>
  </si>
  <si>
    <t>Conn D-Sub Rcpt 9Pos R/A Solder</t>
  </si>
  <si>
    <t>DSUB/D STYLE CONNECTOR,F,15CONT,RIGHT ANGLE</t>
  </si>
  <si>
    <t>2333037 - (43031-0007) - (Element : 2725169)</t>
  </si>
  <si>
    <t>0-430310007</t>
  </si>
  <si>
    <t>CONNECTOR,PCB,CRIMP,PLUG,CONTACT,20-24AWG -</t>
  </si>
  <si>
    <t>926893-1 - (Element :: 285419)</t>
  </si>
  <si>
    <t>2 WAY COMMERCIAL TE AMP MATE-N-LOK WIRING CONNECTOR CAP (CRIMP TIN TERMINAL) 1 PACK = 100 P</t>
  </si>
  <si>
    <t>926894-1 - (Element : 285390)</t>
  </si>
  <si>
    <t>2 WAY COMMERCIAL TE AMP MATE-N-LOK WIRING CONNECTOR PLUG (CRIMP TIN TERMINAL)  1 PACK = 100PCS</t>
  </si>
  <si>
    <t>C3C3F56-100-261-400N</t>
  </si>
  <si>
    <t>Gas Spring 400N</t>
  </si>
  <si>
    <t>GAS SPRING FOR UE WO HEAD</t>
  </si>
  <si>
    <t>240-83-180N</t>
  </si>
  <si>
    <t>GAS SPRING WITH HEAD</t>
  </si>
  <si>
    <t>PO1603-23471-LRT</t>
  </si>
  <si>
    <t>BJ77 (Element: 3008757)</t>
  </si>
  <si>
    <t>BJ77</t>
  </si>
  <si>
    <t>Trompeter</t>
  </si>
  <si>
    <t>RF/Coaxial Connector,Triaxial,Straight Bulkhead jack,Solder</t>
  </si>
  <si>
    <t>TRIAX CONNECTOR</t>
  </si>
  <si>
    <t>TEST CONNECTOR INSULATED BINDING POST  (COLOUR BLACK)</t>
  </si>
  <si>
    <t>PO1608-27399-LRT</t>
  </si>
  <si>
    <t>TEST CONNECTOR</t>
  </si>
  <si>
    <t>08-50-0114</t>
  </si>
  <si>
    <t>(1)NON-GENDERED CONTACT TIN 22-30 AWG CRIMP - (ELEMENT : 2888893)</t>
  </si>
  <si>
    <t>NON-GENDERED CONTACT TIN 22-30 AWG CRIMP - (ELEMENT : 2888893)</t>
  </si>
  <si>
    <t>39-00-0038</t>
  </si>
  <si>
    <t>(2)SOCKET CONTACT TIN 18-24 AWG CRIMP POWER (ELEMENT : 1462545)</t>
  </si>
  <si>
    <t>SOCKET CONTACT TIN 18-24 AWG CRIMP POWER (ELEMENT : 1462545)</t>
  </si>
  <si>
    <t>39-00-0078</t>
  </si>
  <si>
    <t>(3)eaders &amp; Wire Housings SOCKET 16 AWG BULK (1 bag = 100pcs)</t>
  </si>
  <si>
    <t>eaders &amp; Wire Housings SOCKET 16 AWG BULK (1 bag = 100pcs)</t>
  </si>
  <si>
    <t>PO1911-53176-LRT</t>
  </si>
  <si>
    <t>105300-1100</t>
  </si>
  <si>
    <t>(4)HEADERS &amp; WIRE HOUSINGS NANOFIT CRIMP TERM 2426 TIN</t>
  </si>
  <si>
    <t>HEADERS &amp; WIRE HOUSINGS NANOFIT CRIMP TERM 2426 TIN</t>
  </si>
  <si>
    <t>PO1902-45940-LRT</t>
  </si>
  <si>
    <t>A-DS 09 LL/Z (digikey : AE10972-ND)</t>
  </si>
  <si>
    <t>(5)CONN DSUB PLUG 9POS STR SLDR CUP</t>
  </si>
  <si>
    <t>CONN DSUB PLUG 9POS STR SLDR CUP</t>
  </si>
  <si>
    <t>WM2613-ND</t>
  </si>
  <si>
    <t>(6)CONN HSNG 2POS .100 W/RAMP/RIB</t>
  </si>
  <si>
    <t>CONN HSNG 2POS .100 W/RAMP/RIB</t>
  </si>
  <si>
    <t>43020-0200 (element :  672932)</t>
  </si>
  <si>
    <t>(7)Molex 43020-0200 Micro-Fit 3.0 Plug Housing,2 Row with Panel Mount Ears,Halogen- Free,2 way</t>
  </si>
  <si>
    <t>Molex 43020-0200 Micro-Fit 3.0 Plug Housing,2 Row with Panel Mount Ears,Halogen- Free,2 way</t>
  </si>
  <si>
    <t>PO1610-28159-LRT</t>
  </si>
  <si>
    <t>43020-0400</t>
  </si>
  <si>
    <t>(8)CONN PLUG 4POS 3MM DUAL PNL MNT</t>
  </si>
  <si>
    <t>Conn Plug 4Pos 3mm Dual PNL MNT</t>
  </si>
  <si>
    <t>43020-0600 - (Element : 672956)</t>
  </si>
  <si>
    <t>(9)MICRO-FIT 3.0™ PLUG HOUSING, DUAL ROW, 6 CIRCUITS</t>
  </si>
  <si>
    <t>MICRO-FIT 3.0™ PLUG HOUSING, DUAL ROW, 6 CIRCUITS</t>
  </si>
  <si>
    <t>43020-0800</t>
  </si>
  <si>
    <t>(10)MICRO-FIT 3.0 PLUG HOUSING,DUAL ROW ,8CIRCUITS</t>
  </si>
  <si>
    <t>MICRO-FIT 3.0 PLUG HOUSING,DUAL ROW ,8CIRCUITS</t>
  </si>
  <si>
    <t>PO1805-40201-LRT</t>
  </si>
  <si>
    <t>43025-0200</t>
  </si>
  <si>
    <t>(11)2 WAY MOLEX CIRCUIT MICRO FIT (ELEMENT : 672889)</t>
  </si>
  <si>
    <t>2 WAY MOLEX CIRCUIT MICRO FIT (ELEMENT : 672889)</t>
  </si>
  <si>
    <t>PO1701-29999-LRT</t>
  </si>
  <si>
    <t>43025-0400</t>
  </si>
  <si>
    <t>(12)SHUNT, 2.54 X 1.27MM, BLACK - (ELEMENT : 1516115)</t>
  </si>
  <si>
    <t>Molex Microfit 4 Way Connector</t>
  </si>
  <si>
    <t>PO1612-29665-LRT</t>
  </si>
  <si>
    <t>43025-0800-(ELEMENT:672919)</t>
  </si>
  <si>
    <t>(14)MOLEX 43025-0800-MIRCO-FIT 3.0 RECEPTACLE HOUSING</t>
  </si>
  <si>
    <t>MOLEX 43025-0800-MIRCO-FIT 3.0 RECEPTACLE HOUSING</t>
  </si>
  <si>
    <t>PO1804-39902-LRT</t>
  </si>
  <si>
    <t>43030-0001</t>
  </si>
  <si>
    <t>Socket Contact Tin 20-24 AWG Crimp Power</t>
  </si>
  <si>
    <t>43030-0007 - (Element : 9733027)</t>
  </si>
  <si>
    <t>(16)Molex 43030-0001 Contact, Micro-Fit 3.0™,43030 Series,Socket, 24 AWG ,20 AWG, Crimp,Phosphor Bronze</t>
  </si>
  <si>
    <t>Molex 43030-0001 Contact, Micro-Fit 3.0™,43030 Series,Socket, 24 AWG ,20 AWG, Crimp,Phosphor Bronze</t>
  </si>
  <si>
    <t>43031-0001 - (Element : 1653819)</t>
  </si>
  <si>
    <t>0-430310001</t>
  </si>
  <si>
    <t>27 jult 2019</t>
  </si>
  <si>
    <t>(17)Conn Pin 20-24Awg Crimp Tin</t>
  </si>
  <si>
    <t>MOLEX MICRO-FIT 3.0, 43031 SERIES NUMBER CRIMP TERMINAL</t>
  </si>
  <si>
    <t>PO1706-33171-LRT</t>
  </si>
  <si>
    <t>43045-0800 - (Rs 233-2977 )</t>
  </si>
  <si>
    <t>(18)WIRE TO BOARD CONNECTOR</t>
  </si>
  <si>
    <t>WIRE-TO-BOARD CONNECTOR, 3 MM, 8 CONTACTS, HEADER, MICRO-FIT 3.0 43045 SERIES, THROUGH HOLE, 2 ROWS</t>
  </si>
  <si>
    <t>43640-0200 - (Element : 3076064)</t>
  </si>
  <si>
    <t xml:space="preserve">(19)Micro-Fit 3.0™ Plug Housing, Single Row, 2 Circuits </t>
  </si>
  <si>
    <t xml:space="preserve">Micro-Fit 3.0™ Plug Housing, Single Row, 2 Circuits </t>
  </si>
  <si>
    <t>Connector housing plug 4pos</t>
  </si>
  <si>
    <t>CONN PLUG 4POS 3MM DUAL PNL MNT (ELEMENT 672944)</t>
  </si>
  <si>
    <t>43640-0300</t>
  </si>
  <si>
    <t>(20)MICRO-FIT 3.0™ PLUG HOUSING, SINGLE ROW, 3 CIRCUITS - (ELEMENT : 3076076)</t>
  </si>
  <si>
    <t>MICRO-FIT 3.0™ PLUG HOUSING, SINGLE ROW, 3 CIRCUITS - (ELEMENT : 3076076)</t>
  </si>
  <si>
    <t>PO2006-58070-LRT</t>
  </si>
  <si>
    <t>43645-0200 - (Element : 3076015)</t>
  </si>
  <si>
    <t>(21)MICRO-FIT 3.0™ RECEPTACLE HOUSING, SINGLE ROW, 2 CIRCUITS - (ELEMENT : 3076015</t>
  </si>
  <si>
    <t>MICRO-FIT 3.0™ RECEPTACLE HOUSING, SINGLE ROW, 2 CIRCUITS - (ELEMENT : 3076015</t>
  </si>
  <si>
    <t>43645-0300</t>
  </si>
  <si>
    <t>(22)MICRO-FIT 3.0™ RECEPTACLE HOUSING, SINGLE ROW, 3 CIRCUITS - (ELEMENT : 3076027)</t>
  </si>
  <si>
    <t>MICRO-FIT 3.0™ RECEPTACLE HOUSING, SINGLE ROW, 3 CIRCUITS - (ELEMENT : 3076027)</t>
  </si>
  <si>
    <t>43045-0213</t>
  </si>
  <si>
    <t>Molex, Micro-Fit 3.0, 43045, 2 Way, 2 Row, Straight PCB Header</t>
  </si>
  <si>
    <t>CONN FEMALE TERM 28-30AWG CRIMP</t>
  </si>
  <si>
    <t>1.20MM WTB RECEPT CONN 3CKT</t>
  </si>
  <si>
    <t>SMR-04V-B</t>
  </si>
  <si>
    <t>4 WAYS JST CONNECTOR ( FEMALE )</t>
  </si>
  <si>
    <t>PO2005-57443-LRT</t>
  </si>
  <si>
    <t>SMP-04V-BC</t>
  </si>
  <si>
    <t>4 WAYS JST CONNECTOR ( MALE )</t>
  </si>
  <si>
    <t>SY3120-5MZD-C6</t>
  </si>
  <si>
    <t>SOLENOID VALVE</t>
  </si>
  <si>
    <t>PO1804-39686-LRT</t>
  </si>
  <si>
    <t>SY5220-5LZD-01</t>
  </si>
  <si>
    <t>SMC CYLINDER (JAPAN)</t>
  </si>
  <si>
    <t>Connector/Cylinder</t>
  </si>
  <si>
    <t>MYSC-220-4E1</t>
  </si>
  <si>
    <t>SOLEVOID VALVE</t>
  </si>
  <si>
    <t>SY3120-5G-M5</t>
  </si>
  <si>
    <t>SMC SUPPLY PRESS</t>
  </si>
  <si>
    <t>686-941</t>
  </si>
  <si>
    <t>SWV6050500035</t>
  </si>
  <si>
    <t>Camloc Gas Springs</t>
  </si>
  <si>
    <t>Camloc Steel Gas Strut With Ball And Socket Joint</t>
  </si>
  <si>
    <t>GAS SPRING (6-15-100)</t>
  </si>
  <si>
    <t>HFGSS-8100-N20</t>
  </si>
  <si>
    <t>MISUMI GAS SPRING</t>
  </si>
  <si>
    <t>686-963</t>
  </si>
  <si>
    <t>SWY8060600055</t>
  </si>
  <si>
    <t>GAS SPRING-SWV6050500035</t>
  </si>
  <si>
    <t>gas spring 8-15-100</t>
  </si>
  <si>
    <t>PO1711-36040-LRT</t>
  </si>
  <si>
    <t>686-935</t>
  </si>
  <si>
    <t>SWV6050500034</t>
  </si>
  <si>
    <t>GAS SPRING - 686-935</t>
  </si>
  <si>
    <t>PO1604-23761-LRT</t>
  </si>
  <si>
    <t>JDAS12X10</t>
  </si>
  <si>
    <t>WUSUNG CYLINDER</t>
  </si>
  <si>
    <t>CDQB12-5DC</t>
  </si>
  <si>
    <t>SMC COMPACT CYLINDER</t>
  </si>
  <si>
    <t>JDAS12 X 30B</t>
  </si>
  <si>
    <t>WUSUNG COMPACT CYLINDER</t>
  </si>
  <si>
    <t>JDAS 12X15</t>
  </si>
  <si>
    <t>Rivet Nut M3</t>
  </si>
  <si>
    <t>RIVET NUT M3</t>
  </si>
  <si>
    <t>FASTERNER</t>
  </si>
  <si>
    <t>PO1812-44831-LRT</t>
  </si>
  <si>
    <t>PN-993</t>
  </si>
  <si>
    <t>PEM NUT 10/32</t>
  </si>
  <si>
    <t>PO2007-58392-LRT</t>
  </si>
  <si>
    <t>CN-M5-2T</t>
  </si>
  <si>
    <t>CAGE NUT</t>
  </si>
  <si>
    <t>AELS8-580-3.3</t>
  </si>
  <si>
    <t>RIVET NUT</t>
  </si>
  <si>
    <t>PO1805-40421-LRT</t>
  </si>
  <si>
    <t>AELS8-470-2.0</t>
  </si>
  <si>
    <t>AELS8-610-6.6 B</t>
  </si>
  <si>
    <t>LOW PROFILE HEAD – CLOSED END - METRIC</t>
  </si>
  <si>
    <t>PO1805-40259-LRT</t>
  </si>
  <si>
    <t>AELS8-580-3,3B</t>
  </si>
  <si>
    <t>PO1803-38991-LRT</t>
  </si>
  <si>
    <t>AELS8-610-4.2 B</t>
  </si>
  <si>
    <t>PO1710-35330-LRT</t>
  </si>
  <si>
    <t>SOS-M5-8</t>
  </si>
  <si>
    <t>S.W. Anderson</t>
  </si>
  <si>
    <t>Thru-Hole Threaded Standoffs</t>
  </si>
  <si>
    <t>THRU HOLE THREADED STANDOFF</t>
  </si>
  <si>
    <t>PO1703-31065-LRT</t>
  </si>
  <si>
    <t>FH4-M4-10</t>
  </si>
  <si>
    <t>PennEngineering</t>
  </si>
  <si>
    <t>Self-Clinching Studs For Stainless Steel Sheets</t>
  </si>
  <si>
    <t>SELF CLINCHING THREADED</t>
  </si>
  <si>
    <t>PO1603-23160-LRT</t>
  </si>
  <si>
    <t>SOS-M5-20</t>
  </si>
  <si>
    <t>CLS - M8</t>
  </si>
  <si>
    <t>Self-Clinching Nuts</t>
  </si>
  <si>
    <t>CLINCHING NUT</t>
  </si>
  <si>
    <t>FH-M4-15</t>
  </si>
  <si>
    <t>Aero-Space</t>
  </si>
  <si>
    <t>PO1509-19088-LRT</t>
  </si>
  <si>
    <t>SOS-M4-8</t>
  </si>
  <si>
    <t>M6(NS-SU-S-M6-CSK-CESM)</t>
  </si>
  <si>
    <t>PEM Spin Tite Fastener</t>
  </si>
  <si>
    <t>Others/Fasterner</t>
  </si>
  <si>
    <t>PO1808-42263-LRT</t>
  </si>
  <si>
    <t>AELS8-580-5.7</t>
  </si>
  <si>
    <t>TOOL STEEL</t>
  </si>
  <si>
    <t>PO1808-41912-LRT</t>
  </si>
  <si>
    <t>AELS8-610-6.6</t>
  </si>
  <si>
    <t>AELS8-8125-7.9B</t>
  </si>
  <si>
    <t>CHC-M4-10</t>
  </si>
  <si>
    <t>PEM  CONCEALED HEAD STUD</t>
  </si>
  <si>
    <t>CFHC-M4-16</t>
  </si>
  <si>
    <t>Concealed-Head Studs</t>
  </si>
  <si>
    <t>PO1912-53920-LRT</t>
  </si>
  <si>
    <t>TPS-6mm-16</t>
  </si>
  <si>
    <t>SELF-CLINCHING STUDS</t>
  </si>
  <si>
    <t>PO1811-44644-LRT</t>
  </si>
  <si>
    <t>AEKS8-1015-3.8B</t>
  </si>
  <si>
    <t>Rivet Nuts - (Replacement - AK SM10 &amp; AK LM10 )</t>
  </si>
  <si>
    <t>PO1911-53231-LRT</t>
  </si>
  <si>
    <t>AEFKS-M3-2.0</t>
  </si>
  <si>
    <t>Flat Head Knurled Round Body Threaded Insert - Open End</t>
  </si>
  <si>
    <t>S0S-M3-6</t>
  </si>
  <si>
    <t>THROUGH-HOLE THREADED STANDOFFS</t>
  </si>
  <si>
    <t>PO2007-58195-LRT</t>
  </si>
  <si>
    <t>GAS SPRING 150N</t>
  </si>
  <si>
    <t>Gas Spring-150 (Wifi With Head)</t>
  </si>
  <si>
    <t>70, 84</t>
  </si>
  <si>
    <t>629104190121</t>
  </si>
  <si>
    <t>USB - A USB 2.0 RECEPTACLE CONNECTOR 4 POSITION SURFACE MOUNT</t>
  </si>
  <si>
    <t>USB</t>
  </si>
  <si>
    <t>PO1901-45642-LRT</t>
  </si>
  <si>
    <t># 1-72 x 1/2''''</t>
  </si>
  <si>
    <t>ROUND HEAD PHILIPS MACHINE SCREW - (S.S. PAN HEAD M/C SCREW (PHILIP) SCREW )</t>
  </si>
  <si>
    <t>PO1808-41911-LRT</t>
  </si>
  <si>
    <t>Connector/Screw</t>
  </si>
  <si>
    <t>1303982</t>
  </si>
  <si>
    <t>AIRLINK MICRO USB2.0 ADAPTER CARD</t>
  </si>
  <si>
    <t>Connector/Pcb</t>
  </si>
  <si>
    <t>PO1707-33426-LRT</t>
  </si>
  <si>
    <t>PN-0000029154</t>
  </si>
  <si>
    <t>PCB FOR GENERIC INNER POWER BOARD - (RICHLYTON : 4V041058A0 ) - LRT/PCB1706-0073</t>
  </si>
  <si>
    <t>PO1803-38538-LRT</t>
  </si>
  <si>
    <t>ZX80-B-5P(30)(H125262-ND)</t>
  </si>
  <si>
    <t>CONN RCPT USB MICRO B PCB VERT(H125262-ND)-DIGIKEY</t>
  </si>
  <si>
    <t>CONN RCPT USB MICRO B PCB VERT</t>
  </si>
  <si>
    <t>PO1609-27728-LRT</t>
  </si>
  <si>
    <t>LRT/PCB 1702-0014 (Part 4 : 2V023031A0 )</t>
  </si>
  <si>
    <t xml:space="preserve">2 layer,FPC.0.1MM,35UM,ENIG, Unit Size:30.25x26.2mm </t>
  </si>
  <si>
    <t>PO1703-30836-LRT</t>
  </si>
  <si>
    <t>PC8DS</t>
  </si>
  <si>
    <t>RADIUS HEAD MEDIUM SPRING 150G</t>
  </si>
  <si>
    <t>RADIUS HEAD MEDIUM SPRING 150G(Coda pin)</t>
  </si>
  <si>
    <t>Connector/Probe</t>
  </si>
  <si>
    <t>PO1707-33428-LRT</t>
  </si>
  <si>
    <t>SKU: 443991035_MY-658970431</t>
  </si>
  <si>
    <t>USB 3.0 Type A Female to A Female Connector Adapter</t>
  </si>
  <si>
    <t>PO1911-52691-LRT</t>
  </si>
  <si>
    <t>UJ2-AH-1-SMT-TR</t>
  </si>
  <si>
    <t>USB 2.0 RECEPTACLE CONNECTOR 4 POSITION SURFACE MOUNT</t>
  </si>
  <si>
    <t>PO1907-49898-LRT</t>
  </si>
  <si>
    <t>PN-0000030777</t>
  </si>
  <si>
    <t>PCB FOR TEST OPS USB ADAPTOR BOARD</t>
  </si>
  <si>
    <t>PO1907-49889-LRT</t>
  </si>
  <si>
    <t>4563-0000-00 (MOUSER CODE : 571-4563-0000-00 )</t>
  </si>
  <si>
    <t>RF Connectors / Coaxial Connectors BMA STRT PLUG RECPT (TE CONNECTIVITY)</t>
  </si>
  <si>
    <t>PO1510-19412-LRT</t>
  </si>
  <si>
    <t>N-TYPE</t>
  </si>
  <si>
    <t>N MALE TO UHF FEMALE ADAPTER</t>
  </si>
  <si>
    <t>USB 2.0 Vertical 13.7mm</t>
  </si>
  <si>
    <t>PO1606-25795-LRT</t>
  </si>
  <si>
    <t>281838-4 (RS code : 532-349)</t>
  </si>
  <si>
    <t>4 WAY SINGLE ROW HE14 CRIMP SOCKET SHELL</t>
  </si>
  <si>
    <t>112424</t>
  </si>
  <si>
    <t>RF/COAXIAL BNC BHD JACK STR 50OHM SOLDER</t>
  </si>
  <si>
    <t>1111284</t>
  </si>
  <si>
    <t>Amphenol RF Coaxial, BNC, Straight Jack, 50Ohm</t>
  </si>
  <si>
    <t>PO1506-16812-LRT</t>
  </si>
  <si>
    <t>523-112438</t>
  </si>
  <si>
    <t>RF ADAPTERS-IN SERIES BNC JACK BLKHD ADAPTER 75 OHM</t>
  </si>
  <si>
    <t>PO1507-17325-LRT</t>
  </si>
  <si>
    <t>CDJ2B-16-150-B</t>
  </si>
  <si>
    <t>CYLINDER</t>
  </si>
  <si>
    <t>PENCIL CYLINDER</t>
  </si>
  <si>
    <t>CJ-L016C</t>
  </si>
  <si>
    <t>SMC FOOT BRACKET FOR SMC CYLINDER</t>
  </si>
  <si>
    <t>BD30-10B</t>
  </si>
  <si>
    <t>BINDING POST 30A 10-32</t>
  </si>
  <si>
    <t>M4GA1-00-6</t>
  </si>
  <si>
    <t>MANIFOLD</t>
  </si>
  <si>
    <t>CQ2B25*35DC</t>
  </si>
  <si>
    <t>MCJQ-12-63-50M</t>
  </si>
  <si>
    <t>AR10-M5BG</t>
  </si>
  <si>
    <t>SMC</t>
  </si>
  <si>
    <t>Regulator,Modular,M5,AR MASS Pro</t>
  </si>
  <si>
    <t>AIR REGULATOR</t>
  </si>
  <si>
    <t>F0-1J-1</t>
  </si>
  <si>
    <t>BIMBA AIR CYLINDER</t>
  </si>
  <si>
    <t>Assembly Technique/Ctylinder</t>
  </si>
  <si>
    <t>CDQ2B-25-40DC</t>
  </si>
  <si>
    <t>MCJS-12-25-40M</t>
  </si>
  <si>
    <t>MINDMAN COMPACT CYLINDER</t>
  </si>
  <si>
    <t>WPA16 X 175</t>
  </si>
  <si>
    <t>WUSUNG PENCIL CYLINDER</t>
  </si>
  <si>
    <t>SCPD3-LF-00-16-150</t>
  </si>
  <si>
    <t>FINE FINISHED LOW RESISTANCE CYLINDER</t>
  </si>
  <si>
    <t>CDJ2B16-125Z-B</t>
  </si>
  <si>
    <t>SMC PENCIL CYLINDER</t>
  </si>
  <si>
    <t>PO1602-22574-LRT</t>
  </si>
  <si>
    <t>SCPD3-L-16-100</t>
  </si>
  <si>
    <t>CKD PENCIL CYLINDER</t>
  </si>
  <si>
    <t>SCPD3-LF-00-16-125</t>
  </si>
  <si>
    <t>PO1504-15280-LRT</t>
  </si>
  <si>
    <t>CDM2B20-125</t>
  </si>
  <si>
    <t>CJ2D16-175Z-W</t>
  </si>
  <si>
    <t>PO1702-30413-LRT</t>
  </si>
  <si>
    <t>LMF16UU</t>
  </si>
  <si>
    <t>LINEAR BEARING</t>
  </si>
  <si>
    <t>LMK6LUU</t>
  </si>
  <si>
    <t>LMK16LUU</t>
  </si>
  <si>
    <t>PO1607-26069-LRT</t>
  </si>
  <si>
    <t>VMBSH D16 X75L</t>
  </si>
  <si>
    <t>ROTARY BUSHING</t>
  </si>
  <si>
    <t>GOT PO BUT NOT FOUND IN SYSTEM</t>
  </si>
  <si>
    <t>PO1303-00818-LRT</t>
  </si>
  <si>
    <t>LMF16LUU</t>
  </si>
  <si>
    <t>LMF10L</t>
  </si>
  <si>
    <t>PO2001-54173-LRT</t>
  </si>
  <si>
    <t>LM10UU</t>
  </si>
  <si>
    <t>1-1337542-0</t>
  </si>
  <si>
    <t>CONN BNC FEM JACK PC MNT RA -(element 14 code: 1020954)</t>
  </si>
  <si>
    <t>po1810-43231-lrt</t>
  </si>
  <si>
    <t>406541-1</t>
  </si>
  <si>
    <t>RJ45 JACK PCB MOUNT SINGLE PART - (RS CODE : 782-023)</t>
  </si>
  <si>
    <t>PO1610-28208-LRT</t>
  </si>
  <si>
    <t>292303-1</t>
  </si>
  <si>
    <t>CONN USB RECEPT R/A TYPE A 4POS (ELEMENT : 1076663)</t>
  </si>
  <si>
    <t>159-9618</t>
  </si>
  <si>
    <t>CONNECTOR R/A RECTANGULAR PCB</t>
  </si>
  <si>
    <t>A-DF 09 LL/Z (digikey : AE11063-ND)</t>
  </si>
  <si>
    <t>9 POSITION D-SUB RECEPTACLE, FEMALE SOCKETS CONNECTOR, FREE HANGING (IN-LINE) SOLDER CUP</t>
  </si>
  <si>
    <t>PO1608-27475-LRT</t>
  </si>
  <si>
    <t>AAA-PCI-051-T01</t>
  </si>
  <si>
    <t>MPCIE CONNECTOR LATCH PLASTIC</t>
  </si>
  <si>
    <t>MPCIE CONN LATCH</t>
  </si>
  <si>
    <t>SY3120-5LZD-C4</t>
  </si>
  <si>
    <t>SOLENOID VALVE C6</t>
  </si>
  <si>
    <t>1169110</t>
  </si>
  <si>
    <t>181-224</t>
  </si>
  <si>
    <t>MAGNETIC SURFACE FIX</t>
  </si>
  <si>
    <t>MDA 10X5</t>
  </si>
  <si>
    <t>KOGANEI CYLINDER</t>
  </si>
  <si>
    <t>CDJ2B16-125-B</t>
  </si>
  <si>
    <t>AIR CYLINDER</t>
  </si>
  <si>
    <t>1910-51935-LRT</t>
  </si>
  <si>
    <t>CDM2B20-150Z</t>
  </si>
  <si>
    <t>SMC CYLINDER</t>
  </si>
  <si>
    <t>PO1606-25810-LRT</t>
  </si>
  <si>
    <t>CDM2B25-125</t>
  </si>
  <si>
    <t>CDM2B20-25T</t>
  </si>
  <si>
    <t>CDM2B25-75Z</t>
  </si>
  <si>
    <t>KMD-10-100</t>
  </si>
  <si>
    <t>KOREA PENCIL CYLINDER</t>
  </si>
  <si>
    <t>KMD-10-60</t>
  </si>
  <si>
    <t>B16 - S100</t>
  </si>
  <si>
    <t>CDQ2B12-25DCZ-A73</t>
  </si>
  <si>
    <t>KMY-10</t>
  </si>
  <si>
    <t>Y - FORK</t>
  </si>
  <si>
    <t>PO1509-19093-LRT</t>
  </si>
  <si>
    <t>Y- FORK</t>
  </si>
  <si>
    <t>Gas Spring -264 -  - (1 pair = 2 pcs)</t>
  </si>
  <si>
    <t>PO1809-42598-LRT</t>
  </si>
  <si>
    <t>SSD2-L-12D-15-T0H-D-015-</t>
  </si>
  <si>
    <t>SSD 2 SERIES SUPER COMPACT CYLINDER- SSD-L-12-15</t>
  </si>
  <si>
    <t>HW-ACC</t>
  </si>
  <si>
    <t>CABLE BASE WHITE BIG</t>
  </si>
  <si>
    <t>CABLE BASE BIG</t>
  </si>
  <si>
    <t>C</t>
  </si>
  <si>
    <t>Others/Connector</t>
  </si>
  <si>
    <t>FHC2-A-C14</t>
  </si>
  <si>
    <t>CABLE TIE HOLDER SINGLE ADH GRY</t>
  </si>
  <si>
    <t>PO1907-49841-LRT</t>
  </si>
  <si>
    <t>660737 / LT015008</t>
  </si>
  <si>
    <t>FERRULE RED</t>
  </si>
  <si>
    <t>Others/Pin</t>
  </si>
  <si>
    <t>LT15008-R</t>
  </si>
  <si>
    <t>Insulated Ferrule, 1.5mm, red  (1000pcs)</t>
  </si>
  <si>
    <t xml:space="preserve"> LT005008OR</t>
  </si>
  <si>
    <t>FERRULE ORANGE</t>
  </si>
  <si>
    <t>LT007508W</t>
  </si>
  <si>
    <t>F2021</t>
  </si>
  <si>
    <t>ABB</t>
  </si>
  <si>
    <t>FERRULE WHITE</t>
  </si>
  <si>
    <t>LT25008 - (IE : 660701)</t>
  </si>
  <si>
    <t>FERRULE BLUE-LTR025008BL</t>
  </si>
  <si>
    <t>FERRULE YELLOW-LT010008</t>
  </si>
  <si>
    <t>E0508-Y</t>
  </si>
  <si>
    <t>FERRULE YELLOW E0508</t>
  </si>
  <si>
    <t>K.S 1-18</t>
  </si>
  <si>
    <t xml:space="preserve">NON-INSULATED BLADE TERMINAL </t>
  </si>
  <si>
    <t>BL1-10</t>
  </si>
  <si>
    <t>FERRULE-LT007508W</t>
  </si>
  <si>
    <t>Fferrule white - 660738 - E0508-W</t>
  </si>
  <si>
    <t>OTHERS/Fferrule white</t>
  </si>
  <si>
    <t>OTHERS</t>
  </si>
  <si>
    <t>PO1704-31863-LRT</t>
  </si>
  <si>
    <t>LT160012</t>
  </si>
  <si>
    <t>FERRULE GREEN 660757</t>
  </si>
  <si>
    <t>NYLON</t>
  </si>
  <si>
    <t>PO1704-31602-LRT</t>
  </si>
  <si>
    <t>3203066 - (IE : 660736)</t>
  </si>
  <si>
    <t>CONN FERRULE 22AWG TURQUOISE Color Orange-E0508-OR</t>
  </si>
  <si>
    <t>CONN FERRULE 22AWG TURQUOISE Color Orange</t>
  </si>
  <si>
    <t>PO1911-52706-LRT</t>
  </si>
  <si>
    <t>E0508-O</t>
  </si>
  <si>
    <t>Ferrule Orange E0508</t>
  </si>
  <si>
    <t>LT015010-BK</t>
  </si>
  <si>
    <t>Nylon Insulated Cord End Sleeves 16AWG 1.5mm</t>
  </si>
  <si>
    <t>PO1907-50321-LRT</t>
  </si>
  <si>
    <t>LT025010-BL</t>
  </si>
  <si>
    <t>Nylon Insulated Cord End Sleeves 14AWG 2.5mm</t>
  </si>
  <si>
    <t>TW-TB-215012</t>
  </si>
  <si>
    <t>NYLON INSULATED TWIN CORD END TERMINAL BLACK 1.5MM² (1000PCS)</t>
  </si>
  <si>
    <t>LT005008X2-W</t>
  </si>
  <si>
    <t>INSULATED TWIN CORD END SLEEVES WHITE 0.5MM² (1000PCS)</t>
  </si>
  <si>
    <t>LT60018 ( Yellow )</t>
  </si>
  <si>
    <t>CORD-END TERMINAL ( FERRULES ) 500PCS/PKT</t>
  </si>
  <si>
    <t>LT25012 ( Grey )</t>
  </si>
  <si>
    <t>LT15010 ( Black )</t>
  </si>
  <si>
    <t>Cord-End Terminal ( Ferrules ) 500pcs/pkt</t>
  </si>
  <si>
    <t>SL-B-M3 X 4</t>
  </si>
  <si>
    <t>BRASS INSERT</t>
  </si>
  <si>
    <t>SI-BI-M2-4MM</t>
  </si>
  <si>
    <t>THREADED INSERT</t>
  </si>
  <si>
    <t>SMK-B-M3-4.0</t>
  </si>
  <si>
    <t>HEADED INSERT</t>
  </si>
  <si>
    <t>278-562</t>
  </si>
  <si>
    <t>INSERT FLUSH</t>
  </si>
  <si>
    <t>BI-SL-M2-3.0</t>
  </si>
  <si>
    <t>EXPANSION INSERT</t>
  </si>
  <si>
    <t>BI-SL-M3-8.0</t>
  </si>
  <si>
    <t>B-M5-9.5</t>
  </si>
  <si>
    <t>HEADED INSERT M5</t>
  </si>
  <si>
    <t>SL-B-M3-4.8</t>
  </si>
  <si>
    <t>SL-B-M3-4</t>
  </si>
  <si>
    <t>Insert M3 L=4mm</t>
  </si>
  <si>
    <t>PO2007-58870-LRT</t>
  </si>
  <si>
    <t>1-1193B</t>
  </si>
  <si>
    <t>MATERIAL BRASS C3604 THREAD</t>
  </si>
  <si>
    <t>SL-BI-M2-4M</t>
  </si>
  <si>
    <t>THREADED INSERT M2</t>
  </si>
  <si>
    <t>Others/Spring</t>
  </si>
  <si>
    <t>PO1901-45442LRT</t>
  </si>
  <si>
    <t>660753 / LVG2-4F</t>
  </si>
  <si>
    <t>O-LUG BLUE</t>
  </si>
  <si>
    <t>LVD2 - 6 - 3F</t>
  </si>
  <si>
    <t>M-LUG BLUE (SMALL)</t>
  </si>
  <si>
    <t>VG1 - 4M</t>
  </si>
  <si>
    <t>INSULATED BULLET BLUE</t>
  </si>
  <si>
    <t>660704 / VB3 - 2</t>
  </si>
  <si>
    <t>CABLE LUG BLUE</t>
  </si>
  <si>
    <t>660752 / VG2 - 4M</t>
  </si>
  <si>
    <t>BLUE</t>
  </si>
  <si>
    <t>CABLE LUG</t>
  </si>
  <si>
    <t>CABLE LUG (SMALL)</t>
  </si>
  <si>
    <t>660716 / VD2-6-3F</t>
  </si>
  <si>
    <t>M-LUG BLUE</t>
  </si>
  <si>
    <t>LVD-6-3F FERRULE BL</t>
  </si>
  <si>
    <t>PO1612-29483-LRT</t>
  </si>
  <si>
    <t>SC10-6</t>
  </si>
  <si>
    <t>TERMINAL LUG SILVER</t>
  </si>
  <si>
    <t>SAR330</t>
  </si>
  <si>
    <t>SLIDER RAIL SAR330</t>
  </si>
  <si>
    <t>Others/Linear rail</t>
  </si>
  <si>
    <t>PO1803-39027-LRT</t>
  </si>
  <si>
    <t>DRAWER HANDLE,</t>
  </si>
  <si>
    <t>Drawer Handle, 130mm x 53mm x 26mm 116mm</t>
  </si>
  <si>
    <t>NYLON HANDLE L107MM</t>
  </si>
  <si>
    <t>Others/Latch</t>
  </si>
  <si>
    <t>PO1409-10314-LRT</t>
  </si>
  <si>
    <t>456507</t>
  </si>
  <si>
    <t>DRAWER HANDLE</t>
  </si>
  <si>
    <t>Drawer Handle, 170mm x 48mm x 28mm 150mm</t>
  </si>
  <si>
    <t>Others/Bracket/EMI Bracket</t>
  </si>
  <si>
    <t>PO1307-02654-LRT</t>
  </si>
  <si>
    <t>DOOR HANDLE 2(OVERHEAD CABINET)</t>
  </si>
  <si>
    <t>HS17</t>
  </si>
  <si>
    <t>HEXAGON STANDOFF</t>
  </si>
  <si>
    <t>HS09 D SUB SCREW</t>
  </si>
  <si>
    <t>PO1607-26315-LRT</t>
  </si>
  <si>
    <t>HS12</t>
  </si>
  <si>
    <t>PO1709-35124-LRT</t>
  </si>
  <si>
    <t>HW-HS-AT-010L</t>
  </si>
  <si>
    <t>SPRING HINGE LEFT OPENING</t>
  </si>
  <si>
    <t>Others/Spacer</t>
  </si>
  <si>
    <t>J1137</t>
  </si>
  <si>
    <t>BOX CLIP LATCH</t>
  </si>
  <si>
    <t>DP-SS-205</t>
  </si>
  <si>
    <t>S/STEEL DOOR PULL</t>
  </si>
  <si>
    <t>Others/Detector</t>
  </si>
  <si>
    <t>SPRING HINGE</t>
  </si>
  <si>
    <t>Others/Metal Clip</t>
  </si>
  <si>
    <t>A13742</t>
  </si>
  <si>
    <t>CABLE RETAINER KIT</t>
  </si>
  <si>
    <t>Others</t>
  </si>
  <si>
    <t>PI-31</t>
  </si>
  <si>
    <t>SOUTHCO HANDLE</t>
  </si>
  <si>
    <t>Others/Plastic Adapter</t>
  </si>
  <si>
    <t>P1-30-101-11</t>
  </si>
  <si>
    <t>SOUTHCO POCKET PULL</t>
  </si>
  <si>
    <t>PO1706-331450-LRT</t>
  </si>
  <si>
    <t>407-7111</t>
  </si>
  <si>
    <t>CONCEAL HINGE</t>
  </si>
  <si>
    <t>PO1810-43504-LRT</t>
  </si>
  <si>
    <t>not complete set</t>
  </si>
  <si>
    <t>407-7060</t>
  </si>
  <si>
    <t>CONCEALED HINGE 60X32</t>
  </si>
  <si>
    <t>HINGE</t>
  </si>
  <si>
    <t>PO1809-42450-LRT</t>
  </si>
  <si>
    <t>B-1008-4</t>
  </si>
  <si>
    <t>Stainless-Steel Concealed Hinge</t>
  </si>
  <si>
    <t>PO2004-56469-LRT</t>
  </si>
  <si>
    <t>VY 1 - 4S</t>
  </si>
  <si>
    <t>Y-LUG RED</t>
  </si>
  <si>
    <t>VR2-6</t>
  </si>
  <si>
    <t>PVC INSULATED RING TERMINALS( EASY ENTRY) 16-14 A.W.G,1.5-2.5 MM</t>
  </si>
  <si>
    <t>CABLE LUG Y - BLUE - VY2-4S</t>
  </si>
  <si>
    <t>660733/VY2-3.5S</t>
  </si>
  <si>
    <t>Y-LUG BLUE</t>
  </si>
  <si>
    <t>660715 / VR2-4S</t>
  </si>
  <si>
    <t>O-LUG BLUE SMALL</t>
  </si>
  <si>
    <t>5002251-LCISS</t>
  </si>
  <si>
    <t>SMALL CABLE CLAMP(P-CLIP)-DESTINY</t>
  </si>
  <si>
    <t>Others/Dielectric of paper and plastic</t>
  </si>
  <si>
    <t>660801-UC 0.5</t>
  </si>
  <si>
    <t>UC 0.5 CABLE CLAMP (P-CLIP)</t>
  </si>
  <si>
    <t>CABLE CLAMP (P-CLIP)</t>
  </si>
  <si>
    <t>UL-1 (500225R)</t>
  </si>
  <si>
    <t>P-CLIP/CABLE CLAMP</t>
  </si>
  <si>
    <t>P-CLIP/CABLE CLAMP (1/4)</t>
  </si>
  <si>
    <t>660823-HC2</t>
  </si>
  <si>
    <t>CABLE BINDING BLACK-WHITE</t>
  </si>
  <si>
    <t>5002257 (UC-1)</t>
  </si>
  <si>
    <t>P-CLIP IE 660802</t>
  </si>
  <si>
    <t>618 015 253 11</t>
  </si>
  <si>
    <t>METALIZED PLASTIC HOLDER</t>
  </si>
  <si>
    <t>OTHERS/METALIZED PLASTIC</t>
  </si>
  <si>
    <t>RBT4PE</t>
  </si>
  <si>
    <t>RELIANCE Terminal Block</t>
  </si>
  <si>
    <t>PO1910-52171-LRT</t>
  </si>
  <si>
    <t>TERMINAL BLOCK - FOR 16 MMSQ CABLE - (22903 - UK 16N)</t>
  </si>
  <si>
    <t>665-9948</t>
  </si>
  <si>
    <t>CATCH PLATE-S/STEEL</t>
  </si>
  <si>
    <t xml:space="preserve">CATCH PLATE-S/STEEL </t>
  </si>
  <si>
    <t>665-9945</t>
  </si>
  <si>
    <t>CATCH PLATE ZINK</t>
  </si>
  <si>
    <t>CATCH PLATE ZINC</t>
  </si>
  <si>
    <t>C-100-A-2</t>
  </si>
  <si>
    <t>Magnetic Catch</t>
  </si>
  <si>
    <t>PO2008-58992-LRT</t>
  </si>
  <si>
    <t>C-100-B-2</t>
  </si>
  <si>
    <t>PO2005-57037-LRT</t>
  </si>
  <si>
    <t>C-100-A-1</t>
  </si>
  <si>
    <t>MAGNETIC CATCH</t>
  </si>
  <si>
    <t>PVC CABLE GROMMET-DESTINY</t>
  </si>
  <si>
    <t>PO1609-27644-LRT</t>
  </si>
  <si>
    <t>PVC CABLE GROMMET BLACK 5.5MM DIA</t>
  </si>
  <si>
    <t>TNC-PK10</t>
  </si>
  <si>
    <t>BNC CONNECTOR CAP-BLACK</t>
  </si>
  <si>
    <t>PVC CABLE GROMMET 4MM DIA</t>
  </si>
  <si>
    <t>SM008-020</t>
  </si>
  <si>
    <t>DIE SPRING-RED</t>
  </si>
  <si>
    <t>CG-PFC2P-M3-62</t>
  </si>
  <si>
    <t>PANEL FASTENER</t>
  </si>
  <si>
    <t>H/HSS/G3</t>
  </si>
  <si>
    <t>GULIDA HINGE STAINLESS STEEL</t>
  </si>
  <si>
    <t>PO1509-19067-LRT</t>
  </si>
  <si>
    <t>THERMOPLASTIC HINGE 48X48</t>
  </si>
  <si>
    <t xml:space="preserve">PLASTIC HINGE </t>
  </si>
  <si>
    <t>PO1412-12979-LRT</t>
  </si>
  <si>
    <t>ENCL DOOR HINGE SYSTEM</t>
  </si>
  <si>
    <t>DOOR HINGE</t>
  </si>
  <si>
    <t>660720 / VG1-4M</t>
  </si>
  <si>
    <t>INSULATED BULLET RED</t>
  </si>
  <si>
    <t>Y-LUG RED VY2-3.5S</t>
  </si>
  <si>
    <t>660739 / LVD1-4-8F8</t>
  </si>
  <si>
    <t>M-LUG RED (MEDIUM)</t>
  </si>
  <si>
    <t>M-LUG RED (SMALL)</t>
  </si>
  <si>
    <t>660719 / VD1-4-F8</t>
  </si>
  <si>
    <t>660735 / VD5-6-3F</t>
  </si>
  <si>
    <t>M-LUG RED (BIG)</t>
  </si>
  <si>
    <t>VD1-4.8F8C</t>
  </si>
  <si>
    <t>PVC INSULATED FEMALE LUG (DOUBLE CRIMP)- (ALTERNATIVE IE : 660719)</t>
  </si>
  <si>
    <t>PO1906-49331-LRT</t>
  </si>
  <si>
    <t>VD1-4.8M8C</t>
  </si>
  <si>
    <t>PVC INSULATED MALE LUG (DOUBLE CRIMP) (ALTERNATIVE IE : 660761)</t>
  </si>
  <si>
    <t>VR1-5E</t>
  </si>
  <si>
    <t>PVC Insulated Ring Terminals Easy Entry - (IE : 660707- (VR1-5)</t>
  </si>
  <si>
    <t>PO1911-53172-LRT</t>
  </si>
  <si>
    <t>VB-4RF</t>
  </si>
  <si>
    <t>Vinyl-Insulated Forks Expanded insulation</t>
  </si>
  <si>
    <t>VY1-3.5E</t>
  </si>
  <si>
    <t>PVC Insulated Fork Terminals Easy Entry</t>
  </si>
  <si>
    <t>PO2006-57623-LRT</t>
  </si>
  <si>
    <t>Y1-3.5SNB</t>
  </si>
  <si>
    <t>NON INSULATED Y-LUG (1000PCS)</t>
  </si>
  <si>
    <t>60501-1</t>
  </si>
  <si>
    <t>SPADE TONGUE TERMINAL M5</t>
  </si>
  <si>
    <t>Others/Lead/bare wire</t>
  </si>
  <si>
    <t>1-3.5S</t>
  </si>
  <si>
    <t>Y- LUG SILVER</t>
  </si>
  <si>
    <t>2-4YS</t>
  </si>
  <si>
    <t>2-3YS</t>
  </si>
  <si>
    <t>FORK TERMINAL LUG</t>
  </si>
  <si>
    <t>5-4S -660707</t>
  </si>
  <si>
    <t>S1.25-3.5SB</t>
  </si>
  <si>
    <t>Non-Insulation Spade Terminal-Fork Lug 1000pcs/pkt</t>
  </si>
  <si>
    <t>RBP2.5</t>
  </si>
  <si>
    <t>RELIANCE Terminal Block End Cover</t>
  </si>
  <si>
    <t>PO1801-37558-LRT</t>
  </si>
  <si>
    <t>Q10-4D</t>
  </si>
  <si>
    <t>RELIANCE 10 WAYS JUMPER  - (1 TUBE = 10 PCS)</t>
  </si>
  <si>
    <t>PO1811-25077-LRT</t>
  </si>
  <si>
    <t>RBP-4F</t>
  </si>
  <si>
    <t>RELIANCE FUSE TERMINAL BLOCK END COVER</t>
  </si>
  <si>
    <t>FUSE</t>
  </si>
  <si>
    <t>PO1612-29563-LRT</t>
  </si>
  <si>
    <t>RBP4D/DV</t>
  </si>
  <si>
    <t>Reliance</t>
  </si>
  <si>
    <t>Terminal Block End Cover</t>
  </si>
  <si>
    <t>TERMINAL BLOCK SEPARATOR-810028</t>
  </si>
  <si>
    <t>RBT4DV</t>
  </si>
  <si>
    <t>RBT Feed-through Terminal Block</t>
  </si>
  <si>
    <t>870-501</t>
  </si>
  <si>
    <t>DOUBLE DECK TERMINAL BLOCK</t>
  </si>
  <si>
    <t>PO2006-57997-LRT</t>
  </si>
  <si>
    <t>VF4/5</t>
  </si>
  <si>
    <t>Terminal Block End Bracket</t>
  </si>
  <si>
    <t>TERMINAL BLOCK STOPPER</t>
  </si>
  <si>
    <t>RBT4F-BG</t>
  </si>
  <si>
    <t>RELIANCE FUSE TERMINAL BLOCK</t>
  </si>
  <si>
    <t>PO1707-33462-LRT</t>
  </si>
  <si>
    <t>PHOENIX CONTACT 3001394,END COVER</t>
  </si>
  <si>
    <t>COVER</t>
  </si>
  <si>
    <t>PO1611-28813LRT</t>
  </si>
  <si>
    <t>1201578 - (RS Code : 742-7285)</t>
  </si>
  <si>
    <t>RAIL ADAPTORS TERMINAL BLOCK TOOLS &amp; ACCESSORIES</t>
  </si>
  <si>
    <t>RBT4DBG</t>
  </si>
  <si>
    <t>RBT FEEDTHROUGH TERMINAL</t>
  </si>
  <si>
    <t>RBT FEED THTOUGH TERMINAL</t>
  </si>
  <si>
    <t>PO1804-37669-LRT</t>
  </si>
  <si>
    <t>RBT2.5</t>
  </si>
  <si>
    <t>RELIANCE TERMINAL BLOCK</t>
  </si>
  <si>
    <t>RBT16</t>
  </si>
  <si>
    <t>RBT FEED THROUGH TERMINAL BLOCK</t>
  </si>
  <si>
    <t>RBP16</t>
  </si>
  <si>
    <t>TERMINAL END COVER</t>
  </si>
  <si>
    <t>GH-305-HM</t>
  </si>
  <si>
    <t>PO1304-01302-LRT</t>
  </si>
  <si>
    <t>GH431</t>
  </si>
  <si>
    <t>TOGGLE CLAMP</t>
  </si>
  <si>
    <t>Others/connector</t>
  </si>
  <si>
    <t>GH13005</t>
  </si>
  <si>
    <t>TOGGLE CLAMP GH3005</t>
  </si>
  <si>
    <t>PO1801-37388-LRT</t>
  </si>
  <si>
    <t>GH101B</t>
  </si>
  <si>
    <t>GH201</t>
  </si>
  <si>
    <t>M6X40</t>
  </si>
  <si>
    <t>CROSS KNOB MALE M6</t>
  </si>
  <si>
    <t>Others/Plug</t>
  </si>
  <si>
    <t>686-648</t>
  </si>
  <si>
    <t>BLACK PHENOLIC KNOB M8 X 25 (D50,A27,B12,)</t>
  </si>
  <si>
    <t>Others/Adapter</t>
  </si>
  <si>
    <t>M6X25</t>
  </si>
  <si>
    <t>Others/Socket</t>
  </si>
  <si>
    <t>M6-FEMALE</t>
  </si>
  <si>
    <t>STAR KNOB FEMALE M6-SMALL</t>
  </si>
  <si>
    <t>STAR KNOB FEMALE M6-BIG</t>
  </si>
  <si>
    <t>Others/Button plastic</t>
  </si>
  <si>
    <t>M8X20</t>
  </si>
  <si>
    <t>STAR KNOB MALE M8</t>
  </si>
  <si>
    <t>Pack</t>
  </si>
  <si>
    <t>M6 FEMALE</t>
  </si>
  <si>
    <t>M8X28</t>
  </si>
  <si>
    <t>M8X50</t>
  </si>
  <si>
    <t>M8X56</t>
  </si>
  <si>
    <t>M8 FEMALE</t>
  </si>
  <si>
    <t>STAR KNOB FEMALE M8</t>
  </si>
  <si>
    <t>PO1807-41681-LRT</t>
  </si>
  <si>
    <t>M2 X 1.5D</t>
  </si>
  <si>
    <t>HELICOIL INSERT  （ 1）</t>
  </si>
  <si>
    <t>HELICOIL INSERT</t>
  </si>
  <si>
    <t>M2 X 2D</t>
  </si>
  <si>
    <t>M2X2.5D</t>
  </si>
  <si>
    <t>HELICOIL INSERT  （ 2）</t>
  </si>
  <si>
    <t>M2X3D</t>
  </si>
  <si>
    <t>HELICOIL INSERT  （ 3）</t>
  </si>
  <si>
    <t>M2.5 x 2D</t>
  </si>
  <si>
    <t>HELICOIL INSERT  （ 4）</t>
  </si>
  <si>
    <t>M2.5X2.5D</t>
  </si>
  <si>
    <t>HELICOIL INSERT  （ 5）</t>
  </si>
  <si>
    <t>M2.5X3D</t>
  </si>
  <si>
    <t>HELICOIL INSERT  （ 6）</t>
  </si>
  <si>
    <t>M3 X 1D</t>
  </si>
  <si>
    <t>HELICOIL INSERT  （ 7）</t>
  </si>
  <si>
    <t>PO1711-36155-LRT</t>
  </si>
  <si>
    <t>M3X1.5D</t>
  </si>
  <si>
    <t>HELICOIL INSERT  （ 8）</t>
  </si>
  <si>
    <t>M3 X 2D</t>
  </si>
  <si>
    <t>HELICOIL INSERT  （ 9）</t>
  </si>
  <si>
    <t>PO1803-39322-LRT</t>
  </si>
  <si>
    <t>M3 x 0.5 x 2D</t>
  </si>
  <si>
    <t>HELICOIL INSERT  （ 10）</t>
  </si>
  <si>
    <t>M3X2.5D</t>
  </si>
  <si>
    <t>HELICOIL INSERT  （ 11）</t>
  </si>
  <si>
    <t>M3X3D</t>
  </si>
  <si>
    <t>HELICOIL INSERT  （ 12）</t>
  </si>
  <si>
    <t>M3 x 15D</t>
  </si>
  <si>
    <t>HELICOIL INSERT  （ 13）</t>
  </si>
  <si>
    <t>M4 X 2D</t>
  </si>
  <si>
    <t>HELICOIL INSERT  （ 14）</t>
  </si>
  <si>
    <t>PO1804-39971-LRT</t>
  </si>
  <si>
    <t>M4 x 0.7 x 2D</t>
  </si>
  <si>
    <t>HELICOIL INSERT  （ 15）</t>
  </si>
  <si>
    <t>M4 X 2.5D</t>
  </si>
  <si>
    <t>HELICOIL INSERT  （ 16）</t>
  </si>
  <si>
    <t>M4X2.5D</t>
  </si>
  <si>
    <t>HELICOIL INSERT  （ 17）</t>
  </si>
  <si>
    <t>M4X3D</t>
  </si>
  <si>
    <t>HELICOIL INSERT  （ 18）</t>
  </si>
  <si>
    <t>M5 X 0.8</t>
  </si>
  <si>
    <t>HELICOIL INSERT  （ 19）</t>
  </si>
  <si>
    <t>M5 X 2D</t>
  </si>
  <si>
    <t>HELICOIL INSERT  （ 20）</t>
  </si>
  <si>
    <t>PO1710-35533-LRT</t>
  </si>
  <si>
    <t>M5X2.5D</t>
  </si>
  <si>
    <t>HELICOIL INSERT  （ 21）</t>
  </si>
  <si>
    <t>M5X3D</t>
  </si>
  <si>
    <t>HELICOIL INSERT  （ 22）</t>
  </si>
  <si>
    <t>M6X1D</t>
  </si>
  <si>
    <t>HELICOIL INSERT  （ 23）</t>
  </si>
  <si>
    <t>M6 x 1.0 x 2D</t>
  </si>
  <si>
    <t>HELICOIL INSERT  （ 24）</t>
  </si>
  <si>
    <t>M6X1.5D</t>
  </si>
  <si>
    <t>HELICOIL INSERT  （ 25）</t>
  </si>
  <si>
    <t>M6X2D</t>
  </si>
  <si>
    <t>HELICOIL INSERT  （ 26）</t>
  </si>
  <si>
    <t>PO1805-40759-LRT</t>
  </si>
  <si>
    <t>M6X2.5D</t>
  </si>
  <si>
    <t>HELICOIL INSERT  （ 27）</t>
  </si>
  <si>
    <t>M6X3D</t>
  </si>
  <si>
    <t>HELICOIL INSERT  （ 28）</t>
  </si>
  <si>
    <t>M8X1D</t>
  </si>
  <si>
    <t>HELICOIL INSERT  （ 29）</t>
  </si>
  <si>
    <t>M8X1.5D</t>
  </si>
  <si>
    <t>HELICOIL INSERT  （ 30）</t>
  </si>
  <si>
    <t>M8 x 2D</t>
  </si>
  <si>
    <t>HELICOIL INSERT  （3 1）</t>
  </si>
  <si>
    <t>M8X2.5D</t>
  </si>
  <si>
    <t>HELICOIL INSERT  （ 32）</t>
  </si>
  <si>
    <t>M8X3D</t>
  </si>
  <si>
    <t>HELICOIL INSERT  （ 33）</t>
  </si>
  <si>
    <t>M10X1.5D</t>
  </si>
  <si>
    <t>HELICOIL INSERT  （ 34）</t>
  </si>
  <si>
    <t>M10X2.5D</t>
  </si>
  <si>
    <t>HELICOIL INSERT  （ 35）</t>
  </si>
  <si>
    <t>HELICOIL INSERT  （ 36）</t>
  </si>
  <si>
    <t>M10X3D</t>
  </si>
  <si>
    <t>HELICOIL INSERT  （ 37）</t>
  </si>
  <si>
    <t>M12 X 1.75</t>
  </si>
  <si>
    <t>HELICOIL INSERT  （ 38）</t>
  </si>
  <si>
    <t>M12 X 2D</t>
  </si>
  <si>
    <t>HELICOIL INSERT  （ 39）</t>
  </si>
  <si>
    <t>PO1505-15693-LRT</t>
  </si>
  <si>
    <t>B-1562-2</t>
  </si>
  <si>
    <t>CONCCEALED HINGES</t>
  </si>
  <si>
    <t>PO1803-39443-LRT</t>
  </si>
  <si>
    <t>1624A67</t>
  </si>
  <si>
    <t xml:space="preserve">304 STAINLESS STEEL SURFACE-MOUNT HINGE - NONREMOVABLE PIN </t>
  </si>
  <si>
    <t>PO1807-41280-LRT</t>
  </si>
  <si>
    <t>HW-HS-AT-010R</t>
  </si>
  <si>
    <t>SPRING HINGE RIGHT OPENING</t>
  </si>
  <si>
    <t>AT0510</t>
  </si>
  <si>
    <t>SUS304</t>
  </si>
  <si>
    <t>TAKIGEN HINGE</t>
  </si>
  <si>
    <t>LCS THX</t>
  </si>
  <si>
    <t>HR-110RS</t>
  </si>
  <si>
    <t>HATCH PULL - ( BRAND SUGATSUNE)</t>
  </si>
  <si>
    <t>PO1801-37405-LRT</t>
  </si>
  <si>
    <t>B-1004-1-R</t>
  </si>
  <si>
    <t>SLIP JOINT HINGES</t>
  </si>
  <si>
    <t>ZINC MALE RATCHET HANDLE,M10X50MM</t>
  </si>
  <si>
    <t>YF250F</t>
  </si>
  <si>
    <t>M Lug Yellow</t>
  </si>
  <si>
    <t>VY 5 - 3.5S</t>
  </si>
  <si>
    <t>Y-LUG YELLOW</t>
  </si>
  <si>
    <t>VY5.5 - 3.5S</t>
  </si>
  <si>
    <t>VR5.5 - 8</t>
  </si>
  <si>
    <t>O-LUG YELLOW</t>
  </si>
  <si>
    <t>VR5 - 5</t>
  </si>
  <si>
    <t>VR5-8</t>
  </si>
  <si>
    <t>O LUG YELLOW BIG</t>
  </si>
  <si>
    <t>660708 (VR5-5)</t>
  </si>
  <si>
    <t>CABLE LUG (O-LUG YELLOW)</t>
  </si>
  <si>
    <t>O-LUG YELLOW (VR5-6)</t>
  </si>
  <si>
    <t>CABLE LUG VY 5-4S</t>
  </si>
  <si>
    <t>PF11-M5-1</t>
  </si>
  <si>
    <t>PF11-M5 CAPTIVE SCREW</t>
  </si>
  <si>
    <t>PO1706-33068-LRT</t>
  </si>
  <si>
    <t>PF11 M5-2</t>
  </si>
  <si>
    <t>PANEL FASTENER M5-2</t>
  </si>
  <si>
    <t>PF11-M6-2</t>
  </si>
  <si>
    <t>LARGE KNOB SPRING</t>
  </si>
  <si>
    <t>2118-118-20</t>
  </si>
  <si>
    <t>TORQUE HINGE</t>
  </si>
  <si>
    <t>2408-03-304</t>
  </si>
  <si>
    <t>HINGE-YEEKA</t>
  </si>
  <si>
    <t>HINGE (YEEKA) T3K Door HInge</t>
  </si>
  <si>
    <t>2101-400-10</t>
  </si>
  <si>
    <t>SCREW ON HINGE</t>
  </si>
  <si>
    <t>SCREW-ON HINGE</t>
  </si>
  <si>
    <t>1422-068-2510</t>
  </si>
  <si>
    <t>COMPRESION LATCH</t>
  </si>
  <si>
    <t>COMPRESSION LATCH</t>
  </si>
  <si>
    <t>2.5"</t>
  </si>
  <si>
    <t>CHROME HANDLE</t>
  </si>
  <si>
    <t>BZ-0820-B18</t>
  </si>
  <si>
    <t>Door Latch</t>
  </si>
  <si>
    <t>3INCH</t>
  </si>
  <si>
    <t>3" CHROME HANDLE</t>
  </si>
  <si>
    <t>Others/Header</t>
  </si>
  <si>
    <t>ES-4010100</t>
  </si>
  <si>
    <t>ROUND BAR HANDLE</t>
  </si>
  <si>
    <t>Handle, Curved, Plain</t>
  </si>
  <si>
    <t>Handle, Curved, Plain, 5.16 ", 131 mm, 0.43 ", 11 mm, 0.43 ", 11 mm</t>
  </si>
  <si>
    <t>ES D1013</t>
  </si>
  <si>
    <t>S/S HANDLE</t>
  </si>
  <si>
    <t>SUS DROP HANDLE</t>
  </si>
  <si>
    <t>4"</t>
  </si>
  <si>
    <t>4 Inch Chrome Handle</t>
  </si>
  <si>
    <t>Others/Service</t>
  </si>
  <si>
    <t>6606806W</t>
  </si>
  <si>
    <t>CABLE TIE MOUNT BASE</t>
  </si>
  <si>
    <t>Others/Cable tie</t>
  </si>
  <si>
    <t>PO1805-40288-LRT</t>
  </si>
  <si>
    <t>3/4 GREEN</t>
  </si>
  <si>
    <t>CABLE BASE GREEN</t>
  </si>
  <si>
    <t>CABLE BASE</t>
  </si>
  <si>
    <t>CABLE TIE MOUNT 16 X 23MM(BLK)</t>
  </si>
  <si>
    <t>ID8 T:1 OD10M</t>
  </si>
  <si>
    <t>O-RING (1)</t>
  </si>
  <si>
    <t>Others/O-Ring</t>
  </si>
  <si>
    <t>PO1607-26592-LRT</t>
  </si>
  <si>
    <t>O-RING (2)</t>
  </si>
  <si>
    <t>O-RING (3)</t>
  </si>
  <si>
    <t>O-RING-ID 1/8 OD1/4-WIFI (4)</t>
  </si>
  <si>
    <t>ID12,OD18.60+-0.002</t>
  </si>
  <si>
    <t>O-RING (5)</t>
  </si>
  <si>
    <t>ID150,T:2,OD154</t>
  </si>
  <si>
    <t>O-RING (6)</t>
  </si>
  <si>
    <t>ID4 T:1 OD6</t>
  </si>
  <si>
    <t>O-RING (7)</t>
  </si>
  <si>
    <t>PO1911-53059-LRT</t>
  </si>
  <si>
    <t>ID4 T:1.5 OD6.4</t>
  </si>
  <si>
    <t>O-RING (8)</t>
  </si>
  <si>
    <t>ID4.5 T:1.5 OD7.5</t>
  </si>
  <si>
    <t>O-RING (9)</t>
  </si>
  <si>
    <t>T": 1T ID:7 OD 9M</t>
  </si>
  <si>
    <t>O-RING (10)</t>
  </si>
  <si>
    <t>ID8 T:2 OD10M</t>
  </si>
  <si>
    <t>O-RING (11)</t>
  </si>
  <si>
    <t>PO1903-46653-LRT</t>
  </si>
  <si>
    <t>T : 1mm x ID : 35mm x OD : 37mm</t>
  </si>
  <si>
    <t>O-RING (12)</t>
  </si>
  <si>
    <t>T : 1mm x ID : 8mm x OD : 10mm</t>
  </si>
  <si>
    <t xml:space="preserve">O-RING </t>
  </si>
  <si>
    <t>T : 1mm x ID : 4mm x OD : 6mm</t>
  </si>
  <si>
    <t>T:2MM ID16MM OD20MM</t>
  </si>
  <si>
    <t>O-RING (13)</t>
  </si>
  <si>
    <t>T=1.2mm x ID=4mm</t>
  </si>
  <si>
    <t>O RING BUNA N (14)</t>
  </si>
  <si>
    <t>O RING  BUNA N (15)</t>
  </si>
  <si>
    <t>PO2008-59452-LRT</t>
  </si>
  <si>
    <t>T=1.5mm x ID=6mm OD9mm</t>
  </si>
  <si>
    <t>O RING BUNA N (16)</t>
  </si>
  <si>
    <t>PO1505-15805-LRT</t>
  </si>
  <si>
    <t>T=1mm x ID=2mm</t>
  </si>
  <si>
    <t>O RING  BUNA N (17)</t>
  </si>
  <si>
    <t>PO1910-52581-LRT</t>
  </si>
  <si>
    <t>T=1mm x ID=3mm</t>
  </si>
  <si>
    <t>O RING BUNA N (18)</t>
  </si>
  <si>
    <t>PO1912-53574-LRT</t>
  </si>
  <si>
    <t>T1.7MM,ID:10MM OD11.5MM</t>
  </si>
  <si>
    <t>O-RING (20)</t>
  </si>
  <si>
    <t>T2 ID2 OD6</t>
  </si>
  <si>
    <t>O-RING (21)</t>
  </si>
  <si>
    <t>T2 ID7 OD11</t>
  </si>
  <si>
    <t>O-RING (22)</t>
  </si>
  <si>
    <t>T2MM  ID6MM OD10MM</t>
  </si>
  <si>
    <t>O-RING (23)</t>
  </si>
  <si>
    <t>T2MM ID8.4MM OD12MM</t>
  </si>
  <si>
    <t>O-RING (24)</t>
  </si>
  <si>
    <t>Thickness 1.0mm, ID 40mm, OD 42mm</t>
  </si>
  <si>
    <t>O-RING (25)</t>
  </si>
  <si>
    <t>PO2003-56010-LRT</t>
  </si>
  <si>
    <t>Thickness 1.50mm,ID4.50mm,OD7.50mm</t>
  </si>
  <si>
    <t>O-RING (26)</t>
  </si>
  <si>
    <t>O RING (27)</t>
  </si>
  <si>
    <t>PO1910-52170-LRT</t>
  </si>
  <si>
    <t>O RING (28)</t>
  </si>
  <si>
    <t>Thickness 1.5mm, ID7</t>
  </si>
  <si>
    <t>O-RING (VITON) (29)</t>
  </si>
  <si>
    <t>Thickness 1mm, ID 32mm, OD 34mm</t>
  </si>
  <si>
    <t>O-RING (30)</t>
  </si>
  <si>
    <t>Thickness 1mm, ID 5, OD 7mm</t>
  </si>
  <si>
    <t>O-RING (31)</t>
  </si>
  <si>
    <t>PO1901-45358LRT</t>
  </si>
  <si>
    <t>Thickness 1mm, ID3.5mm, OD5.5mm</t>
  </si>
  <si>
    <t>O-RING (32)</t>
  </si>
  <si>
    <t>O-RING (33)</t>
  </si>
  <si>
    <t>PO2002-55421-LRT</t>
  </si>
  <si>
    <t>O RING (34)</t>
  </si>
  <si>
    <t>PO1910-52415-LRT</t>
  </si>
  <si>
    <t>Thickness 2mm, ID 4mm, OD 8mm</t>
  </si>
  <si>
    <t>O-RING (35)</t>
  </si>
  <si>
    <t>PO1710-35388-LRT</t>
  </si>
  <si>
    <t>T=2mm x ID=4mm od6mm</t>
  </si>
  <si>
    <t>O RING BUNA N (19)</t>
  </si>
  <si>
    <t>PO1703-30707-LRT</t>
  </si>
  <si>
    <t>T=2mm x ID=31mm</t>
  </si>
  <si>
    <t>O-RING (36)</t>
  </si>
  <si>
    <t>Thickness 3mm, ID 240, OD 246mm</t>
  </si>
  <si>
    <t>O-RING (37)</t>
  </si>
  <si>
    <t>T=1.5mm X ID=22mm</t>
  </si>
  <si>
    <t>O RING  BUNA N</t>
  </si>
  <si>
    <t>Thickness 1.5mm, ID 3.5MM, OD 7.5MM</t>
  </si>
  <si>
    <t>O RING</t>
  </si>
  <si>
    <t>PO2008-59020-LRT</t>
  </si>
  <si>
    <t>Thickness 1.5mm, ID25mm, OD28mm</t>
  </si>
  <si>
    <t>Thickness 1mm, ID 42mm, OD 44mm</t>
  </si>
  <si>
    <t>Thickness 2mm, ID31mm, OD35mm</t>
  </si>
  <si>
    <t>FGS-M5</t>
  </si>
  <si>
    <t>Gasket</t>
  </si>
  <si>
    <t>PO1909-51659-LRT</t>
  </si>
  <si>
    <t>FGS-M3</t>
  </si>
  <si>
    <t>GASKET</t>
  </si>
  <si>
    <t>SFSD-05-28-G-39.40-S</t>
  </si>
  <si>
    <t>SFSD SERIES DISCRETE WIRE CABLE</t>
  </si>
  <si>
    <t>CP-2015</t>
  </si>
  <si>
    <t>SOLDER WICK</t>
  </si>
  <si>
    <t>PO1611-29019-LRT</t>
  </si>
  <si>
    <t>BS-10</t>
  </si>
  <si>
    <t>Pro'sKit Solder Paste Net Content : 50g - Solder Paste - (IE : 000158)</t>
  </si>
  <si>
    <t>5-4L</t>
  </si>
  <si>
    <t>SOLDERLESS CRIMP TERMINAL NON INSULATED</t>
  </si>
  <si>
    <t>GOLD</t>
  </si>
  <si>
    <t>TERMINAL LUG-GOLD</t>
  </si>
  <si>
    <t>2-4L</t>
  </si>
  <si>
    <t>O-LUG SILVER NON INSULATED</t>
  </si>
  <si>
    <t>C2-32-25-3</t>
  </si>
  <si>
    <t>SOUTHCO ADJUSTABLE LEVER LATCH WITH LOCK</t>
  </si>
  <si>
    <t>PO1711-36414-LRT</t>
  </si>
  <si>
    <t>C2-32-35-3</t>
  </si>
  <si>
    <t>ADJUSTABLE LEVER LATCH-LOCK</t>
  </si>
  <si>
    <t>PO1405-07010-LRT</t>
  </si>
  <si>
    <t>1401-18-20</t>
  </si>
  <si>
    <t>ZIEC  HIE HOUSING BLACK  YK333 (LOCKER)</t>
  </si>
  <si>
    <t>9100-0420</t>
  </si>
  <si>
    <t>CAM</t>
  </si>
  <si>
    <t>20M</t>
  </si>
  <si>
    <t>STATIONARY RING 20MM</t>
  </si>
  <si>
    <t>Others/Bearing</t>
  </si>
  <si>
    <t>201010Z</t>
  </si>
  <si>
    <t>Asmith Tubular Key</t>
  </si>
  <si>
    <t>A-1204-3-11</t>
  </si>
  <si>
    <t>S/STEEL FLUSH LIFT HANDLE</t>
  </si>
  <si>
    <t>UC-0 (660828)</t>
  </si>
  <si>
    <t>bflb6-8</t>
  </si>
  <si>
    <t>CABLE CLAMP SMALL</t>
  </si>
  <si>
    <t>UC 0.5</t>
  </si>
  <si>
    <t>NYLON P CLIPS Ø4.80 (UC 0.5) 660801</t>
  </si>
  <si>
    <t>NYLON P CLIP dia4.80</t>
  </si>
  <si>
    <t>UNIVERSAL CABLE HOLDER</t>
  </si>
  <si>
    <t>CABLE HOLDER-WHITE</t>
  </si>
  <si>
    <t>561-16A0125</t>
  </si>
  <si>
    <t>P-CLIP SMALLEST</t>
  </si>
  <si>
    <t>PO1506-16429-LRT</t>
  </si>
  <si>
    <t>660826 (UC-3)</t>
  </si>
  <si>
    <t>P-CLIP-CABLE CLAMP</t>
  </si>
  <si>
    <t>WGRM-05-LC-MS</t>
  </si>
  <si>
    <t>BALL AND SOCKET JOINTS</t>
  </si>
  <si>
    <t>PO-1801-37450-LRT</t>
  </si>
  <si>
    <t>WLM-0810-12</t>
  </si>
  <si>
    <t>IGUS BEARING</t>
  </si>
  <si>
    <t>WLM-0608-10</t>
  </si>
  <si>
    <t>IGUS BEARING     (MOQ  : 500 PCS)</t>
  </si>
  <si>
    <t>PO1604-24157-LRT</t>
  </si>
  <si>
    <t>JSM-0709-05</t>
  </si>
  <si>
    <t>J SLEEVE BEARING</t>
  </si>
  <si>
    <t>IGLIDE®, JSM-0709-05</t>
  </si>
  <si>
    <t>JSM-0608-08</t>
  </si>
  <si>
    <t>PO1912-54017-LRT</t>
  </si>
  <si>
    <t>MSM-0609-06</t>
  </si>
  <si>
    <t>Sleeve Bearing (Form S)</t>
  </si>
  <si>
    <t>PINET DIE CAST ALUMINIUM CARRY HANDLE</t>
  </si>
  <si>
    <t>PO1506-16318-LRT</t>
  </si>
  <si>
    <t>38MM</t>
  </si>
  <si>
    <t>STATIONARY RING 38MM</t>
  </si>
  <si>
    <t>PS40 JE-GE40X40-8</t>
  </si>
  <si>
    <t>GUSSET ELEMENT</t>
  </si>
  <si>
    <t>HBLFSDW6-50</t>
  </si>
  <si>
    <t>TABBED REVERSAL BRACKET</t>
  </si>
  <si>
    <t>PO2004-56309-LRT</t>
  </si>
  <si>
    <t>PROFILE</t>
  </si>
  <si>
    <t>PROFILE HANGER BLACK</t>
  </si>
  <si>
    <t>20MM</t>
  </si>
  <si>
    <t>PS40GE 40 x 40-8</t>
  </si>
  <si>
    <t>Profile L Bracket 40 x 40</t>
  </si>
  <si>
    <t>PO1808-42380-LRT</t>
  </si>
  <si>
    <t>MPF920</t>
  </si>
  <si>
    <t>FLOPPY DRIVE</t>
  </si>
  <si>
    <t>UWUAN138-N</t>
  </si>
  <si>
    <t>Embedded Handles/Offset</t>
  </si>
  <si>
    <t>PO2009-59895</t>
  </si>
  <si>
    <t>PN-0000032068</t>
  </si>
  <si>
    <t>Brushless PC Computer Case Cooling Fan</t>
  </si>
  <si>
    <t>BRUSHLESS PC COMPUTER CASE COOLING FAN</t>
  </si>
  <si>
    <t>A3-99-122-12</t>
  </si>
  <si>
    <t>SOUTHCO SLIDE LATCH</t>
  </si>
  <si>
    <t>Others/Plastic Box</t>
  </si>
  <si>
    <t>PO1411-12076-LRT</t>
  </si>
  <si>
    <t>P2-54</t>
  </si>
  <si>
    <t>POCKET PULL HANDLE</t>
  </si>
  <si>
    <t>GWS6-6</t>
  </si>
  <si>
    <t>E1479-101-146_00</t>
  </si>
  <si>
    <t>GRAB HANDLE</t>
  </si>
  <si>
    <t>PO1401-05170-LRT</t>
  </si>
  <si>
    <t>737-4099</t>
  </si>
  <si>
    <t>120MM FAN FILTER</t>
  </si>
  <si>
    <t>12MM FAN FILTER</t>
  </si>
  <si>
    <t>PN-0000032130</t>
  </si>
  <si>
    <t>DC BRUSHLESS COOLING FAN 24VDC 120MM</t>
  </si>
  <si>
    <t>DC BRUSHLESS COOLING FAN 24V 2PIN DC 12025 120MM</t>
  </si>
  <si>
    <t>ACCURIDE SLIDE</t>
  </si>
  <si>
    <t>Pair</t>
  </si>
  <si>
    <t>TS-U273-350</t>
  </si>
  <si>
    <t>Hepco Motion Slide TS-U273-350</t>
  </si>
  <si>
    <t>660808-W</t>
  </si>
  <si>
    <t>CABLE TIE(WHITE) - 4 INCH</t>
  </si>
  <si>
    <t>CABLE TIE(white) - 4 inch ( MTB-100M)</t>
  </si>
  <si>
    <t>PO1806-41015-LRT</t>
  </si>
  <si>
    <t>660813W</t>
  </si>
  <si>
    <t>CABLE TIE BIG- 6 INCH  -WHITE</t>
  </si>
  <si>
    <t>CABLE TIE BIG- 6 INCH -WHITE</t>
  </si>
  <si>
    <t>8 INCH</t>
  </si>
  <si>
    <t>CABLE TIES BALCK 8" - (1 PACK = 1000PCS) (IE : 660814-B)</t>
  </si>
  <si>
    <t>CABLE TIES BALCK 8" - (1 PACK = 1000PCS)</t>
  </si>
  <si>
    <t>PO1911-52694-LRT</t>
  </si>
  <si>
    <t>Loaction F14 have 1,9000pcs</t>
  </si>
  <si>
    <t>CABLE TIE(black) - 4 inch ( MTB-100M)</t>
  </si>
  <si>
    <t>PO1701-29802-LRT</t>
  </si>
  <si>
    <t>4 INCH</t>
  </si>
  <si>
    <t>CABLE TIES BALCK 4" - (1 PACK = 1000PCS)</t>
  </si>
  <si>
    <t>PO2005-57088-LRT</t>
  </si>
  <si>
    <t>4"INCH</t>
  </si>
  <si>
    <t>CABLE TIE(clack) - 4 INCH</t>
  </si>
  <si>
    <t>CABLE TIE(black) - 4 INCH</t>
  </si>
  <si>
    <t>40X40 END CAP</t>
  </si>
  <si>
    <t>END CAP PROFILE COVER</t>
  </si>
  <si>
    <t>PO1708-34498-LRT</t>
  </si>
  <si>
    <t>30X30</t>
  </si>
  <si>
    <t>PO1508-18258-LRT</t>
  </si>
  <si>
    <t>20X20</t>
  </si>
  <si>
    <t>45X45 BLACK</t>
  </si>
  <si>
    <t>END CAP</t>
  </si>
  <si>
    <t>Rubber feet</t>
  </si>
  <si>
    <t>PO1611-28741-LRT</t>
  </si>
  <si>
    <t>ROUND ANTI VIBRATION FEET ( 6 BAG X 100 = 600PCS) - (RS : 382-2386)</t>
  </si>
  <si>
    <t>GROMMET GM-4-17.5 X 12.7 X 9</t>
  </si>
  <si>
    <t>MC</t>
  </si>
  <si>
    <t>Grommet</t>
  </si>
  <si>
    <t>HS-125L RBS L&amp;R</t>
  </si>
  <si>
    <t>BALL BEARING STAY</t>
  </si>
  <si>
    <t>EP-0520B</t>
  </si>
  <si>
    <t>POCKET PULL -EP-0516B</t>
  </si>
  <si>
    <t>ASMITH HANDLE</t>
  </si>
  <si>
    <t>EP-0512B</t>
  </si>
  <si>
    <t>POCKET PULLS</t>
  </si>
  <si>
    <t>TM-172S1B-32W-A2400</t>
  </si>
  <si>
    <t>COOLING FAN - BRAND TOYO</t>
  </si>
  <si>
    <t>Others/Cooling Fan</t>
  </si>
  <si>
    <t>PN-0000032158</t>
  </si>
  <si>
    <t>SILVER TONE CPU METAL FINGER GUARD</t>
  </si>
  <si>
    <t>SILVER TONE CPU GRILL PROTECTOR METAL FINGER GUARD</t>
  </si>
  <si>
    <t>FP-108-1-S1</t>
  </si>
  <si>
    <t>ROTARY FAN - AC110/120V - 50/60Hz</t>
  </si>
  <si>
    <t>3615KL-04W-B96</t>
  </si>
  <si>
    <t>FAN 90X90 12V</t>
  </si>
  <si>
    <t>FAN</t>
  </si>
  <si>
    <t>FG-08</t>
  </si>
  <si>
    <t>FINGER GUARD 80MM</t>
  </si>
  <si>
    <t>F8025X24B-FHR</t>
  </si>
  <si>
    <t>FAN AXIAL 80X25MM 24VDC</t>
  </si>
  <si>
    <t>SEADA FAN 80 X 80 X 25 - (IE : - (IE : 000125 - SEADA FAN)</t>
  </si>
  <si>
    <t>AFB0812HH</t>
  </si>
  <si>
    <t>Fan Axial 80X25 4mm 12VDC Wire -(Alternative IE : 000125)</t>
  </si>
  <si>
    <t>TYP3412NG</t>
  </si>
  <si>
    <t>PAPST</t>
  </si>
  <si>
    <t>TA350DC</t>
  </si>
  <si>
    <t xml:space="preserve">NIDEC BETA V </t>
  </si>
  <si>
    <t>NIDEC BETA V</t>
  </si>
  <si>
    <t>PS-UCBB (10 x 15 Blk)</t>
  </si>
  <si>
    <t>HC-1</t>
  </si>
  <si>
    <t>Crust Pro</t>
  </si>
  <si>
    <t>Cable Tie Base Mount Screw Fix Seat</t>
  </si>
  <si>
    <t>UNIVERSAL CABLE-BINDING BLOCK (Cable Tie Mount)</t>
  </si>
  <si>
    <t>PO1701-29923-LRT</t>
  </si>
  <si>
    <t>233-685</t>
  </si>
  <si>
    <t>Black Cable Tie Mount 16mmX23mm</t>
  </si>
  <si>
    <t>PO1602-22021-LRT</t>
  </si>
  <si>
    <t>233-663</t>
  </si>
  <si>
    <t>CABLE TIE MOUNT 10 X 15 - COLOR BLACK (1 BAG = 250 PCS)</t>
  </si>
  <si>
    <t>BLACK CABLE TIE MOUNT</t>
  </si>
  <si>
    <t>HC-100-S4</t>
  </si>
  <si>
    <t>CABLE BASE SMALL</t>
  </si>
  <si>
    <t>TM-3S10C</t>
  </si>
  <si>
    <t>M5 Normal Cable Tie Mount 100 per/pkt</t>
  </si>
  <si>
    <t>HC-O4</t>
  </si>
  <si>
    <t>M4 Half Cable Tie Mount 100 per/pkt</t>
  </si>
  <si>
    <t>HLT31X10 12"</t>
  </si>
  <si>
    <t>HOOK &amp; LOOP CABLE TIES BLACK</t>
  </si>
  <si>
    <t>DV200</t>
  </si>
  <si>
    <t>D Squared</t>
  </si>
  <si>
    <t>Update MFR &amp; Name</t>
  </si>
  <si>
    <t>Micro Scanner DV200</t>
  </si>
  <si>
    <t>BARCODE SCANNER WITH POWER CABLE</t>
  </si>
  <si>
    <t>DV 200</t>
  </si>
  <si>
    <t>BARCODE SCANNER WIRH POWER CABLE</t>
  </si>
  <si>
    <t>999-16</t>
  </si>
  <si>
    <t>CAM LOCK EXCEL</t>
  </si>
  <si>
    <t>OthersBush</t>
  </si>
  <si>
    <t>C-193-2</t>
  </si>
  <si>
    <t>A-45</t>
  </si>
  <si>
    <t>LOCK HANDLE C/W KEY</t>
  </si>
  <si>
    <t>H/PSH</t>
  </si>
  <si>
    <t>PUSH LOCK</t>
  </si>
  <si>
    <t>RV-245-4</t>
  </si>
  <si>
    <t>LOCK HANDLE</t>
  </si>
  <si>
    <t>A-240</t>
  </si>
  <si>
    <t>LOCK WITH HANDLE C/W KEY</t>
  </si>
  <si>
    <t>A-240-3</t>
  </si>
  <si>
    <t>LOCK WITH HANDLE W/O KEY</t>
  </si>
  <si>
    <t>MST-50-10</t>
  </si>
  <si>
    <t>Retroreflective Tape (Autonics)</t>
  </si>
  <si>
    <t>PO1803-39301-LRT</t>
  </si>
  <si>
    <t>FU-49U</t>
  </si>
  <si>
    <t>Reflective Fibre Unit</t>
  </si>
  <si>
    <t>PO1905-48498-LRT</t>
  </si>
  <si>
    <t>FS-N11N</t>
  </si>
  <si>
    <t>Photoelectric Sensor (Amplifier Unit)</t>
  </si>
  <si>
    <t>LOTFETT STANNOL SOLDER PASTE (9 OZ)</t>
  </si>
  <si>
    <t>LOTFETT STANDOIL SOLDER PASTE</t>
  </si>
  <si>
    <t>NO HAVE PART NO AT PMS SYSTEM</t>
  </si>
  <si>
    <t>LOCTITE</t>
  </si>
  <si>
    <t>9210143-001001</t>
  </si>
  <si>
    <t>X'TRASEAL 3 TON EXPOXY</t>
  </si>
  <si>
    <t>12X45MM</t>
  </si>
  <si>
    <t>12INCH SLIDER</t>
  </si>
  <si>
    <t>DZ3630-0040</t>
  </si>
  <si>
    <t>ACCURIDE 3630 TWO-WAY SLIDER</t>
  </si>
  <si>
    <t>PO1607-26074-LRT</t>
  </si>
  <si>
    <t>RESISTOR 2PIN 2.2K 1%</t>
  </si>
  <si>
    <t>MFR-25FRF52-2K21-(Equivalent : MFR-25FBF52-2K21‎)</t>
  </si>
  <si>
    <t>RES 2.21K OHM 1/4W 1% AXIAL</t>
  </si>
  <si>
    <t>HHV-25JR-52-22K</t>
  </si>
  <si>
    <t>RES 22K OHM 1/4W 5% AXIAL</t>
  </si>
  <si>
    <t>CMF5532R000BHEK- (Equivalent : YR1B32R4CC)</t>
  </si>
  <si>
    <t>METAL FILM RESISTORS - THROUGH HOLE 1/2W 32OHMS .1% (ELEMENT : 1083092)</t>
  </si>
  <si>
    <t>CFR-25JR-52-120R</t>
  </si>
  <si>
    <t>RESISTOR 120 OHM</t>
  </si>
  <si>
    <t>EMC Component/Resistor</t>
  </si>
  <si>
    <t>PO1809-43087-LRT</t>
  </si>
  <si>
    <t>MFR-25FRF52-20K</t>
  </si>
  <si>
    <t>RESISTOR 20K OHM</t>
  </si>
  <si>
    <t>FMP100JR-52-1K</t>
  </si>
  <si>
    <t>RES, 1K, 5%, 1W, 350V, -55 +155C, AXIAL, 6.3X2.4X2.6MM- (HONDAI : RESISTOR 1WATT 5% 1K)</t>
  </si>
  <si>
    <t>PO1810-43488-LRT</t>
  </si>
  <si>
    <t>FMP100JR-52-110R</t>
  </si>
  <si>
    <t>RES, 110, 5%, 1W, 350V, -55 +155C, AXIAL, 6.3X2.4X2.6MM - (HONDAI : RESISTOR 1WATT 5% 110OHM)</t>
  </si>
  <si>
    <t>CFR-25JB-52-300R</t>
  </si>
  <si>
    <t>AXIAL RESISTOR 300 OHM</t>
  </si>
  <si>
    <t>AXIAL RESISTOR 300 OHM-771336</t>
  </si>
  <si>
    <t>PO1606-25383-LRT</t>
  </si>
  <si>
    <t>FMP100JR-52-100R</t>
  </si>
  <si>
    <t>RES 100 OHM 1W 5% AXIAL</t>
  </si>
  <si>
    <t>PO1811-44407-LRT</t>
  </si>
  <si>
    <t>MFR-25FBF52-7K15</t>
  </si>
  <si>
    <t>RES 7.15K OHM 1/4W 1% AXIAL</t>
  </si>
  <si>
    <t>MFR-25FRF52-11K3 - (Equivalent : MRS25000C1132FCT00)</t>
  </si>
  <si>
    <t>RES 11.3K OHM 1/4W 1% AXIAL - ELEMENT : 9464158</t>
  </si>
  <si>
    <t>PO1811-44469LRT</t>
  </si>
  <si>
    <t>PO1811-44655-LRT</t>
  </si>
  <si>
    <t>MFR-25FRF52-2K21</t>
  </si>
  <si>
    <t>RESISTOR 2.21K OHM 1/4W 1%</t>
  </si>
  <si>
    <t>CFR-25JB-52.1K</t>
  </si>
  <si>
    <t>RESISTOR 1K OHM 1/4W 5%</t>
  </si>
  <si>
    <t>RESISTOR 22K PHM 1/4W 5%</t>
  </si>
  <si>
    <t>MFR-25FBF52-56K</t>
  </si>
  <si>
    <t>RESISTOR 56K OHM 1/4W 5%</t>
  </si>
  <si>
    <t>RES 56K OHM 1/4W 5% AXIAL - (IE : 771376)</t>
  </si>
  <si>
    <t>CMF5532R000BHEK</t>
  </si>
  <si>
    <t>METAL FILM RESISTOR THROUGH HOLE</t>
  </si>
  <si>
    <t>METAL FILM RESISTORS - THROUGH HOLE 1/2W 32OHMS .1%</t>
  </si>
  <si>
    <t>CFR-25JB-52-1K</t>
  </si>
  <si>
    <t>RES 1K OHM 1/4W 5% AXIAL - (IE : 771347)</t>
  </si>
  <si>
    <t>PO1908-50996-LRT</t>
  </si>
  <si>
    <t xml:space="preserve"> PNP5WWVJT-73-1K</t>
  </si>
  <si>
    <t>RESISTOR 2PIN 1K - IE 771347</t>
  </si>
  <si>
    <t>RESISTOR 2PIN 1K-771347 (CFR-25JB-52-1K)</t>
  </si>
  <si>
    <t>PO1306-02262-LRT</t>
  </si>
  <si>
    <t>1A-250V</t>
  </si>
  <si>
    <t>MICRO MINIATURE AXIAL SLOW BLOW</t>
  </si>
  <si>
    <t>DDTD122LU-7-F</t>
  </si>
  <si>
    <t>BIPOLAR TRANSISTORS - PRE-BIASED PRE-BIAS NPN 200MW (MOUSER : 621-DDTD122LU-F)</t>
  </si>
  <si>
    <t>EMC Components/Transistor</t>
  </si>
  <si>
    <t>PO1607-26728-LRT</t>
  </si>
  <si>
    <t>ACS712ELCTR 20AT</t>
  </si>
  <si>
    <t>IC ACS712ELCTR - 20A-T</t>
  </si>
  <si>
    <t>PO1612-29479-LRT</t>
  </si>
  <si>
    <t>VC-BM15</t>
  </si>
  <si>
    <t>VACUUM CUP FOR PICKER</t>
  </si>
  <si>
    <t>EMC Components/Washer</t>
  </si>
  <si>
    <t>PO1605-25247-LRT</t>
  </si>
  <si>
    <t>171857-3002 (element 14 code : 2445505 )</t>
  </si>
  <si>
    <t>MOLEX 171857-3002 WIRE-TO-BOARD CONNECTOR, KK 171857 SERIES, THROUGH HOLE, HEADER, 2, 2.54 MM, TIN PLATED CONTACTS</t>
  </si>
  <si>
    <t>PO1709-35092-LRT</t>
  </si>
  <si>
    <t>1N5341BG - (element : 9557989)</t>
  </si>
  <si>
    <t>ZENER DIODES 6.2V 5W</t>
  </si>
  <si>
    <t>EMC Components/Diode</t>
  </si>
  <si>
    <t>IN914-9843817</t>
  </si>
  <si>
    <t>DIODE SMALL SIGNAL 100V DO-3</t>
  </si>
  <si>
    <t>DIODE SMALL SIGNAL 100V DO-35</t>
  </si>
  <si>
    <t>S1BB-13-F</t>
  </si>
  <si>
    <t>DIODE STANDARD 100V 1A SURFACE MOUNT SMB</t>
  </si>
  <si>
    <t>G5V-1-T90 DC24</t>
  </si>
  <si>
    <t>General Purpose Relay SPDT (1 Form C) Through Hole</t>
  </si>
  <si>
    <t>ECRK3225</t>
  </si>
  <si>
    <t>ELECTROCONDUCTIVE RUBBER FEET</t>
  </si>
  <si>
    <t>Others/ Detector</t>
  </si>
  <si>
    <t>PO1504-15442-LRT</t>
  </si>
  <si>
    <t>MHDM-37-K - (element : 4303465)</t>
  </si>
  <si>
    <t>DB37 CONNECTOR COVER (METAL HOOD KIT, CABLE STRAIN RELIEF, AND LONG ATTACHMENT SCREWS)</t>
  </si>
  <si>
    <t>PO1802-38131-LRT</t>
  </si>
  <si>
    <t>970-037-030R121 / MHDM-37-K</t>
  </si>
  <si>
    <t>CONN BACKSHELL 37POS 180DEG SHLD - (ATTACH ELEMENT : 4303465)</t>
  </si>
  <si>
    <t>PO1907-50073-LRT</t>
  </si>
  <si>
    <t>980-2000-353 - (Element : 2790593)</t>
  </si>
  <si>
    <t>CONNECTOR BACKSHELL; DB37 CONNECTOR TYPE</t>
  </si>
  <si>
    <t>PO1805-40417-LRT</t>
  </si>
  <si>
    <t>970-015-010R011</t>
  </si>
  <si>
    <t>D-SUB BACKSHELLS 15P TOP ENTRY BLACK PLASTIC</t>
  </si>
  <si>
    <t>970-025-010R011</t>
  </si>
  <si>
    <t>D-SUB BACKSHELLS 25P TOP ENTRY BLACK PLASTIC</t>
  </si>
  <si>
    <t>970-037-010R011</t>
  </si>
  <si>
    <t>D-SUB BACKSHELLS 37P TOP ENTRY BLACK PLASTIC</t>
  </si>
  <si>
    <t>110125CR</t>
  </si>
  <si>
    <t>NorComp</t>
  </si>
  <si>
    <t>Conn BAckshell 25Pos 180Deg Blk</t>
  </si>
  <si>
    <t>DB25 Plastic Cover (25 WAY D-SUB CONN COVER (ROHS)</t>
  </si>
  <si>
    <t>110109C</t>
  </si>
  <si>
    <t>DB9 PLASTIC COVER</t>
  </si>
  <si>
    <t>110125C</t>
  </si>
  <si>
    <t>DB25 COVER PLASTIC</t>
  </si>
  <si>
    <t>RH0254ROOOFE02</t>
  </si>
  <si>
    <t>RESISTOR WIREWOUND 25W 1%</t>
  </si>
  <si>
    <t>71-RH02516R00FE02</t>
  </si>
  <si>
    <t>Wirewound Resistors-Chasis Mount 25watt 16ohm 1% (RH02516R00FE02)</t>
  </si>
  <si>
    <t>PO1412-12939-LRT</t>
  </si>
  <si>
    <t>DALE RH-50 50W</t>
  </si>
  <si>
    <t>WIREWOUND RESISTOR</t>
  </si>
  <si>
    <t>1367583</t>
  </si>
  <si>
    <t>WIREWOUND RESISTOR (100K OHM; 50W)</t>
  </si>
  <si>
    <t>PO1706-32973-LRT</t>
  </si>
  <si>
    <t>RH05050R00FE02</t>
  </si>
  <si>
    <t>WIREWOUND RESISTOR (50OHM)</t>
  </si>
  <si>
    <t>1.11K OHM</t>
  </si>
  <si>
    <t>RESISTOR (10W)</t>
  </si>
  <si>
    <t>RH5-500</t>
  </si>
  <si>
    <t>WIREWOUND RESISTOR (500OHM; 5W)</t>
  </si>
  <si>
    <t>WH50</t>
  </si>
  <si>
    <t>WIREWOUND RESISTOR (50K; 5%)</t>
  </si>
  <si>
    <t>RXG5RF</t>
  </si>
  <si>
    <t>WIREWOUND RESISTOR (5OHM; 10W)</t>
  </si>
  <si>
    <t>RKG6KF; 10W</t>
  </si>
  <si>
    <t>RXG33K J50W</t>
  </si>
  <si>
    <t>RXG578RF 25W</t>
  </si>
  <si>
    <t>RH-25-25W (16OHM; 1%)</t>
  </si>
  <si>
    <t>RH02510K00FE02</t>
  </si>
  <si>
    <t>PO1908-51053-LRT</t>
  </si>
  <si>
    <t>578OHM ; 10W</t>
  </si>
  <si>
    <t>RXG2KF ; 10W</t>
  </si>
  <si>
    <t>CFR-25JB-52-4K7</t>
  </si>
  <si>
    <t>RESISTOR 2PIN 4.7K</t>
  </si>
  <si>
    <t>RESISTOR 2PIN 4.7K-771358</t>
  </si>
  <si>
    <t>C0603C102J5HACTU</t>
  </si>
  <si>
    <t>CAP INF 50V 0603</t>
  </si>
  <si>
    <t>EMC Components/Variableor Adjustable Capacitor</t>
  </si>
  <si>
    <t>ERJ3EYJ330Y (2059561</t>
  </si>
  <si>
    <t>RESISTOR 33OHM 5% 0603</t>
  </si>
  <si>
    <t>P806KHTR-ND</t>
  </si>
  <si>
    <t>RESISTOR SMD 806K OHM 1% 0603</t>
  </si>
  <si>
    <t>PO1803-39330-LRT</t>
  </si>
  <si>
    <t>ERJ3EKF6653V 2397850</t>
  </si>
  <si>
    <t>66.5K OHM 0.1W RESISTOR</t>
  </si>
  <si>
    <t>ERJ3EKF3743V</t>
  </si>
  <si>
    <t>RES SMD 374K OHM</t>
  </si>
  <si>
    <t>ERJ3EKF9533V</t>
  </si>
  <si>
    <t>RESISTOR 953K OHM 100MV</t>
  </si>
  <si>
    <t>CBL21B414KAFNNE</t>
  </si>
  <si>
    <t>CAP CERAMIC 0.47UF 0805</t>
  </si>
  <si>
    <t>PO1701-29793-LRT</t>
  </si>
  <si>
    <t>AP7363-12D-13DKR-ND</t>
  </si>
  <si>
    <t>IC REGULATOR</t>
  </si>
  <si>
    <t>PO1607-26133-LRT</t>
  </si>
  <si>
    <t>APT363-18D-13</t>
  </si>
  <si>
    <t>IC REGULATOR LDO 1.8V 1.5A</t>
  </si>
  <si>
    <t>C1608X7R1A105K080AC</t>
  </si>
  <si>
    <t>CERAMIC CAPACITOR, 1UF, 10V, X7R, 10%, 0603, FULL REEL</t>
  </si>
  <si>
    <t>DS0.5-20</t>
  </si>
  <si>
    <t>INJECTION MOLDED SPUR GEAR</t>
  </si>
  <si>
    <t>GEARS</t>
  </si>
  <si>
    <t>Spur gear made of steel C45 with hub module 1 16 teeth tooth width 10mm outside diameter 18mm</t>
  </si>
  <si>
    <t>spur gear A35-C336 R01 ( Art.-Nr. 21401600 )</t>
  </si>
  <si>
    <t>PO1911-53272-LRT</t>
  </si>
  <si>
    <t>CFR-25JB-52-1K5</t>
  </si>
  <si>
    <t>RESISTER 1.5K</t>
  </si>
  <si>
    <t>RESISTER 1.5K-771349</t>
  </si>
  <si>
    <t>RESISTER</t>
  </si>
  <si>
    <t>MHDTPPK9-K - (element : 358228)</t>
  </si>
  <si>
    <t>DB9 CONNECTOR COVER (PLASTIC HOOD KIT, CABLE STRAIN RELIEF, AND LONG ATTACHMENT SCREWS)</t>
  </si>
  <si>
    <t>PO1710-35571-LRT</t>
  </si>
  <si>
    <t>110109MC</t>
  </si>
  <si>
    <t>Conn Backshell 9Pos 180Deg Shld</t>
  </si>
  <si>
    <t>DB9 METAL COVER</t>
  </si>
  <si>
    <t>PO1801-37576-LRT</t>
  </si>
  <si>
    <t>MHDM-9-K - (element : 4303430)</t>
  </si>
  <si>
    <t>DB9 CONNECTOR COVER (METAL HOOD KIT, CABLE STRAIN RELIEF, AND LONG ATTACHMENT SCREWS)</t>
  </si>
  <si>
    <t>PO1809-42498-LRT</t>
  </si>
  <si>
    <t>MHCCOV25-SCL-LG - (Element : 3938037)</t>
  </si>
  <si>
    <t>DB25 CONNECTOR COVER (PLASTIC HOOD)</t>
  </si>
  <si>
    <t xml:space="preserve">MHDM-25-K </t>
  </si>
  <si>
    <t>DB25 METAL COVER-CHINA</t>
  </si>
  <si>
    <t>PO1611-28982-LRT</t>
  </si>
  <si>
    <t>25WAY METALISED D-COVER</t>
  </si>
  <si>
    <t>MHDM-25-K - (ELEMENT : 4303453)</t>
  </si>
  <si>
    <t>DB25 METAL COVER</t>
  </si>
  <si>
    <t>P-202006-007</t>
  </si>
  <si>
    <t>SINGLE PHASE SSR 40DA 25DA AA DD 35MM DIN RAIL FXED SOLID</t>
  </si>
  <si>
    <t>PO2005-57780-LRT</t>
  </si>
  <si>
    <t>HW-LHD-B-021941-R</t>
  </si>
  <si>
    <t>LATCHING SYSTEM-ASMITH</t>
  </si>
  <si>
    <t>Others/Washer</t>
  </si>
  <si>
    <t>PO1310-04210-LRT</t>
  </si>
  <si>
    <t>485029</t>
  </si>
  <si>
    <t>21WA4 D SOCKET FEMALE</t>
  </si>
  <si>
    <t>6918988</t>
  </si>
  <si>
    <t>SOCKET CUP POWER CONTACT MALE</t>
  </si>
  <si>
    <t>1204925</t>
  </si>
  <si>
    <t>CONNECTOR D-SUB COMBO PLUG</t>
  </si>
  <si>
    <t>CFR-25JB-52-27R</t>
  </si>
  <si>
    <t>RESSITOR 2PIN 27 OHM</t>
  </si>
  <si>
    <t>RESSITOR 2PIN 27 OHM-771317</t>
  </si>
  <si>
    <t>EMC Components/Fixed Carbon Resistor</t>
  </si>
  <si>
    <t>RESISTOR 2PIN 1.5K</t>
  </si>
  <si>
    <t>RESISTOR 2PIN 1.5K-771349</t>
  </si>
  <si>
    <t>DC108</t>
  </si>
  <si>
    <t>CLIF ELECTRONIC COMPONENTS</t>
  </si>
  <si>
    <t>CFR-25JB-52-10K</t>
  </si>
  <si>
    <t>RESISTOR 2PIN 10K- 771365</t>
  </si>
  <si>
    <t>PO1311-04614-LRT</t>
  </si>
  <si>
    <t>110150C</t>
  </si>
  <si>
    <t>CONNECTOR COVER</t>
  </si>
  <si>
    <t>110150C-DB50WAY CONN COVER PLASTIC</t>
  </si>
  <si>
    <t>PO1406-07705-LRT</t>
  </si>
  <si>
    <t>WR-DSUB METALIZED HOODS TOP ENTRY 15P</t>
  </si>
  <si>
    <t>110115C</t>
  </si>
  <si>
    <t>DB15 METAL COVER</t>
  </si>
  <si>
    <t>DB15 METAL COVER-260715</t>
  </si>
  <si>
    <t>76, 83</t>
  </si>
  <si>
    <t>717-1468</t>
  </si>
  <si>
    <t>LATCH &amp; CATCH</t>
  </si>
  <si>
    <t>77, 84</t>
  </si>
  <si>
    <t>DF060070-4.85</t>
  </si>
  <si>
    <t>POGO PIN-(TSE P/N : DSP070-4.85-AM42H25-1)</t>
  </si>
  <si>
    <t>PO1611-28787-LRT</t>
  </si>
  <si>
    <t>882495</t>
  </si>
  <si>
    <t>BRIGHT CHROME PROMMET LED GREEN</t>
  </si>
  <si>
    <t>BRIGHT CHROME GREEN</t>
  </si>
  <si>
    <t>882501</t>
  </si>
  <si>
    <t>BRIGHT CHROME PROMINET LED-YELLOW</t>
  </si>
  <si>
    <t>882483</t>
  </si>
  <si>
    <t>BRIGHT CHROME PROMINET LED-RED</t>
  </si>
  <si>
    <t>ERJ3EKF1002V</t>
  </si>
  <si>
    <t>RESISTOR 10K 1% 0603</t>
  </si>
  <si>
    <t>ERJ8GEY0R00V</t>
  </si>
  <si>
    <t>SURFACE MOUNT CHIP RESISTOR, THICK FILM, AEC-Q200 ERJ SERIES, 0 OHM, 250</t>
  </si>
  <si>
    <t>EMC Components/Semiconductor Device</t>
  </si>
  <si>
    <t>ERJ3EKF1000V</t>
  </si>
  <si>
    <t>CHIP RESISTOR 100OHM 1%</t>
  </si>
  <si>
    <t>T491X477K010AT - (element : 1973091RL)</t>
  </si>
  <si>
    <t>CAP TANT 470UF 10V 10% 2917</t>
  </si>
  <si>
    <t>C0603C104K8RACTU (element : 2112833RL)</t>
  </si>
  <si>
    <t>KEMET C0603C104K8RACTU SMD Multilayer Ceramic Capacitor, C Series, 0.1 µF, ± 10%, X7R, 10 V, 0603 [1608 Metric]</t>
  </si>
  <si>
    <t>PO1803-38539-LRT</t>
  </si>
  <si>
    <t>C0603C225K4PACTU</t>
  </si>
  <si>
    <t>CERAMIC CAP 2.2UF 10%</t>
  </si>
  <si>
    <t>ERJ-3GEY0R00V - (Element : 2059527RL)</t>
  </si>
  <si>
    <t>RES SMD 0 OHM JUMPER 1/10W 0603</t>
  </si>
  <si>
    <t>TPS73501DRBR</t>
  </si>
  <si>
    <t>IC REG LDO ADJ 0.5A 8SON  SEARCH ADD PART</t>
  </si>
  <si>
    <t>EMC Components/semiconductor Device</t>
  </si>
  <si>
    <t>ERJ3EKF1001V</t>
  </si>
  <si>
    <t>RESISTOR SMD 1K OHM 0603</t>
  </si>
  <si>
    <t>PN-0000032052</t>
  </si>
  <si>
    <t>IC EEPROM 256K I2C 400KHZ 8SOIC - 24LC256T-I/SN - (ELEMENT : 1296581)</t>
  </si>
  <si>
    <t>RC0805JR-070RL</t>
  </si>
  <si>
    <t>SMD Chip Resistor 0805 0 Ohm</t>
  </si>
  <si>
    <t>CFR-25JB-52-470R</t>
  </si>
  <si>
    <t>Resistor 2pin 470 ohm</t>
  </si>
  <si>
    <t>Resistor 2pin 470 ohm-771340</t>
  </si>
  <si>
    <t>469-968 - (IE : 110115C)</t>
  </si>
  <si>
    <t>DB15 BLACKSHELL (BLACK)</t>
  </si>
  <si>
    <t>PO1808-42223-LRT</t>
  </si>
  <si>
    <t>MALE ELBOW (GREEN)</t>
  </si>
  <si>
    <t>MALE ELBOW-CHINA</t>
  </si>
  <si>
    <t>D</t>
  </si>
  <si>
    <t>Others/Vulcanised rubber with fitting</t>
  </si>
  <si>
    <t>PO1507-17201-LRT</t>
  </si>
  <si>
    <t>PL04M5C</t>
  </si>
  <si>
    <t>ELBOW M4 - CHINA (BLUE)</t>
  </si>
  <si>
    <t>Elbow compact M4-china</t>
  </si>
  <si>
    <t>PO1607-26936-LRT</t>
  </si>
  <si>
    <t>Elbow</t>
  </si>
  <si>
    <t>Elbow (BLACK)</t>
  </si>
  <si>
    <t>PL 04M5C (BLACK)</t>
  </si>
  <si>
    <t>MALE ELBOW (BLACK)</t>
  </si>
  <si>
    <t>PL08</t>
  </si>
  <si>
    <t>ELBOW M8</t>
  </si>
  <si>
    <t>PL10</t>
  </si>
  <si>
    <t>ELBOW M10</t>
  </si>
  <si>
    <t>ELBOW PL08</t>
  </si>
  <si>
    <t xml:space="preserve">ELBOW </t>
  </si>
  <si>
    <t>PL0601</t>
  </si>
  <si>
    <t>Sanga Male Elbow</t>
  </si>
  <si>
    <t>PO1607-26064-LRT</t>
  </si>
  <si>
    <t>PC 06-01</t>
  </si>
  <si>
    <t>SANG A 6 TO 1_8 PT STRAIGHT</t>
  </si>
  <si>
    <t>PC10-02</t>
  </si>
  <si>
    <t>10MM STRAIGHT FITTING</t>
  </si>
  <si>
    <t>PL06M6</t>
  </si>
  <si>
    <t>ELBOW</t>
  </si>
  <si>
    <t>PL-0601-C</t>
  </si>
  <si>
    <t>MALE RUN TEE</t>
  </si>
  <si>
    <t>KQ2Y08-G02A</t>
  </si>
  <si>
    <t>MALE CONNECTOR</t>
  </si>
  <si>
    <t>GWL8-8</t>
  </si>
  <si>
    <t>One-Touch Couplings GWL R1/4</t>
  </si>
  <si>
    <t>PC5_32-U10MU</t>
  </si>
  <si>
    <t>Straight Fitting - PISCO TUBE FITTING MINI TYPR STRAIGHT</t>
  </si>
  <si>
    <t>PC04-M3C - (SMC : KQ2H04-M3G)</t>
  </si>
  <si>
    <t>MALE STRAIGHT - (EQUIVALENT : SMC 4MM X M3 STRAIGHT FITTING)</t>
  </si>
  <si>
    <t>PO1812-44762-LRT</t>
  </si>
  <si>
    <t>PC4M5</t>
  </si>
  <si>
    <t>Push Lock Fitting</t>
  </si>
  <si>
    <t>PC4M5D</t>
  </si>
  <si>
    <t>Tube Connector</t>
  </si>
  <si>
    <t>PL0401C</t>
  </si>
  <si>
    <t>COMPACT MALE ELBOW M4</t>
  </si>
  <si>
    <t>PL0401C (4)</t>
  </si>
  <si>
    <t>PL0401C SANG-A</t>
  </si>
  <si>
    <t>PC401D</t>
  </si>
  <si>
    <t>PC4-01 Fitting (black)</t>
  </si>
  <si>
    <t>PC401</t>
  </si>
  <si>
    <t>Single Touch Fitting</t>
  </si>
  <si>
    <t>PO2008-59018-LRT</t>
  </si>
  <si>
    <t>PL06M5</t>
  </si>
  <si>
    <t>PL-06M5</t>
  </si>
  <si>
    <t>SANGA</t>
  </si>
  <si>
    <t>Missing "-"</t>
  </si>
  <si>
    <t>ELBOW M6</t>
  </si>
  <si>
    <t>PO1503-14669-LRT</t>
  </si>
  <si>
    <t>PL06-M5-C</t>
  </si>
  <si>
    <t>ELBOW - PL06-M5-C</t>
  </si>
  <si>
    <t>BARB ELBOW FOR SOFT NYLON</t>
  </si>
  <si>
    <t>PL06M5-C</t>
  </si>
  <si>
    <t>ELBOW RUBBER GREEN</t>
  </si>
  <si>
    <t>PO1604-24199-LRT</t>
  </si>
  <si>
    <t>ELBOW SANG -A BLACK</t>
  </si>
  <si>
    <t>FITTING PL-C MALE ELBOW</t>
  </si>
  <si>
    <t>ITTING PL-C MALE ELBOW</t>
  </si>
  <si>
    <t>COMPACT ONE- TOUCH FI</t>
  </si>
  <si>
    <t>PL-10-04</t>
  </si>
  <si>
    <t>MA;E ELBOW FITTING</t>
  </si>
  <si>
    <t>MALE ELBOW FITTING</t>
  </si>
  <si>
    <t>PL0401</t>
  </si>
  <si>
    <t>ELBOW M4</t>
  </si>
  <si>
    <t>KQ2L08-G02A</t>
  </si>
  <si>
    <t>PL08-02</t>
  </si>
  <si>
    <t>ELBOW FITTINGS 8MM TUBE X 1/4"</t>
  </si>
  <si>
    <t>PO1602-22042-LRT</t>
  </si>
  <si>
    <t>GWL 6-8</t>
  </si>
  <si>
    <t>Single Elbow GWL R1/4</t>
  </si>
  <si>
    <t>PO1910-52425-LRT</t>
  </si>
  <si>
    <t>GWL 6-6-2T</t>
  </si>
  <si>
    <t>2 Port Tuem Elbow</t>
  </si>
  <si>
    <t>SLW-6S</t>
  </si>
  <si>
    <t>LW-6S Series 1/8 - High Noise Reduction, Compact Type</t>
  </si>
  <si>
    <t>PY04 (WHITE)</t>
  </si>
  <si>
    <t>Y-JOINT</t>
  </si>
  <si>
    <t>Y-JOINT (WHITE)</t>
  </si>
  <si>
    <t>PY04 (BLUE)</t>
  </si>
  <si>
    <t>PY04 (BLACK)</t>
  </si>
  <si>
    <t>Y JOINT</t>
  </si>
  <si>
    <t>10, 11</t>
  </si>
  <si>
    <t>PY08 - 10</t>
  </si>
  <si>
    <t>Y-JOINT (M8 TO M10)</t>
  </si>
  <si>
    <t>PV8D</t>
  </si>
  <si>
    <t>PV8 Fitting (black)</t>
  </si>
  <si>
    <t>PO2002-55190-LRT</t>
  </si>
  <si>
    <t>PY06 (BLACK)</t>
  </si>
  <si>
    <t>PY06 (BLUE)</t>
  </si>
  <si>
    <t>PY3.2 (7/8)</t>
  </si>
  <si>
    <t>PY-10</t>
  </si>
  <si>
    <t>UNION Y - M10</t>
  </si>
  <si>
    <t>UNION Y -M10</t>
  </si>
  <si>
    <t>PY06 - 08</t>
  </si>
  <si>
    <t>Y-JOINT (M6 TO M8)</t>
  </si>
  <si>
    <t>DOUBLE Y JOINT</t>
  </si>
  <si>
    <t>PY04 - 06</t>
  </si>
  <si>
    <t>Y-JOINT (M4 TO M6)</t>
  </si>
  <si>
    <t>PY06 (WHITE)</t>
  </si>
  <si>
    <t>PUT04-04</t>
  </si>
  <si>
    <t>T-JOINT M4 TO M4</t>
  </si>
  <si>
    <t>PUL12</t>
  </si>
  <si>
    <t>T-JOINT / UNION ELBOW</t>
  </si>
  <si>
    <t>PUT06-06-VAC</t>
  </si>
  <si>
    <t>TEE JOINT M6 (1)</t>
  </si>
  <si>
    <t>17, 18</t>
  </si>
  <si>
    <t>TEE JOINT M6 (2)</t>
  </si>
  <si>
    <t>PG06-04</t>
  </si>
  <si>
    <t>REDUCER 6MM TO 4MM</t>
  </si>
  <si>
    <t>PG08-06</t>
  </si>
  <si>
    <t>REDUCER M8-M6</t>
  </si>
  <si>
    <t>REDUCER 8MM TYO 6MM</t>
  </si>
  <si>
    <t>NSF04</t>
  </si>
  <si>
    <t>SPEED CONTROLLER / FLOW CONTROL</t>
  </si>
  <si>
    <t>PO1702-30559-LRT</t>
  </si>
  <si>
    <t>PSA4</t>
  </si>
  <si>
    <t>AIR FLOW CONTROL VALVE</t>
  </si>
  <si>
    <t>PSA6</t>
  </si>
  <si>
    <t>PO2010-60726-LRT</t>
  </si>
  <si>
    <t>NSE04M5C</t>
  </si>
  <si>
    <t>SPEED CONTROLLER (WHITE)</t>
  </si>
  <si>
    <t>PO1411-12286-LRT</t>
  </si>
  <si>
    <t>SPEED CONTROLLER BLACK</t>
  </si>
  <si>
    <t>SPEED CONTROLLER (BLACK)</t>
  </si>
  <si>
    <t>SCL2-04-H44</t>
  </si>
  <si>
    <t>Speed control valve Line type with push-in fitting SCL2</t>
  </si>
  <si>
    <t>NSE06-01</t>
  </si>
  <si>
    <t>ELBOW SPEED CONTROLLER M6</t>
  </si>
  <si>
    <t>NSE 04M5</t>
  </si>
  <si>
    <t>ELBOW SPEED CONTROLLER M4</t>
  </si>
  <si>
    <t>PO1911-52762-LRT</t>
  </si>
  <si>
    <t>SCL2-06-H66</t>
  </si>
  <si>
    <t>SPEED CONTROLLER</t>
  </si>
  <si>
    <t>SC3W-6-8</t>
  </si>
  <si>
    <t>Speed Control Valve Elbow</t>
  </si>
  <si>
    <t>SC3W-6-6-I</t>
  </si>
  <si>
    <t>Speed Control Valve Elbow Type with Push in Joint</t>
  </si>
  <si>
    <t>PSC06 - 01A</t>
  </si>
  <si>
    <t>ELBOW SPEED CONTROLLER</t>
  </si>
  <si>
    <t>NSE06M5C</t>
  </si>
  <si>
    <t>NSF06</t>
  </si>
  <si>
    <t>SPEED CONTROLLER/ FLOW CONTROL</t>
  </si>
  <si>
    <t>PO1608-27239-LRT</t>
  </si>
  <si>
    <t>NSE06M5C (WHITE)</t>
  </si>
  <si>
    <t>NSF08</t>
  </si>
  <si>
    <t>JSC6-02A</t>
  </si>
  <si>
    <t>SC3W-8-6</t>
  </si>
  <si>
    <t>PO1910-62425-LRT</t>
  </si>
  <si>
    <t>NSE 04-01</t>
  </si>
  <si>
    <t>FLOW CONTROL</t>
  </si>
  <si>
    <t>PO1510-19233-LRT</t>
  </si>
  <si>
    <t>AS1001F-04</t>
  </si>
  <si>
    <t>PO1612-29539-LRT</t>
  </si>
  <si>
    <t>RBF4U</t>
  </si>
  <si>
    <t>BARB FITTING</t>
  </si>
  <si>
    <t>PUT 08</t>
  </si>
  <si>
    <t>PUT06-04</t>
  </si>
  <si>
    <t>TEE JOINT M6-M4</t>
  </si>
  <si>
    <t xml:space="preserve">Union Tee - Pisco Tube Fitting Mini Union Tee  PE4M/5/32 </t>
  </si>
  <si>
    <t>UNION TEE</t>
  </si>
  <si>
    <t>PGJ04</t>
  </si>
  <si>
    <t>PLUG-IN REDUCER M4</t>
  </si>
  <si>
    <t>PG08-04</t>
  </si>
  <si>
    <t>REDUCER M8-M4</t>
  </si>
  <si>
    <t>PG04-04</t>
  </si>
  <si>
    <t>REDUCER M4-M4</t>
  </si>
  <si>
    <t>POC 06M5C</t>
  </si>
  <si>
    <t>ROUND (M) STR WITH BLACK RUBBER</t>
  </si>
  <si>
    <t>PO2003-55820-LRT</t>
  </si>
  <si>
    <t>POC06M5C (BLUE)</t>
  </si>
  <si>
    <t>ROUND MALE FITTING BLUE RUBBER</t>
  </si>
  <si>
    <t>POC06M5C</t>
  </si>
  <si>
    <t>ROUND MALE FITTING</t>
  </si>
  <si>
    <t>POC06M5C-GREEN RUBBER</t>
  </si>
  <si>
    <t>ROUND (M) STRAIGHT WITH GREEN COLOUR</t>
  </si>
  <si>
    <t>PC04M5-BLACK</t>
  </si>
  <si>
    <t>ROTARY ONE TOUCH FITTING</t>
  </si>
  <si>
    <t>PO1910-52390-LRT</t>
  </si>
  <si>
    <t>M-5HL-6</t>
  </si>
  <si>
    <t>M-MINIATURE FITTING</t>
  </si>
  <si>
    <t>KQ2S08-02</t>
  </si>
  <si>
    <t>KQ2 FITTING KQ2 8MM FITTING, MALE CONN W/ HEX HOLE</t>
  </si>
  <si>
    <t>KJH-04M5C</t>
  </si>
  <si>
    <t>SML FITTING (GOLD)</t>
  </si>
  <si>
    <t>SMC FITTING (SILVER)</t>
  </si>
  <si>
    <t>M-01H-6</t>
  </si>
  <si>
    <t>M-01H-6 fitting, hose nipple</t>
  </si>
  <si>
    <t>PO1911-53000-LRT</t>
  </si>
  <si>
    <t>HOSE NIPPLE</t>
  </si>
  <si>
    <t>M-5H-6</t>
  </si>
  <si>
    <t>M-5B</t>
  </si>
  <si>
    <t>M- SERIES BUSHING</t>
  </si>
  <si>
    <t>M-SERIES BUSHING</t>
  </si>
  <si>
    <t>POC04M5C</t>
  </si>
  <si>
    <t>PC04M5 (Blue)</t>
  </si>
  <si>
    <t xml:space="preserve">ROUND MALE FITTING BLUE </t>
  </si>
  <si>
    <t>KJH-06M5C</t>
  </si>
  <si>
    <t>SMC FITTING</t>
  </si>
  <si>
    <t>STRAIGHT FITTING R1/8</t>
  </si>
  <si>
    <t>GWP 88-C</t>
  </si>
  <si>
    <t>C TYPE PLUG</t>
  </si>
  <si>
    <t>GWP 66-C</t>
  </si>
  <si>
    <t>PMM06C</t>
  </si>
  <si>
    <t>BULKHEAD (BLACK)</t>
  </si>
  <si>
    <t>BULKHEAD (BLUE)</t>
  </si>
  <si>
    <t>PMM 06C</t>
  </si>
  <si>
    <t>Bulk Head-06CM  - (Bulkhead Union-( Petra : PM6)</t>
  </si>
  <si>
    <t>PO1908-50688-LRT</t>
  </si>
  <si>
    <t xml:space="preserve">BULKHEAD </t>
  </si>
  <si>
    <t>BULKHEAD</t>
  </si>
  <si>
    <t>BULKHEAD  UNION</t>
  </si>
  <si>
    <t>BULKHEAD UNION</t>
  </si>
  <si>
    <t>PMM 08</t>
  </si>
  <si>
    <t>Bulkhead Union</t>
  </si>
  <si>
    <t>PO2004-56124-LRT</t>
  </si>
  <si>
    <t>PASRT NO. SAME AS LOCATION D35 &amp; DIFFERENCE COLOUR</t>
  </si>
  <si>
    <t>PMM04C</t>
  </si>
  <si>
    <t>PASRT NO. SAME AS LOCATION D37 &amp; DIFFERENCE COLOUR</t>
  </si>
  <si>
    <t>CQ2B20-40DC</t>
  </si>
  <si>
    <t>MALE ELBOW</t>
  </si>
  <si>
    <t>ELBOW M4-sang A</t>
  </si>
  <si>
    <t>Elbow compact M4-sang A</t>
  </si>
  <si>
    <t>PO1901-45449</t>
  </si>
  <si>
    <t>GWL 6- 8</t>
  </si>
  <si>
    <t>Single Elbow GWL R1/4 6mm</t>
  </si>
  <si>
    <t>1705-000445</t>
  </si>
  <si>
    <t>W-0.15; OD-1.45; L-7.50; P-0.50</t>
  </si>
  <si>
    <t>COIL SPRING</t>
  </si>
  <si>
    <t>PO1706-32941-LRT</t>
  </si>
  <si>
    <t>1505-0023-0010</t>
  </si>
  <si>
    <t>W-0.15; OD-3; L-3; P-0.70</t>
  </si>
  <si>
    <t>CENTER PLATE SPRING FLOAT</t>
  </si>
  <si>
    <t>PO1505-16046-LRT</t>
  </si>
  <si>
    <t>1506-0040-0023 REV1</t>
  </si>
  <si>
    <t>W-0.15; OD-1.50; L-10; P-0.71</t>
  </si>
  <si>
    <t xml:space="preserve">COIL SPRING REV1 </t>
  </si>
  <si>
    <t>W-0.20; OD-1.85; L-11.50; P-0.90</t>
  </si>
  <si>
    <t>SPRING</t>
  </si>
  <si>
    <t>W-0.20; OD-1.50; L-10; P-0.71</t>
  </si>
  <si>
    <t>MU COIL SPRING-FIXED</t>
  </si>
  <si>
    <t>W-0.20; OD-2.20; L-3; P-0.80</t>
  </si>
  <si>
    <t>SPRING PRESS ROD_WGMT</t>
  </si>
  <si>
    <t>W-0.20; OD-2.20; L-4; P-0.80</t>
  </si>
  <si>
    <t>1608-000116</t>
  </si>
  <si>
    <t>Press Rod Spring HL</t>
  </si>
  <si>
    <t>PO1811-44076-LRT</t>
  </si>
  <si>
    <t>1808-002246</t>
  </si>
  <si>
    <t>SPRING PRESS ROD WGMT R8-3</t>
  </si>
  <si>
    <t>PO1809-43055-LRT</t>
  </si>
  <si>
    <t>1803-001783</t>
  </si>
  <si>
    <t>DUT CABLE PROTECTOR SPRING</t>
  </si>
  <si>
    <t>PO1810-43163-LRT</t>
  </si>
  <si>
    <t>1605-000038</t>
  </si>
  <si>
    <t>PRESS RED SPRING</t>
  </si>
  <si>
    <t>PO1605-00038-LRT</t>
  </si>
  <si>
    <t>1809-003413</t>
  </si>
  <si>
    <t>SPRING TOP ANT</t>
  </si>
  <si>
    <t>PO1810-43168-LRT</t>
  </si>
  <si>
    <t>SAME PART NO. AS NO.2392 &amp; DIFFERENT PARTS</t>
  </si>
  <si>
    <t>SWM8-20</t>
  </si>
  <si>
    <t>Misumi Malaysia</t>
  </si>
  <si>
    <t>Coil Springs-SWM</t>
  </si>
  <si>
    <t xml:space="preserve">GAS SPRING </t>
  </si>
  <si>
    <t>SWC20-65</t>
  </si>
  <si>
    <t>Spring</t>
  </si>
  <si>
    <t>LRT+FAB 1505-0023-0011</t>
  </si>
  <si>
    <t>Center Plate Spring Float 2 , OD : 3.00mm , Wire : 0.3mm , Pitch : 1.1mm , Length : 3.00mm *Compress Finish L = Below 1.0</t>
  </si>
  <si>
    <t>PO1802-38374-LRT</t>
  </si>
  <si>
    <t>S20 LRT/FAB 1506-0040-0020</t>
  </si>
  <si>
    <t>EN (LG02990) 2.0x0.3x11.0_Mu Coil Spring-Fixed</t>
  </si>
  <si>
    <t>PO1605-24896-LRT</t>
  </si>
  <si>
    <t>W-0.30; OD-2.80; L-18; P-1.50</t>
  </si>
  <si>
    <t>SPRING GUIDE PIN 2</t>
  </si>
  <si>
    <t>LRT/FAB 1202-0046-0011</t>
  </si>
  <si>
    <t>Spring OD2.4~OD  :Ø2.4 x W  :Ø0.3 x P : 1 x L : 5 x G : No</t>
  </si>
  <si>
    <t>PO1610-28096-LRT</t>
  </si>
  <si>
    <t>S21 LRT/FAB 1506-0040-0021</t>
  </si>
  <si>
    <t>EN (LG02990) 1.6x0.25x15_Mu Coil Spring-Fixed</t>
  </si>
  <si>
    <t>1506-0041-0060 REV1</t>
  </si>
  <si>
    <t>W-0.40; OD-4; L-13; P-1.90</t>
  </si>
  <si>
    <t>MU COIL SPRING-FREE STATE</t>
  </si>
  <si>
    <t>W-0.40</t>
  </si>
  <si>
    <t>W-0.40; OD-5; L-15; P-3</t>
  </si>
  <si>
    <t>SPRING PRESS ROD</t>
  </si>
  <si>
    <t>W-0.40; OD-3; L-18; P-1.50</t>
  </si>
  <si>
    <t>1509-0017-2009</t>
  </si>
  <si>
    <t>W-0.40; OD-4; L-12; P-2.20</t>
  </si>
  <si>
    <t>SPRING RFEM PRESS</t>
  </si>
  <si>
    <t>PO1604-23975-LRT</t>
  </si>
  <si>
    <t>1509-0028-0054</t>
  </si>
  <si>
    <t>W-0.40; OD-5.40; L-18.50; P-2</t>
  </si>
  <si>
    <t>ROLLER SPRING</t>
  </si>
  <si>
    <t>PO1607-26044-LRT</t>
  </si>
  <si>
    <t>1509-0027-0056</t>
  </si>
  <si>
    <t>W-0.40; OD-2.80; L-16; P-2</t>
  </si>
  <si>
    <t>PRESS ROD SPRING</t>
  </si>
  <si>
    <t>PO1708-34392-LRT</t>
  </si>
  <si>
    <t>2804-3002</t>
  </si>
  <si>
    <t>W-0.40; ID-4.20; L-43; P-3</t>
  </si>
  <si>
    <t>SPRING DUT TRAY WIFI</t>
  </si>
  <si>
    <t>PO1708-34365-LRT</t>
  </si>
  <si>
    <t>LRT/FAB 1509-0029-0046</t>
  </si>
  <si>
    <t>Spring-DB9~OD : 2.8 x W : 0.4 x L : 12 x P " 1.5 x G : Yes</t>
  </si>
  <si>
    <t>PO1602-22563-LRT</t>
  </si>
  <si>
    <t>LRT/FAB 1501-0038-0070</t>
  </si>
  <si>
    <t>Spring-Nest Float~OD : 6.2 x W : 0.5 x L : 15 x P : 3 x G : Yes</t>
  </si>
  <si>
    <t>PO1701-30057-LRT</t>
  </si>
  <si>
    <t>1704-000327</t>
  </si>
  <si>
    <t>W-0.50; OD-3.30; L-10; P-2</t>
  </si>
  <si>
    <t>COMPRESS SPRING</t>
  </si>
  <si>
    <t>PO1706-32823-LRT</t>
  </si>
  <si>
    <t>LRT/FAB 1212-0072-0002</t>
  </si>
  <si>
    <t>Press Pad Spring~OD : 5 x W : 0.5 x L : 15 x P : 3</t>
  </si>
  <si>
    <t>PO1612-29523-LRT</t>
  </si>
  <si>
    <t>1501-0038-0042</t>
  </si>
  <si>
    <t>W-0.50; OD-5; L-15; P-2</t>
  </si>
  <si>
    <t>PRESS PAD SPRING SPIRAL RA</t>
  </si>
  <si>
    <t>LRT/FAB 1309-0016-0007</t>
  </si>
  <si>
    <t>Spring-Ground~OD : 3.3-3.4 x W : 0.5 x L : 8 x P : 2 x G : No</t>
  </si>
  <si>
    <t>PO1606-25829-LRT</t>
  </si>
  <si>
    <t>LRT/FAB 1202-0046-0010</t>
  </si>
  <si>
    <t>Compress Spring 1~OD : Ø6 x W  :Ø0.5 x P : 2.5 x L : 12 x G : No</t>
  </si>
  <si>
    <t>LRT/FAB 1205-0049-9001</t>
  </si>
  <si>
    <t>Compress Spring 1~W : 0.5 x OD : 6 x L : 13 x P : 2.5</t>
  </si>
  <si>
    <t>LRT/FAB 2804-3005</t>
  </si>
  <si>
    <t>Stopper Spring~OD : 6.2 +0.1 x W : 0.5 x L : 12.5 x P : 2.5 x G : No</t>
  </si>
  <si>
    <t>PO1701-29797-LRT</t>
  </si>
  <si>
    <t>1709-000774</t>
  </si>
  <si>
    <t>Hinge Spring - OD=3.0MM , Wire dia = 0.5mm , Pitch  = 1.0mm , Length = 6.0mm</t>
  </si>
  <si>
    <t>PO1710-35378-LRT</t>
  </si>
  <si>
    <t>1709-000775</t>
  </si>
  <si>
    <t>Hook Spring - OD=3.9mm,Wire dia = 0.5mm , Pitch = 1.5mm, Length = 6.5mm</t>
  </si>
  <si>
    <t>LRT/FAB 1509-0028-0032</t>
  </si>
  <si>
    <t>GROUND PIN SPRING</t>
  </si>
  <si>
    <t>LRT/FAB 1203-0053-1005</t>
  </si>
  <si>
    <t>S05iSpring Locking Screw - Wire=0.50mm, ID=5.10mm, Length=12.0mm , Pitch=2.00</t>
  </si>
  <si>
    <t>PO1706-32880-LRT</t>
  </si>
  <si>
    <t>LRT/FAB 1506-0038-0060</t>
  </si>
  <si>
    <t>Spring_3 x 10 x 0.5 MU coil_RATE</t>
  </si>
  <si>
    <t>PO1511-20410-LRT</t>
  </si>
  <si>
    <t>LRT/FAB 0016-1003</t>
  </si>
  <si>
    <t>S04-Spring Small - Wire=0.50mm,ID=3.50mm, Length=7.0mm,Pitch=2.00mm, Drind Both Size</t>
  </si>
  <si>
    <t>1504-0019-0059 REV2</t>
  </si>
  <si>
    <t>W-0.50; OD-8; L-7; P-3</t>
  </si>
  <si>
    <t>SPRING TRIGGER BOTTOM</t>
  </si>
  <si>
    <t>W-0.50 ; ID5.20</t>
  </si>
  <si>
    <t>W-0.50; ID-5.20; L-36; P-1.50</t>
  </si>
  <si>
    <t>W-0.50; ID-4.10; L-14.50; P-2.70</t>
  </si>
  <si>
    <t>LRT/FAB 1504-0046-3039</t>
  </si>
  <si>
    <t>W-0.50; OD-3.80; L-5.50; P-1</t>
  </si>
  <si>
    <t>LRT/FAB 1304-0127-0016 Rev3</t>
  </si>
  <si>
    <t>W-0.50; OD-5; L-15; P-2.50</t>
  </si>
  <si>
    <t>SPRING PRESS PAD REV2</t>
  </si>
  <si>
    <t>W-0.50</t>
  </si>
  <si>
    <t>W-0.50; OD-3.50; L-7; P-1.50</t>
  </si>
  <si>
    <t>W-0.50; 0D-6; L-13; P-2</t>
  </si>
  <si>
    <t>SPRING 1</t>
  </si>
  <si>
    <t>LRT/FAB 1509-0031-0034</t>
  </si>
  <si>
    <t>PO1809-42879-LRT</t>
  </si>
  <si>
    <t>1608-000068</t>
  </si>
  <si>
    <t>Mu Cail Spring Fixed State</t>
  </si>
  <si>
    <t>PO1802-38153-LRT</t>
  </si>
  <si>
    <t>1705-000482</t>
  </si>
  <si>
    <t xml:space="preserve">SPRING TRIGGER PLATE </t>
  </si>
  <si>
    <t>PO1803-39090-LRT</t>
  </si>
  <si>
    <t>1807-002058</t>
  </si>
  <si>
    <t xml:space="preserve">SPRING HINGA </t>
  </si>
  <si>
    <t>PO1808-41915-LRT</t>
  </si>
  <si>
    <t>1712-001324</t>
  </si>
  <si>
    <t>PRESS PAD SPRING</t>
  </si>
  <si>
    <t>Press Pad Spring  - OD : 5.00mm , Wire : 0.60mm Length : 15.00mm, Pitch : 3.00mm ,Grind Both Side : Yes</t>
  </si>
  <si>
    <t>PO2007-58212-LRT</t>
  </si>
  <si>
    <t>2006-005459</t>
  </si>
  <si>
    <t>VACUUM PAD SPRING</t>
  </si>
  <si>
    <t>PO2007-58213-LRT</t>
  </si>
  <si>
    <t>LRT/FAB 0973-3001</t>
  </si>
  <si>
    <t>spring dut tray~L : 47 x Outer : 5.90-0.2 x W : 0.6 x P : 2.4 x G : Yes</t>
  </si>
  <si>
    <t>PO1611-28945-LRT</t>
  </si>
  <si>
    <t>LRT/FEB 1410-0025-0035 Rev2</t>
  </si>
  <si>
    <t>Press Pad Spring Rev2 - OD=5.00mm, Wire=0.60mm, Length= 15.00mm, Pitch=3.00mm, Grind both side : Yes</t>
  </si>
  <si>
    <t>PO1706-32914-LRT</t>
  </si>
  <si>
    <t>LRT/FAB 0056-1001</t>
  </si>
  <si>
    <t>Spring Hirose~ID : 4.2 x W : 0.6 x P : 2 x L : 12 x G : No</t>
  </si>
  <si>
    <t>PO1510-19534-LRT</t>
  </si>
  <si>
    <t>LRT/FAB 0056-1002</t>
  </si>
  <si>
    <t>Spring Hirose~ID : 4.6 x W : 0.6 x P : 2 x L : 8 x G : No</t>
  </si>
  <si>
    <t>LRT/FIX 1406-0036-1025 Rev2</t>
  </si>
  <si>
    <t>Spring-DUT Tray-wifi Rev2~OD : 6 x WD : 0.6 x P : 3 x L : 55 x G : Yes</t>
  </si>
  <si>
    <t>PO1608-27225-LRT</t>
  </si>
  <si>
    <t>LRT/FAB 0016-1004</t>
  </si>
  <si>
    <t>S04-Lock Spring - Wire=0.60mm, ID=4.20mm, Length=7.50mm, Pitch=2.00mm, Grind Both Size</t>
  </si>
  <si>
    <t>LRT/FAB 1309-0015-0006</t>
  </si>
  <si>
    <t>W-0.60; OD-5; L-16.50; P-3</t>
  </si>
  <si>
    <t>LRT/FAB 1510-0039+0005</t>
  </si>
  <si>
    <t>W-0.60; OD-5; L-15.40; P-1.60</t>
  </si>
  <si>
    <t>PRESS PAD SPRING NEW</t>
  </si>
  <si>
    <t>1504-0046-0033</t>
  </si>
  <si>
    <t>W-0.60; OD-5.40; L-12; P-2</t>
  </si>
  <si>
    <t>PRESS DOWN PIN SPRING</t>
  </si>
  <si>
    <t>LRT/FAB 1501-0038-0058</t>
  </si>
  <si>
    <t>W-0.60; OD-8; L-8; P-2.30</t>
  </si>
  <si>
    <t>W-0.60</t>
  </si>
  <si>
    <t>W-0.60; OD-3.50; L-7; P-1.50</t>
  </si>
  <si>
    <t>1712-001354</t>
  </si>
  <si>
    <t>Compress Spring Sierra Low Link Rev4 WD : 0.60mm , OD 4.92mm , Pitch :3mm , Length : 25.00mm</t>
  </si>
  <si>
    <t>PO1803-38496-LRT</t>
  </si>
  <si>
    <t>1804-01815</t>
  </si>
  <si>
    <t>RX NEST SPRING</t>
  </si>
  <si>
    <t>PO1804-39821-LRT</t>
  </si>
  <si>
    <t>1710-000828</t>
  </si>
  <si>
    <t>PO1804-39925-LRT</t>
  </si>
  <si>
    <t>LRT/FAB 1509-0029-0041</t>
  </si>
  <si>
    <t>Spring - OD dia = 6.0mm , Wire dia - 0.90mm, Length = 2.0, Pitch = 2.0. Grind Both Side</t>
  </si>
  <si>
    <t>PO1809-42496-LRT</t>
  </si>
  <si>
    <t>1712-001261</t>
  </si>
  <si>
    <t>Nest Pusher Spring. OD : Diameter 6mm , Wire Diameter : 0.80mm , Kenght : 18.00mm , Pitch : 2.16mm</t>
  </si>
  <si>
    <t>PO1712-37257-LRT</t>
  </si>
  <si>
    <t>1712-001266</t>
  </si>
  <si>
    <t>DOCKING SUPPORT SORING MIRROR</t>
  </si>
  <si>
    <t>PO1803-39253-LRT</t>
  </si>
  <si>
    <t>COMPRESS SPRING SIREEA LOW LINK</t>
  </si>
  <si>
    <t>PO1803-38963-LRT</t>
  </si>
  <si>
    <t>1807-002047</t>
  </si>
  <si>
    <t>Spring Dut Tray - Length : 47.00mm, Outer : 5.9mm-0.2, Wire : 0.60mm,Pitch : 2.40mm</t>
  </si>
  <si>
    <t>LRT/FAB 1509-0029-0048</t>
  </si>
  <si>
    <t>SPRING - TOOLING PIN</t>
  </si>
  <si>
    <t>LRT/FAB 1509-0026-0017</t>
  </si>
  <si>
    <t>1810-002449</t>
  </si>
  <si>
    <t>ISC INTERPOSER PRESS SPRING 0.6mm</t>
  </si>
  <si>
    <t>PO1810-43790-LRT</t>
  </si>
  <si>
    <t>1809-002295</t>
  </si>
  <si>
    <t>DUT PRESS PAD SPRING 0.6MM</t>
  </si>
  <si>
    <t>PO1809-42591-LRT</t>
  </si>
  <si>
    <t>1504-0029-0018</t>
  </si>
  <si>
    <t>W-0.70; OD-5; L-15; P-2</t>
  </si>
  <si>
    <t>PO1803-39101-LRT</t>
  </si>
  <si>
    <t>LRT/FAB 1509-0026-0043</t>
  </si>
  <si>
    <t>W-0.70; OD-10; L-19; P-4</t>
  </si>
  <si>
    <t>DUT PRESS PLATE SPRING</t>
  </si>
  <si>
    <t>PO1802-37991-LRT</t>
  </si>
  <si>
    <t>1504-0046-0019</t>
  </si>
  <si>
    <t>W-0.70; OD-9.50; L-29; P-4</t>
  </si>
  <si>
    <t>PO1807-41414-LRT</t>
  </si>
  <si>
    <t>W-0.70</t>
  </si>
  <si>
    <t>W-0.70; OD-4; L-14; P-1.60</t>
  </si>
  <si>
    <t>LRT/FAB 1402-0006-0011</t>
  </si>
  <si>
    <t>Bottom Nest Spring-W0081~ID : 4.4 x L : 14 x W : 0.7 x P : 3 x G : Yes</t>
  </si>
  <si>
    <t>PO1605-24714-LRT</t>
  </si>
  <si>
    <t>LRT/FAB 1509-0031-0025</t>
  </si>
  <si>
    <t>Press Down Pin Spring~OD : 7 x W ; 0.7 x L : 12 x P : 3 x G : Yes</t>
  </si>
  <si>
    <t>PO1603-23455-LRT</t>
  </si>
  <si>
    <t>LRT/FAB 0053-1004</t>
  </si>
  <si>
    <t>S04-Spring Top press plate - Wire=0.70mm, ID=6.20mm , Length=10.0mm, Pitch=2.50mm, Grind Both Size</t>
  </si>
  <si>
    <t>LRT/FAB 0053-1002</t>
  </si>
  <si>
    <t>Spring Board Press - Wire = 0.70mm, OD=6.50mm, Length=13.5mm, Pitch=3.00mm, Drind Both Size</t>
  </si>
  <si>
    <t>LRT/FAB 1504-0019-0063</t>
  </si>
  <si>
    <t>spring-Trigger Bottom- OD : 7.80mm, Wire : 0.70mm, Pitch : 2.50mm, Length : 15.00mm, Grind Both Side : Yes</t>
  </si>
  <si>
    <t>PO1707-33808-LRT</t>
  </si>
  <si>
    <t>LRT/FAB 1504-0046-0019</t>
  </si>
  <si>
    <t>DUT PRESS PLATE SPRING - OD : 9.50MM , WIRE : 0.70MM , LENGTH : 29.00MM , PITCH : 4.00MM, GRIND BOTH SIDE : YES</t>
  </si>
  <si>
    <t>PO1708-34560-LRT</t>
  </si>
  <si>
    <t>LRT/FAB 1604-0010-0038</t>
  </si>
  <si>
    <t>Dut Press Plate Spring - OD : 9.50mm , Wire : 0.70mm , Lenght : 27.50mm , Pitch : 4.00mm , Grind Bothside : Yes</t>
  </si>
  <si>
    <t>PO1707-33404-LRT</t>
  </si>
  <si>
    <t>LRT/FAB 1504-0029-0018</t>
  </si>
  <si>
    <t>Press Pad Spring Spiral RA-0.7~OD : 5 x W : 0.7 x L : 15 x P : 2 x G : Yes</t>
  </si>
  <si>
    <t>PO1603-23276-LRT</t>
  </si>
  <si>
    <t>1712-001284</t>
  </si>
  <si>
    <t>DUT CLAMP SPRING , OD : DIAMETER 7.4MM , WIRE DIAMETER : 0.70MM , LENGTH : 20.00MM, PITCH : 2.64MM</t>
  </si>
  <si>
    <t>SPRING BOARD PRESS</t>
  </si>
  <si>
    <t>W-0.70; OD-5.50; L-11.50; P-2.80</t>
  </si>
  <si>
    <t>1705-000483</t>
  </si>
  <si>
    <t>1809-002394</t>
  </si>
  <si>
    <t>JUPITER TEST DUT SPRING</t>
  </si>
  <si>
    <t>PO1809-43162-LRT</t>
  </si>
  <si>
    <t>LRT/FAB 1509-0028-0019</t>
  </si>
  <si>
    <t>1609-000132</t>
  </si>
  <si>
    <t xml:space="preserve">PRESS PAD SPRING . OD : 5.00MM , WIRE : 0.70MM , LENGTH : 15.00MM , PITCH </t>
  </si>
  <si>
    <t>LRT/FAB 1412-0006-0014 Rev4</t>
  </si>
  <si>
    <t>COMPRESS SPRING SIERRA LOW LINK REV4 WD : 0.60MM , OD 4.92MM , PITCH :3MM , LENGTH : 25.00MM</t>
  </si>
  <si>
    <t>1804-001876</t>
  </si>
  <si>
    <t xml:space="preserve">DUT PRESS PLATE SPRING </t>
  </si>
  <si>
    <t>1809-002296</t>
  </si>
  <si>
    <t>DUT PRESS PAD SPRING 0.7MM</t>
  </si>
  <si>
    <t>PO1809-42669-LRT</t>
  </si>
  <si>
    <t>1712-001265</t>
  </si>
  <si>
    <t>DOCKING SUPPORT SPRING</t>
  </si>
  <si>
    <t>LRT/FAB 1509-0013-0260</t>
  </si>
  <si>
    <t>W-1.00; OD-13; BL-42.83</t>
  </si>
  <si>
    <t>EXTENSION SPRING</t>
  </si>
  <si>
    <t>SPRING TOOLING PIN</t>
  </si>
  <si>
    <t>W-0.80; OD-9.80; L-17.40; P-2</t>
  </si>
  <si>
    <t>LRT/FAB 1208-0043-1015</t>
  </si>
  <si>
    <t>W-0.80; OD-6.80; L-12.50; P-2.50</t>
  </si>
  <si>
    <t>1021-0338  SPRING</t>
  </si>
  <si>
    <t>PO1601-21472-LRT</t>
  </si>
  <si>
    <t>LRT/FAB 1602-0001-2010</t>
  </si>
  <si>
    <t>PO1607-26449-LRT</t>
  </si>
  <si>
    <t>LRT/FAB 1509-0027-1014</t>
  </si>
  <si>
    <t>Pull Spring Perpendicular End</t>
  </si>
  <si>
    <t>1501-0038-0022</t>
  </si>
  <si>
    <t>W-0.80; OD-4.76; BL-16.75</t>
  </si>
  <si>
    <t>SSE-034B-2 EXT TENSION</t>
  </si>
  <si>
    <t>LRT/TOOL 1509-0037-0004</t>
  </si>
  <si>
    <t>W-1.00; OD-8; L-23; P-3</t>
  </si>
  <si>
    <t>SPRING -DB25 CLAMP</t>
  </si>
  <si>
    <t>W-0.80; OD-4.95; L-12; P-1.30</t>
  </si>
  <si>
    <t>W-0.80; OD-6; L-23; P-3</t>
  </si>
  <si>
    <t>1509-0029-1014</t>
  </si>
  <si>
    <t>W-0.80; ID-6.40; CL-18.60</t>
  </si>
  <si>
    <t>PULL SPRING PERPENDICULAR END</t>
  </si>
  <si>
    <t>SPRING W-0.80</t>
  </si>
  <si>
    <t>W-0.80; OD-6; L-12.70; P-2</t>
  </si>
  <si>
    <t>LRT/FAB 2863-3001</t>
  </si>
  <si>
    <t>W-0.80; OD-6.80; L-5.80; P-2</t>
  </si>
  <si>
    <t>SPRING ANTANNA X9</t>
  </si>
  <si>
    <t>1501-0038-0074</t>
  </si>
  <si>
    <t>W-0.80; OD-4.95; L-12; P-1.80</t>
  </si>
  <si>
    <t>MU COIL SPRING-FIXED STATE</t>
  </si>
  <si>
    <t>LRT/FAB 2582-9004</t>
  </si>
  <si>
    <t>Spring-Scanner Holder~Outer : Ø4.80mm x W : Ø0.8mm x P : 1.90mm x L : 15mm x G : No</t>
  </si>
  <si>
    <t>PO1612-29315-LRT</t>
  </si>
  <si>
    <t>1709-000678</t>
  </si>
  <si>
    <t>PO1811-44201-LRT</t>
  </si>
  <si>
    <t>1608-000021</t>
  </si>
  <si>
    <t>SSE-034B-2 EXT tension</t>
  </si>
  <si>
    <t>PO1802-38278-LRT</t>
  </si>
  <si>
    <t>1809-002297</t>
  </si>
  <si>
    <t>DUT PRESS PAD SPRING 0.8MM</t>
  </si>
  <si>
    <t>PO1809-42691-LRT</t>
  </si>
  <si>
    <t>1509-0029-0041</t>
  </si>
  <si>
    <t>W-0.90; OD-6; L-24.60; P-2</t>
  </si>
  <si>
    <t>W-0.90</t>
  </si>
  <si>
    <t>W-0.90; ID-12.50; L-55; P-2</t>
  </si>
  <si>
    <t>LRT/FAB 1509-0013-0086</t>
  </si>
  <si>
    <t>7.0x0.9x23.00_Mu Coil Spring-Fixed STATE - OD : 7.00mm , Wire : 0.90mm , Length : 23.00mm , Pitch : 2.00mm , Grind Bothside = yes</t>
  </si>
  <si>
    <t>PO1707-34037-LRT</t>
  </si>
  <si>
    <t>LRT/FAB 1509-0027-0041</t>
  </si>
  <si>
    <t>Spring - OD = 6.00mm , Wire = 0.90mm , Pitch = 2.0mm , Length = 21.70mm , Grind Bothside = NO</t>
  </si>
  <si>
    <t>PO1707-34392-LRT</t>
  </si>
  <si>
    <t>LRT/FAB 1502-0016-0026</t>
  </si>
  <si>
    <t>Spring Lock_1~OD : 6 x W : 1 x L : 15 x P : 3 x G : Yes</t>
  </si>
  <si>
    <t>PO1610-28520-LRT</t>
  </si>
  <si>
    <t>1502-0016-0026 REV1</t>
  </si>
  <si>
    <t>W-1.00; OD-6; L-21; P-3</t>
  </si>
  <si>
    <t>SPRING LOCK A</t>
  </si>
  <si>
    <t>W-1.00; BOD-6; COD-4.10; P-15.30</t>
  </si>
  <si>
    <t>1412-0006-0050</t>
  </si>
  <si>
    <t>W-1.00; ID-6.80; L-27.50; P-3.50</t>
  </si>
  <si>
    <t>SPRING FLOAT-MW</t>
  </si>
  <si>
    <t>W-1.00</t>
  </si>
  <si>
    <t>W-1.00; OD-12.50; L-55; P-2</t>
  </si>
  <si>
    <t>LRT/FAB 1504-0029-0017</t>
  </si>
  <si>
    <t>Spring Float_Cap-1.5~OD : 8 x W : 1.5 x L : 28 x P : 4.3 x G : Yes</t>
  </si>
  <si>
    <t>1712-001311</t>
  </si>
  <si>
    <t>SPRING FLOAT MW , WD : 1.00MM, ID : 6.80MM , PITCH : 3.50MM , LENGTH : 27.50MM</t>
  </si>
  <si>
    <t>PRT/FAB 1207-0030-1002</t>
  </si>
  <si>
    <t>S02 Compress Spring</t>
  </si>
  <si>
    <t>PO1702-30504-LRT</t>
  </si>
  <si>
    <t>0026-9002</t>
  </si>
  <si>
    <t>1501-0038-0030</t>
  </si>
  <si>
    <t>W-1.10; OD-8; L-28; P-4.30</t>
  </si>
  <si>
    <t>SPRING FLOAT CAP</t>
  </si>
  <si>
    <t>W-1.2; OD-10.5; L-26.5; P-4.5</t>
  </si>
  <si>
    <t>Spring Float~ID : 12.5 x W : 1.2 x P : 4 x L : 60</t>
  </si>
  <si>
    <t>PO1606-25287-LRT</t>
  </si>
  <si>
    <t>LRT/FAB 1411-0015-0009</t>
  </si>
  <si>
    <t>SPRING FLOAT~ID : 12.5 X W : 1.2 X P : 4 X L : 60</t>
  </si>
  <si>
    <t>S52 LRT/FAB 1506-0040-0052</t>
  </si>
  <si>
    <t>EN (LG02990) 13X1.2X30_MU COIL SPRING</t>
  </si>
  <si>
    <t>S02 COMPRESS SPRING, W1.2, ID6.2, L13, P2</t>
  </si>
  <si>
    <t>SPRING (W-1.20; OD-6.2; L-13 P-2)</t>
  </si>
  <si>
    <t>LRT/FAB 1412-0006-0050</t>
  </si>
  <si>
    <t>SPRING FLOOT MW</t>
  </si>
  <si>
    <t>1608-000029</t>
  </si>
  <si>
    <t>Spring Float Cap- OD dia : 8.00mm, Wire dia : 1.10mm , Length : 28.00mm, Pitch : 4.30mm</t>
  </si>
  <si>
    <t>LRT/FAB 1509-0013-0001</t>
  </si>
  <si>
    <t>8x1.2x15 (W1.2; OD8; L15; P3.15)</t>
  </si>
  <si>
    <t xml:space="preserve">8x1.2x15 </t>
  </si>
  <si>
    <t>CLS-M2.5-1</t>
  </si>
  <si>
    <t>SELF CLINCHING NUT</t>
  </si>
  <si>
    <t>PO1901-45645-LRT</t>
  </si>
  <si>
    <t>CLS-M2.5-2</t>
  </si>
  <si>
    <t>SELF CLINCHING NUTS</t>
  </si>
  <si>
    <t>Others/Nut</t>
  </si>
  <si>
    <t>CLS-632-2</t>
  </si>
  <si>
    <t>Nut, Self-Clinching, 6-32</t>
  </si>
  <si>
    <t>CLS-M2-1</t>
  </si>
  <si>
    <t>Clinching Nut</t>
  </si>
  <si>
    <t>CLS-M3-2</t>
  </si>
  <si>
    <t>Self Clinching Nut -PEM BRAND</t>
  </si>
  <si>
    <t>PO1803-38769-LRT</t>
  </si>
  <si>
    <t>CLS-M3-1</t>
  </si>
  <si>
    <t>PO1912-53596-LRT</t>
  </si>
  <si>
    <t>SELF CLINCHING NUTS (PEM BRAND)</t>
  </si>
  <si>
    <t>CLS-M3-0</t>
  </si>
  <si>
    <t>CLS-M4-1</t>
  </si>
  <si>
    <t xml:space="preserve">SELF CLINCHING NUT- PEM BRAND </t>
  </si>
  <si>
    <t>SELF CLINCHING NUT- NORMAL</t>
  </si>
  <si>
    <t>CLS-M4-2 t-1.5 h-5.4</t>
  </si>
  <si>
    <t>PEM CLS-M4-2 T-1.5 H-5.4</t>
  </si>
  <si>
    <t>PO1711-36073-LRT</t>
  </si>
  <si>
    <t>CLS-M4-1 t-1 h-5.41</t>
  </si>
  <si>
    <t>PO2005-56979-LRT</t>
  </si>
  <si>
    <t>CLS-M5-1 t-1 h-6.35</t>
  </si>
  <si>
    <t>CLS-M5-2 t-1.4 h-6.35</t>
  </si>
  <si>
    <t>CLS-M5-2</t>
  </si>
  <si>
    <t>PO1605-39457-LRT</t>
  </si>
  <si>
    <t>CLS-M5-1</t>
  </si>
  <si>
    <t>VF FASTENING</t>
  </si>
  <si>
    <t>PO-1912-53596LRT</t>
  </si>
  <si>
    <t>SELF CLINCHING NUT (PEM BRAND)</t>
  </si>
  <si>
    <t>CLS-M8-1</t>
  </si>
  <si>
    <t>CLS-M10-1</t>
  </si>
  <si>
    <t>CLINCHING NUT M10 X 1.5</t>
  </si>
  <si>
    <t>PO1911-53200-LRT</t>
  </si>
  <si>
    <t>CLS-M6-1</t>
  </si>
  <si>
    <t>PO1902-46279-LRT</t>
  </si>
  <si>
    <t>CLS-M6-1 t-1.4 H-8.75</t>
  </si>
  <si>
    <t>PO1910-52244-LRT</t>
  </si>
  <si>
    <t>CLS-M6-2</t>
  </si>
  <si>
    <t>PO1803-39457-LRT</t>
  </si>
  <si>
    <t>CLS-440-1</t>
  </si>
  <si>
    <t>PEM SELF CLINCHING NUT</t>
  </si>
  <si>
    <t>PO1805-40294-LRT</t>
  </si>
  <si>
    <t>CLS-440-2</t>
  </si>
  <si>
    <t>PO1611-28985-LRT</t>
  </si>
  <si>
    <t>SDHS</t>
  </si>
  <si>
    <t>4-40 D-SUB HARDWARE HEX STANDOFFS,.195 IN HEX</t>
  </si>
  <si>
    <t>PO1709-35017-LRT</t>
  </si>
  <si>
    <t>SDG450XS</t>
  </si>
  <si>
    <t>4-40 D-SUB HARDWARE JACK SCREW, .45" THREAD. .160" SCREW</t>
  </si>
  <si>
    <t>BSOS-M3-8</t>
  </si>
  <si>
    <t>BLIND THREADED STANDOFFS</t>
  </si>
  <si>
    <t>PO1710-35756-LRT</t>
  </si>
  <si>
    <t>BSOS-M3-6-t1-h4.22</t>
  </si>
  <si>
    <t>BLIND THREADED STANDOFF</t>
  </si>
  <si>
    <t>PO1805-40585-LRT</t>
  </si>
  <si>
    <t>BSOS-M3-16</t>
  </si>
  <si>
    <t>SELF-CLINCHING STANDOFF</t>
  </si>
  <si>
    <t>PO1711-36075-LRT</t>
  </si>
  <si>
    <t>BSOS-M3-12</t>
  </si>
  <si>
    <t>SELF CLINCHING STANDOFFS</t>
  </si>
  <si>
    <t>PO1709-35082-LRT</t>
  </si>
  <si>
    <t>BSOS-M4-6</t>
  </si>
  <si>
    <t>PO1904-47156-LRT</t>
  </si>
  <si>
    <t>BSOS-M4-8</t>
  </si>
  <si>
    <t>PO1911-53010-LRT</t>
  </si>
  <si>
    <t>BSOS-M3-10</t>
  </si>
  <si>
    <t>PO1911-53161-LRT</t>
  </si>
  <si>
    <t>BSO-M4-8ZI</t>
  </si>
  <si>
    <t>Self-Clinching Standoff-BSO-M4-8ZI</t>
  </si>
  <si>
    <t>PO1610-28396-LRT</t>
  </si>
  <si>
    <t>BSO-M4-20Z1</t>
  </si>
  <si>
    <t>BSO-M5-6Z1</t>
  </si>
  <si>
    <t>PO1509-19066-LRT</t>
  </si>
  <si>
    <t>BSO-M5-8ZI</t>
  </si>
  <si>
    <t>Self-Clinching Standoff-BSO-M5-8ZI</t>
  </si>
  <si>
    <t>PO1610-28200-LRT</t>
  </si>
  <si>
    <t>BSO-M5-12ZI</t>
  </si>
  <si>
    <t>Self-Clinching Standoff-BSO-M5-12ZI</t>
  </si>
  <si>
    <t>F-M5-2</t>
  </si>
  <si>
    <t>SELF-CLINCHING FLUSH NUTS</t>
  </si>
  <si>
    <t>CFHC-M4-12</t>
  </si>
  <si>
    <t>CONCEALED HEAD STUD</t>
  </si>
  <si>
    <t>CONCEALED-HEAD STUDS</t>
  </si>
  <si>
    <t>NU38-4</t>
  </si>
  <si>
    <t>Nut Insert M6</t>
  </si>
  <si>
    <t>FHS-632-1</t>
  </si>
  <si>
    <t>CLINCH STUD S.S 632-1</t>
  </si>
  <si>
    <t>PO1901-45752-LRT</t>
  </si>
  <si>
    <t>FHS-M3-6</t>
  </si>
  <si>
    <t>SELF CLINCHING STUD</t>
  </si>
  <si>
    <t>FHS-M4-8</t>
  </si>
  <si>
    <t>SELF CLINCHING STUD -vf fastener</t>
  </si>
  <si>
    <t>SELF CLINCHING STUD- PEM BRAND</t>
  </si>
  <si>
    <t>FHS-M4-5</t>
  </si>
  <si>
    <t>PO2002-55129-LRT</t>
  </si>
  <si>
    <t>FHS-M4-10</t>
  </si>
  <si>
    <t>FHS-M4-12</t>
  </si>
  <si>
    <t>Self Clinching Stud M4</t>
  </si>
  <si>
    <t>FHS-M3-25</t>
  </si>
  <si>
    <t>SELF-CLINCHING THREADED STUDS</t>
  </si>
  <si>
    <t>FHS-M5-15</t>
  </si>
  <si>
    <t>SELF CLINCHING STUDS</t>
  </si>
  <si>
    <t>PO2007-58591-LRT</t>
  </si>
  <si>
    <t>FHS-M5-10</t>
  </si>
  <si>
    <t>SELF CLINCHING STUD (FLUSH HEAD)</t>
  </si>
  <si>
    <t>FHS M5 x 15mm</t>
  </si>
  <si>
    <t>FLUSH HEAD CLINCHING STUD</t>
  </si>
  <si>
    <t>PO1810-43553-LRT</t>
  </si>
  <si>
    <t>FHS M3 x 10mm</t>
  </si>
  <si>
    <t>FHS-M8-15</t>
  </si>
  <si>
    <t>PO1803-39192-LRT</t>
  </si>
  <si>
    <t>FHS-M3-10</t>
  </si>
  <si>
    <t>PO1804-40080-LRT</t>
  </si>
  <si>
    <t>FHS-M3-12</t>
  </si>
  <si>
    <t>FHS-M3-20</t>
  </si>
  <si>
    <t>FHS-M6-15</t>
  </si>
  <si>
    <t>PO1706-32899-LRT</t>
  </si>
  <si>
    <t>FHS-M6-10</t>
  </si>
  <si>
    <t>Self Clinching Studs</t>
  </si>
  <si>
    <t>FHS-M6-18</t>
  </si>
  <si>
    <t>PO1505-15540-LRT</t>
  </si>
  <si>
    <t>FHS-M6-12</t>
  </si>
  <si>
    <t>FHS-M8-12</t>
  </si>
  <si>
    <t>4DR-148260-01 EQDP</t>
  </si>
  <si>
    <t>BLUE CABLE I TO 2</t>
  </si>
  <si>
    <t>EX-11EB</t>
  </si>
  <si>
    <t>EMITTER-PANASONIC SENSOR</t>
  </si>
  <si>
    <t>141-15SMRSM+</t>
  </si>
  <si>
    <t>HFLEX BL CA SMR/SM 15" RoHS Coaxial Cable</t>
  </si>
  <si>
    <t>HFLEX BL CA SMR/SM 15" ROHS</t>
  </si>
  <si>
    <t>1708-34442-LRT</t>
  </si>
  <si>
    <t>DB9 F TO PS 2 CABLE</t>
  </si>
  <si>
    <t>CAT5e</t>
  </si>
  <si>
    <t>RJ45 CROSS OVER RJ45 CABLE BLUE-5MTR</t>
  </si>
  <si>
    <t>WHU18-1836-036</t>
  </si>
  <si>
    <t>Cable; RF; N Male to SMA Male; 36 inches; 18GHz; 50 ohms</t>
  </si>
  <si>
    <t>1804-40076-LRT</t>
  </si>
  <si>
    <t>39M5094 (MPN : 17251-B1-10 )</t>
  </si>
  <si>
    <t>POWER CORD; AC POWER PLUG 3-PINS TO IEC 60320 C13 FEMALE</t>
  </si>
  <si>
    <t>10A-125V-GW-151611</t>
  </si>
  <si>
    <t>P004-006</t>
  </si>
  <si>
    <t>Tripp Lite</t>
  </si>
  <si>
    <t>Cord 18Awg IEC320C14 - 320C13 1.83 Meter (Taiwan)</t>
  </si>
  <si>
    <t>POWER CORD TAIWAN PLUG TO IEC 60320 C13 2 METER</t>
  </si>
  <si>
    <t>09474747104 (digikey : 1195-2280-ND)</t>
  </si>
  <si>
    <t>Harting</t>
  </si>
  <si>
    <t>Cable Mod 8P8C Plug-Plug 500mm</t>
  </si>
  <si>
    <t xml:space="preserve">MODULAR CABLE PLUG TO PLUG 8P8C (RJ45, ETHERNET) </t>
  </si>
  <si>
    <t>1608-27475-LRT</t>
  </si>
  <si>
    <t>FFSD-25-D-12.00-01-N-SR</t>
  </si>
  <si>
    <t>Samtec</t>
  </si>
  <si>
    <t>Cable Assembly 0.050 x 0.050 C.L Female IDC 25Pos</t>
  </si>
  <si>
    <t>FFSD SERIES FLAT IDC CABLE ASSEMBLY</t>
  </si>
  <si>
    <t>1608-25756-LRT</t>
  </si>
  <si>
    <t>TCSD-14-D-10.00-01-N</t>
  </si>
  <si>
    <t>28WAY CABLE CONNECTOR</t>
  </si>
  <si>
    <t>CC58C-7.5</t>
  </si>
  <si>
    <t>Coaxial Cable,BNC Male/Male,7.5 Ft</t>
  </si>
  <si>
    <t>50ohm BNC Cable 7.5ft</t>
  </si>
  <si>
    <t>1808-42262-LRT</t>
  </si>
  <si>
    <t>CC58C-3</t>
  </si>
  <si>
    <t>Coaxial Cable,BNC Male/Male,3.0 Ft</t>
  </si>
  <si>
    <t>RG58C COAXIAL CABLE, BNC MALE / MALE, 3.0 FT</t>
  </si>
  <si>
    <t>1709-35017-LRT</t>
  </si>
  <si>
    <t>CC58C-6</t>
  </si>
  <si>
    <t>Coaxial Cable,BNC Male/Male,6.0 Ft</t>
  </si>
  <si>
    <t>RG58C COAXIAL CABLE, BNC MALE / MALE, 6 FT</t>
  </si>
  <si>
    <t>RG58C</t>
  </si>
  <si>
    <t>Coaxial Bulk Cable RG58C/U,100 Foot Coil</t>
  </si>
  <si>
    <t>C0AXIAL CABLE</t>
  </si>
  <si>
    <t>1412-12400-LRT</t>
  </si>
  <si>
    <t>CC58C-1</t>
  </si>
  <si>
    <t>Coaxial Cable,BNC Male/Male,1.0 Ft</t>
  </si>
  <si>
    <t>RF58C COAXIAL CABLE BNC MALE 1.0FT</t>
  </si>
  <si>
    <t>CC58C-1.5</t>
  </si>
  <si>
    <t>RG58C COAXIAL CABLE BNC MALE 1.5FT</t>
  </si>
  <si>
    <t>E96</t>
  </si>
  <si>
    <t>EQDP-014-25,00-SBR-S</t>
  </si>
  <si>
    <t>Interconnection Device</t>
  </si>
  <si>
    <t>BLUE CABLE 1 TO 1</t>
  </si>
  <si>
    <t>UPMAA-05M</t>
  </si>
  <si>
    <t>USB Type A Coupler,Female Bulkhead/Type A Male,0.5 Meter</t>
  </si>
  <si>
    <t>USB TYPE A COUPLE FEMALE</t>
  </si>
  <si>
    <t>1506-16564-LRT</t>
  </si>
  <si>
    <t>UPMAB-05M</t>
  </si>
  <si>
    <t>USB Type A Coupler,Female Bulklhead/Type B Male,0.5 Meter</t>
  </si>
  <si>
    <t>USB TYPE A COUPLE, FEMALE BULKHEAD, TYPE B MALE, 0.5M</t>
  </si>
  <si>
    <t>1804-39497-LRT</t>
  </si>
  <si>
    <t>UPMAB-03M</t>
  </si>
  <si>
    <t>USB Type A Coupler,Female Bulkhead/Type B Male,0.3 Meter</t>
  </si>
  <si>
    <t>USB TYPE A COUPLE FEMALE BULKHEAD TYPE B MALE 0.3M</t>
  </si>
  <si>
    <t>1803-38952-LRT</t>
  </si>
  <si>
    <t>CIT-437</t>
  </si>
  <si>
    <t>RF Microwave</t>
  </si>
  <si>
    <t>Cable Assembly,BMA Plug/SMA Male,RD316,40cm</t>
  </si>
  <si>
    <t>CABLE ASSEMBLY (BMA PLUG TO SMA PLUG)</t>
  </si>
  <si>
    <t>ML</t>
  </si>
  <si>
    <t>1808-42136-LRT</t>
  </si>
  <si>
    <t>CA69P78P24-1100</t>
  </si>
  <si>
    <t>Cable Assembly (BMA Plug To SMA Plug)</t>
  </si>
  <si>
    <t>PO1808-42136-LRT</t>
  </si>
  <si>
    <t>CA78P78P24-250V3</t>
  </si>
  <si>
    <t>Cable Assembly (SMA Plug To SMA Plug)</t>
  </si>
  <si>
    <t>PO2006-57877-LRT</t>
  </si>
  <si>
    <t>CA78P78P25-250T12</t>
  </si>
  <si>
    <t>SMA Plug To SMA Plug</t>
  </si>
  <si>
    <t>CA78P78P25-270T12</t>
  </si>
  <si>
    <t>39M5096</t>
  </si>
  <si>
    <t>POWER MALE TO FEMALE</t>
  </si>
  <si>
    <t>POWER CORD</t>
  </si>
  <si>
    <t>POWER CORD MALE TO FEMALE</t>
  </si>
  <si>
    <t>3597P BIZ</t>
  </si>
  <si>
    <t>POWER CORD R/A</t>
  </si>
  <si>
    <t>ST1800267</t>
  </si>
  <si>
    <t>2PORT CABLE</t>
  </si>
  <si>
    <t>USB CABLE</t>
  </si>
  <si>
    <t>50CM</t>
  </si>
  <si>
    <t>HIROSE CABLE -TOQM</t>
  </si>
  <si>
    <t>VGA DB9</t>
  </si>
  <si>
    <t>VGA DB9 FEMALE TO DB9 FEMALE CABLE</t>
  </si>
  <si>
    <t>DB9F-DB9F</t>
  </si>
  <si>
    <t>AK143-3</t>
  </si>
  <si>
    <t>Cable Assy DB9 Shld Beige 3 Meter</t>
  </si>
  <si>
    <t>DB9 FEMALE TO DB9 FEMALE CABLE GREY</t>
  </si>
  <si>
    <t>C37694-001</t>
  </si>
  <si>
    <t>DH Gate</t>
  </si>
  <si>
    <t>USB VGA SVGA KVM 15 Pin Standard Switch Printer PS2 Cable</t>
  </si>
  <si>
    <t>VGA 15PIN TO PS2 CABLE</t>
  </si>
  <si>
    <t>CB-VGA34B/M-M-3M</t>
  </si>
  <si>
    <t>AK532-2</t>
  </si>
  <si>
    <t>Cable Assy HD15 Shld Beige 2 Meter</t>
  </si>
  <si>
    <t>VGA CABLE M-M DB15</t>
  </si>
  <si>
    <t>45301010032R</t>
  </si>
  <si>
    <t>VGA DB15 M-DB15M</t>
  </si>
  <si>
    <t>DB15-M</t>
  </si>
  <si>
    <t>F1D900610</t>
  </si>
  <si>
    <t>Belkin</t>
  </si>
  <si>
    <t>Belkin Universal KVM USB Cable DB15 W/USB A-B 10 ft</t>
  </si>
  <si>
    <t>DB15 TO USB</t>
  </si>
  <si>
    <t>FESTO 171-169 P6</t>
  </si>
  <si>
    <t>SENSOR FOR PENCIL CYLINDER</t>
  </si>
  <si>
    <t>BRACKET</t>
  </si>
  <si>
    <t>D-Z73</t>
  </si>
  <si>
    <t>SMC SENSOR D-Z73</t>
  </si>
  <si>
    <t>BLCH-S100</t>
  </si>
  <si>
    <t>MAGNETIC SENSOR</t>
  </si>
  <si>
    <t>KL3045</t>
  </si>
  <si>
    <t>Parker Origa</t>
  </si>
  <si>
    <t>Parker Origa NO reed Pneumatic Sensor,IP67</t>
  </si>
  <si>
    <t>HOEBIGER ORIGA</t>
  </si>
  <si>
    <t>CAU2CA-05M</t>
  </si>
  <si>
    <t>USB 2.0 Type C To A Straight Connection,0.5 Meter</t>
  </si>
  <si>
    <t>USB 2.0 A-C 0.5M CABLE (DUT TO ENCLOSURE)</t>
  </si>
  <si>
    <t>DPCAMMSB-3</t>
  </si>
  <si>
    <t>DISPLAYPORT(M) TO DISPLAYPORT(M) CABLE, 3M</t>
  </si>
  <si>
    <t>WIRE</t>
  </si>
  <si>
    <t>CSMUAB-05M</t>
  </si>
  <si>
    <t>Premium USB Cable Type A-B Cable,0.5 Meter</t>
  </si>
  <si>
    <t>PREMIUM USB CABLE TYPE A-B CABLE 0.5 METER</t>
  </si>
  <si>
    <t>1803-38584-LRT</t>
  </si>
  <si>
    <t>CSMUAB-1M</t>
  </si>
  <si>
    <t>USB CABLE ASSEMBLY, USB TYPE A PLUG, USB TYPE B PLUG,</t>
  </si>
  <si>
    <t>1802-38114-LRT</t>
  </si>
  <si>
    <t>1.5mtr</t>
  </si>
  <si>
    <t>USB MALE TO FEMALE CABLE</t>
  </si>
  <si>
    <t>Premium USB Cable Type A-B Cable,1.0 Meter</t>
  </si>
  <si>
    <t>PREMIUM USB CABLE (TYPE A PLUG TO TYPE B PLUG)</t>
  </si>
  <si>
    <t>1710-35574-LRT</t>
  </si>
  <si>
    <t>CSMUAMB5-1M</t>
  </si>
  <si>
    <t>Premium USB Cable Type A  to Mini B 5 Position 1 meter</t>
  </si>
  <si>
    <t>PO1911-53178-LRT</t>
  </si>
  <si>
    <t>415-0034-036 CABLE</t>
  </si>
  <si>
    <t>415-0034-036</t>
  </si>
  <si>
    <t>Cbl Assy SMA Plug RG316 DS 914.40mm</t>
  </si>
  <si>
    <t>CABLE SMA/SMA-RA 36" RG-316DS</t>
  </si>
  <si>
    <t>1707-33395-LRT</t>
  </si>
  <si>
    <t>U023-003</t>
  </si>
  <si>
    <t>UR022-003</t>
  </si>
  <si>
    <t>USB A-Male To B-Male Cable 914.40mm</t>
  </si>
  <si>
    <t>USB 2.0 A MALE B MALE</t>
  </si>
  <si>
    <t>POWER CORD M+F</t>
  </si>
  <si>
    <t>EX14A</t>
  </si>
  <si>
    <t>ULTRA-SLIM PHOTOELECTRIC SENSOR</t>
  </si>
  <si>
    <t>1607-26530-LRT</t>
  </si>
  <si>
    <t>PM-L24</t>
  </si>
  <si>
    <t>U-SHAPED MICRO PHOTOELECTRIC SENSOR PM SERIES PM-L24</t>
  </si>
  <si>
    <t>1601-21861-LRT</t>
  </si>
  <si>
    <t>PMT-44</t>
  </si>
  <si>
    <t>PANASONIC SENSOR</t>
  </si>
  <si>
    <t>PM-L25</t>
  </si>
  <si>
    <t>U-SHAPED MICRO PHOTOELECTRIC SENSOR PM SERIES-PM-L24</t>
  </si>
  <si>
    <t>1712-36692-LRT</t>
  </si>
  <si>
    <t>PPX-R10N-6M-KA</t>
  </si>
  <si>
    <t>DIGITAL PRESSURE SENSOR PPX SERIES</t>
  </si>
  <si>
    <t>1611-28606-LRT</t>
  </si>
  <si>
    <t>PM-R45</t>
  </si>
  <si>
    <t>Photoelectric Sensor(EX-14A)</t>
  </si>
  <si>
    <t>MICRO PHOTOELECTRIC SENSOR</t>
  </si>
  <si>
    <t>PO1809-42604-LRT</t>
  </si>
  <si>
    <t>PM-R45-P</t>
  </si>
  <si>
    <t>SENSOR SLOT PNP</t>
  </si>
  <si>
    <t>FR-1A12L30W05MS</t>
  </si>
  <si>
    <t>Strain Gauge Sensor 4*4 - (Equivalent : FA-1A12L50W05MS)</t>
  </si>
  <si>
    <t>PO1911-52666-LRT</t>
  </si>
  <si>
    <t>PM-L25-P</t>
  </si>
  <si>
    <t>RGB-3M</t>
  </si>
  <si>
    <t>RGB MONITOR CABLE M-F 3MTR</t>
  </si>
  <si>
    <t>DB9M-F</t>
  </si>
  <si>
    <t>AK131-2</t>
  </si>
  <si>
    <t>Cable Assy DB09 Shld Beige 2 Meter</t>
  </si>
  <si>
    <t>VGA CABLE DB9 MALE TO DB9 FEMALE</t>
  </si>
  <si>
    <t>VGA CABLR DB15M-DB15M</t>
  </si>
  <si>
    <t>EX-14A</t>
  </si>
  <si>
    <t>DS-U81</t>
  </si>
  <si>
    <t>SLOT TYPE PHOTOELECTRIC SENSOR</t>
  </si>
  <si>
    <t>PO2008-59041-LRT</t>
  </si>
  <si>
    <t>DS-U81P</t>
  </si>
  <si>
    <t>PO2007-58378-LRT</t>
  </si>
  <si>
    <t>DS-U83</t>
  </si>
  <si>
    <t>Slot Type Photoelectric Sensor</t>
  </si>
  <si>
    <t>DS-U84</t>
  </si>
  <si>
    <t>DS-U88</t>
  </si>
  <si>
    <t>DB9M-DB25M</t>
  </si>
  <si>
    <t>AK125-2</t>
  </si>
  <si>
    <t>Cable Assy DB09 To DB25 Shld 2 Meter</t>
  </si>
  <si>
    <t>DB9M TO DB25MALE CABLE</t>
  </si>
  <si>
    <t>DB9</t>
  </si>
  <si>
    <t>DB9 FEMALE TO MALE CABLE</t>
  </si>
  <si>
    <t>RCB-2M</t>
  </si>
  <si>
    <t>SENSOR RCB</t>
  </si>
  <si>
    <t>RJ45 7"</t>
  </si>
  <si>
    <t>RJ45 NETWORK CABLE</t>
  </si>
  <si>
    <t>21"</t>
  </si>
  <si>
    <t>GCP08SS903-BK</t>
  </si>
  <si>
    <t>RJ45 NETWORK CABLE CAT5E</t>
  </si>
  <si>
    <t>118"</t>
  </si>
  <si>
    <t>4meter</t>
  </si>
  <si>
    <t>RJ45 CABLE-NETWORK CABLE</t>
  </si>
  <si>
    <t>RJ45-1.5MTR</t>
  </si>
  <si>
    <t>17"</t>
  </si>
  <si>
    <t>LAN CABLE 17"</t>
  </si>
  <si>
    <t>59"</t>
  </si>
  <si>
    <t>CAT6E RJ45 LAN CABLE</t>
  </si>
  <si>
    <t>18"-2MTR</t>
  </si>
  <si>
    <t>BI1 5-EG08-AN6X</t>
  </si>
  <si>
    <t>INDUCTIVE SENSOR</t>
  </si>
  <si>
    <t>DS-GD11P</t>
  </si>
  <si>
    <t>PHOTOELECTRONIC SENSOR</t>
  </si>
  <si>
    <t>PHOTOELECTRIC SENSOR</t>
  </si>
  <si>
    <t>59145-020-nd</t>
  </si>
  <si>
    <t>MAGNETIC SWITCH-PROXIMITY SENSOR</t>
  </si>
  <si>
    <t>IN8-CM12-NOX</t>
  </si>
  <si>
    <t>311-9337</t>
  </si>
  <si>
    <t>POWER CORD FEMALE 16AMP</t>
  </si>
  <si>
    <t>E302500</t>
  </si>
  <si>
    <t>POWER CORD M + F (FIREBIRD)</t>
  </si>
  <si>
    <t>152-0115</t>
  </si>
  <si>
    <t>CABLE ASSEMBLY PASSIVE</t>
  </si>
  <si>
    <t>8120-2703</t>
  </si>
  <si>
    <t>CABLE ASSEMBLY</t>
  </si>
  <si>
    <t>ASSYSMA18CM</t>
  </si>
  <si>
    <t>CABLE,RG316 SMA/SMA,M-M, 18 INCH</t>
  </si>
  <si>
    <t>1711-36282-LRT</t>
  </si>
  <si>
    <t>RG316 57CM</t>
  </si>
  <si>
    <t>SMA R/A TO SMA R/A CABLE BROWN</t>
  </si>
  <si>
    <t>ASSYSMA16CM</t>
  </si>
  <si>
    <t>SMA TO SMA RG316 BROWN 16CM</t>
  </si>
  <si>
    <t>1608-27350-LRT</t>
  </si>
  <si>
    <t>ASSYSMA20CM</t>
  </si>
  <si>
    <t>SMA TO SMA RG316 BROWN 20CM</t>
  </si>
  <si>
    <t>ASSYSMA25CM</t>
  </si>
  <si>
    <t>SMA TO SMA RG316 BROWN 25CM</t>
  </si>
  <si>
    <t>RG316-48CM</t>
  </si>
  <si>
    <t>SMA (M) TO SMA(M) RG316</t>
  </si>
  <si>
    <t>RG316-47CM</t>
  </si>
  <si>
    <t>SMA(M) R/A TO SMA (M) STR RG316</t>
  </si>
  <si>
    <t>RG316 93CM</t>
  </si>
  <si>
    <t>SMA MALE TO SMA MALE RG316</t>
  </si>
  <si>
    <t>RG316 SMA MALE BOTH SIDE</t>
  </si>
  <si>
    <t>1309-03804-LRT</t>
  </si>
  <si>
    <t>8" (RG223)</t>
  </si>
  <si>
    <t>SMA R/A MALE TO SMA STRAIGHT (M)</t>
  </si>
  <si>
    <t>8"</t>
  </si>
  <si>
    <t>SMA STR M TO SMA STR M</t>
  </si>
  <si>
    <t>150MM</t>
  </si>
  <si>
    <t>16CM</t>
  </si>
  <si>
    <t>SMA M R/A TO SMA (M) R/A</t>
  </si>
  <si>
    <t>72CM</t>
  </si>
  <si>
    <t>SMA M R/A TO SMA (M) R/A STRAIGHT</t>
  </si>
  <si>
    <t>453010100321R</t>
  </si>
  <si>
    <t>Basics VGA (Male) to VGA(Male) Cable 6 Feet 1.8 Meters-MXT101MMHQ</t>
  </si>
  <si>
    <t>Basics VGA (Male) to VGA(Male) Cable 6 Feet 1.8 Meters</t>
  </si>
  <si>
    <t>PO1909-51221-LRT</t>
  </si>
  <si>
    <t>MXT101MMHQ</t>
  </si>
  <si>
    <t>Basics VGA to VGA Cable - 6 Feet (1.8 Meters)</t>
  </si>
  <si>
    <t>108833A</t>
  </si>
  <si>
    <t>VGA CABLE</t>
  </si>
  <si>
    <t>50WAY M-M</t>
  </si>
  <si>
    <t>50WAY M-M CABLE</t>
  </si>
  <si>
    <t>MK3-1A71B-500W-U6/4</t>
  </si>
  <si>
    <t>WS3HA</t>
  </si>
  <si>
    <t>CSI-J</t>
  </si>
  <si>
    <t>JYC MAGNETIC SENSOR</t>
  </si>
  <si>
    <t>25-62417-20</t>
  </si>
  <si>
    <t>CABLE ASSEMBLY PS2 WEDGE</t>
  </si>
  <si>
    <t>CBA-UOI-S07ZA</t>
  </si>
  <si>
    <t>CABLE ASSEMBLY RJ45 TO USB M</t>
  </si>
  <si>
    <t>CABLE RJ45M9-150</t>
  </si>
  <si>
    <t>RJ45-DB9</t>
  </si>
  <si>
    <t>CABLE ASSEMBLY RJ45 TO DB9M</t>
  </si>
  <si>
    <t>Male A To Male A</t>
  </si>
  <si>
    <t>USB Male A Type To Male A Type Cable</t>
  </si>
  <si>
    <t>TRD695BL-2</t>
  </si>
  <si>
    <t>PREMIUM CAT 6 CABLE; RJ45 TO RJ45; BLUE; 2.0 FT</t>
  </si>
  <si>
    <t>1804-39936-LRT</t>
  </si>
  <si>
    <t>405-332</t>
  </si>
  <si>
    <t>TEST LEAD CABLE RED</t>
  </si>
  <si>
    <t>405-348</t>
  </si>
  <si>
    <t>TEST LEAD CABLE (BLACK)</t>
  </si>
  <si>
    <t>USB 2.0 MALE TO FEMALE</t>
  </si>
  <si>
    <t>TRD695BL-7</t>
  </si>
  <si>
    <t>CABLE RJ45 CAT6 BLUE</t>
  </si>
  <si>
    <t>1808-41682-LRT</t>
  </si>
  <si>
    <t>62-00193-03</t>
  </si>
  <si>
    <t>OCP USB 3.0 CABLE A TO B</t>
  </si>
  <si>
    <t>TS-18041807</t>
  </si>
  <si>
    <t>USB3.0 CABLE A TO MICRO B 300CM</t>
  </si>
  <si>
    <t>1805-40519-LTY</t>
  </si>
  <si>
    <t>CAU3AA-3M</t>
  </si>
  <si>
    <t>USB3.0 MALE CABLE</t>
  </si>
  <si>
    <t>CAU3AA-1M</t>
  </si>
  <si>
    <t>USB 3.0 CABLE TYPE A - A, 1.0M  (62-00194-03)</t>
  </si>
  <si>
    <t>USB 3.0 CABLE TYPE A - A, 1.0M</t>
  </si>
  <si>
    <t>1809-42836-LRT</t>
  </si>
  <si>
    <t>ECF504-30-1AAS</t>
  </si>
  <si>
    <t>USB 3.8 Type A Cpupler Female Bulkhead Male 1.0</t>
  </si>
  <si>
    <t>PO1912-53577-LRT</t>
  </si>
  <si>
    <t>Male A type to male A type(1m)</t>
  </si>
  <si>
    <t>USB MALE A TYPE TO MALE A TYPE(1.5M)</t>
  </si>
  <si>
    <t>1605-24929-LRT</t>
  </si>
  <si>
    <t>USB Ext Cable 1.5m</t>
  </si>
  <si>
    <t>USB EXT CABLE 1.5M male to female</t>
  </si>
  <si>
    <t>102-1010-BE-00180</t>
  </si>
  <si>
    <t>Cable USB A Male-A Female 1.8M</t>
  </si>
  <si>
    <t>D-A73</t>
  </si>
  <si>
    <t>SENSOR PENCIL CYLINDER</t>
  </si>
  <si>
    <t>D-C73</t>
  </si>
  <si>
    <t>SMC Auto Switch Electric Actuator Switch,D-C7 Series</t>
  </si>
  <si>
    <t xml:space="preserve"> BRACKET</t>
  </si>
  <si>
    <t>D-A93</t>
  </si>
  <si>
    <t>SMC SENSOR</t>
  </si>
  <si>
    <t>CAT6 CABLE</t>
  </si>
  <si>
    <t>CAT6 CABLE YELLOW CROSS OVER 7FT</t>
  </si>
  <si>
    <t>CB2027/3M</t>
  </si>
  <si>
    <t>LAN CABLE RJ45/RJ45</t>
  </si>
  <si>
    <t>CAT5-7FT</t>
  </si>
  <si>
    <t>RJ45 CAT5 NETWORK CABLE 7FT</t>
  </si>
  <si>
    <t>RJ45 CAT6 CABLE 3 MTR</t>
  </si>
  <si>
    <t>TRD450-5</t>
  </si>
  <si>
    <t>62-00204-01</t>
  </si>
  <si>
    <t>USB 3.0 DUAL A FEMALE PORT PANEL MOUNT EXT</t>
  </si>
  <si>
    <t>8842T891 6 FEET</t>
  </si>
  <si>
    <t>FLIP-TIGHT CINCHING STRAP TO HOLD DOWN PC ON SHELF</t>
  </si>
  <si>
    <t>BELT</t>
  </si>
  <si>
    <t>PO1805-40702-LRT</t>
  </si>
  <si>
    <t>USB3.0 DUAL A FEMALE PANEL MOUNT</t>
  </si>
  <si>
    <t>USB A (MALE) TO USB B (MALE)</t>
  </si>
  <si>
    <t>USB A-B CABLE</t>
  </si>
  <si>
    <t>USB 2.0AM/MINI 5PIN CALE 1.5M</t>
  </si>
  <si>
    <t>A-B</t>
  </si>
  <si>
    <t>VT2558</t>
  </si>
  <si>
    <t>USB 2.0 4M TO AM CABLE 1M</t>
  </si>
  <si>
    <t>USB 2.0 4M TO AM CABLE 1.5 BLUE</t>
  </si>
  <si>
    <t>USB 2.0 AM-AM</t>
  </si>
  <si>
    <t>USB 2.0 EXTENSION AM/AF 3M</t>
  </si>
  <si>
    <t>3MTR</t>
  </si>
  <si>
    <t>USB2.0 A-B CABLE MALE TO MALE</t>
  </si>
  <si>
    <t>USB3.0 1.5M</t>
  </si>
  <si>
    <t>USB 3.0 PRINTER CABLE 1.5M</t>
  </si>
  <si>
    <t>MALE TO MALE (1.5M)</t>
  </si>
  <si>
    <t>USB2.0 A MALE TO B MALE 1.5M</t>
  </si>
  <si>
    <t>CAUBLKAB-03M</t>
  </si>
  <si>
    <t>USB CABLE A TO B TYPE</t>
  </si>
  <si>
    <t>CAA-90RM1CB-5M</t>
  </si>
  <si>
    <t>USB A MALE - USB B R/A</t>
  </si>
  <si>
    <t>CAA-90DMICB-05M</t>
  </si>
  <si>
    <t>RIGHT ANGLE USB CABLE</t>
  </si>
  <si>
    <t>CSMUMB5X-05M</t>
  </si>
  <si>
    <t>PREMIUM USB CABLE- MINI B 5 POSITION MALE/FEMALE, 0.5M</t>
  </si>
  <si>
    <t>PREMIUM USB CABLE-MINI B 5POSITION MALE /FEMALE</t>
  </si>
  <si>
    <t>PS2</t>
  </si>
  <si>
    <t>AK323G-2</t>
  </si>
  <si>
    <t>Cable Assembly Mini Din 6 Pos Male To Female 2 Meter</t>
  </si>
  <si>
    <t>PS2 CABLE MALE TO FEMALE CABLE</t>
  </si>
  <si>
    <t>AE989-ND (AK149-3-R)</t>
  </si>
  <si>
    <t>MODEM CABLE DB9F TO DB25M</t>
  </si>
  <si>
    <t>DB9 F/F</t>
  </si>
  <si>
    <t>MODEM CABLE DB9-F TO DB9F</t>
  </si>
  <si>
    <t>SERIAL STR CABLE DB9 F/F</t>
  </si>
  <si>
    <t>PART NO SAME AS MODEM CABLE DB9-F TO DB9F</t>
  </si>
  <si>
    <t>AE9866-ND</t>
  </si>
  <si>
    <t>CABLE DB25M - DB25F -3M</t>
  </si>
  <si>
    <t>RG223-36" SMA</t>
  </si>
  <si>
    <t>SMA MALE R/A TO SMA MALE R/A</t>
  </si>
  <si>
    <t>34" RG223</t>
  </si>
  <si>
    <t>N-TYPE MALE R/A TO SMA M CONNECTOR</t>
  </si>
  <si>
    <t>RG 223</t>
  </si>
  <si>
    <t>CABLE RG223 BLACK - SMA (M) TO SMA (M)</t>
  </si>
  <si>
    <t>SMA (M) TO SMA (M)</t>
  </si>
  <si>
    <t>36"-RG223</t>
  </si>
  <si>
    <t>N-TYPE MALE TO SMA MALE</t>
  </si>
  <si>
    <t>35"-SMA</t>
  </si>
  <si>
    <t>SMA MALE TO SMA MALE STRAIGHT</t>
  </si>
  <si>
    <t>42"-RG223</t>
  </si>
  <si>
    <t>SMA MALE TO SMA MALE</t>
  </si>
  <si>
    <t>36"-SMA</t>
  </si>
  <si>
    <t>MA MALE TO SMA MALE RG223</t>
  </si>
  <si>
    <t>37" RG223</t>
  </si>
  <si>
    <t>N-TYPE MALE R/A TO N-TYPE MALE STRAIGHT</t>
  </si>
  <si>
    <t>71"-RG223</t>
  </si>
  <si>
    <t>CAUNLKAA-2M</t>
  </si>
  <si>
    <t>BLACK PREMIUM USB CABLE TYPE A - A CABLE</t>
  </si>
  <si>
    <t>1809-42445-LRT</t>
  </si>
  <si>
    <t xml:space="preserve">CAUBLKAB-1M </t>
  </si>
  <si>
    <t>BLACK PREMIUM USB CABLE A PLUS B</t>
  </si>
  <si>
    <t>1604-24256-LRT</t>
  </si>
  <si>
    <t>CAUBLKAA-2M</t>
  </si>
  <si>
    <t>CBUSB A-A 2.0</t>
  </si>
  <si>
    <t>USB2.0 M/M CABLE BLACK 1.5MTR</t>
  </si>
  <si>
    <t>UGREEN 0.5Meter Micro USB Cable USB 2.0 A Male to Micro B (Black)</t>
  </si>
  <si>
    <t>PO1911-53104-LRT</t>
  </si>
  <si>
    <t>j12j101947-00-4</t>
  </si>
  <si>
    <t>assembly cable 65cm male to n-male</t>
  </si>
  <si>
    <t>TRD695BL-1</t>
  </si>
  <si>
    <t>ID SD -26-D-35-00-G</t>
  </si>
  <si>
    <t>SAME PART NO. AS LOCATION A102</t>
  </si>
  <si>
    <t>IDE CABLE ATA-33</t>
  </si>
  <si>
    <t>IDE CABLE 40WAY 45CM</t>
  </si>
  <si>
    <t>1.5 MTR</t>
  </si>
  <si>
    <t>PS2 TO USB CABLE M-M</t>
  </si>
  <si>
    <t xml:space="preserve">PS2 CABLE MALE TO FEMALE </t>
  </si>
  <si>
    <t>Male To Male</t>
  </si>
  <si>
    <t>AK678-2</t>
  </si>
  <si>
    <t>PS2 CABLE MALE TO MALE (IE : 000209)</t>
  </si>
  <si>
    <t>Cable Assembly Mini DIN 6 Pos Male To Male 2 Mtr</t>
  </si>
  <si>
    <t>CABLE ASSEMBLY MINI DIN 6 POS MALE TO MALE 2 MTR</t>
  </si>
  <si>
    <t>PO2005-56777-LRT</t>
  </si>
  <si>
    <t>UPMVISAA30-05M</t>
  </si>
  <si>
    <t>USB 3.0 Machine Vision Panel Mount Cable Assembly 0.5 Meter</t>
  </si>
  <si>
    <t>USB 3.0 MACHINE VISION PANEL MOUNT CABLE ASSEMBLY</t>
  </si>
  <si>
    <t>1711-36553-LRT</t>
  </si>
  <si>
    <t>15' RG223</t>
  </si>
  <si>
    <t>N-TYPE M R/A TO SMA (M)</t>
  </si>
  <si>
    <t>N-TYPE PLUG</t>
  </si>
  <si>
    <t>N-TYPE PLUG R/A SMA-M</t>
  </si>
  <si>
    <t>80" RG223</t>
  </si>
  <si>
    <t>N-TYPE M TO 50 OHM CONN</t>
  </si>
  <si>
    <t>62-00126-03</t>
  </si>
  <si>
    <t>USB 2.0 A-MALE TO B-MALE 3FT</t>
  </si>
  <si>
    <t>62-00126-03-USB 2.0 A-MALE TO B-MALE 3FT</t>
  </si>
  <si>
    <t>CSMUAA-2M</t>
  </si>
  <si>
    <t>USB MALE TO MALE CABLE</t>
  </si>
  <si>
    <t>PO1912-53959-LRT</t>
  </si>
  <si>
    <t>CSMUAA-1M</t>
  </si>
  <si>
    <t>Premium USB Cable Type A-A Cable,1.0 Meter</t>
  </si>
  <si>
    <t>USB 2.0 A-A 1M CABLE</t>
  </si>
  <si>
    <t>Premium USB Cable Type A-A Cable,2.0 Meter</t>
  </si>
  <si>
    <t>USB-RS485-WE-1800-BT</t>
  </si>
  <si>
    <t>FTDI</t>
  </si>
  <si>
    <t>USB To RS485 Cable 5.90' (1.80 Meter) Unsheilded</t>
  </si>
  <si>
    <t>RS485 TO USB ADAPTER CABLE</t>
  </si>
  <si>
    <t>1711-36337-LRT</t>
  </si>
  <si>
    <t>usb2.0</t>
  </si>
  <si>
    <t>CAUBLKAA-1M</t>
  </si>
  <si>
    <t>Black Premium USB Cable Type A-A Cable,1.0 Meter</t>
  </si>
  <si>
    <t>USB 2.0 MALE TO MALE CABLE</t>
  </si>
  <si>
    <t>C87695-001</t>
  </si>
  <si>
    <t>C87695-001 05 23 F</t>
  </si>
  <si>
    <t>Generic</t>
  </si>
  <si>
    <t>Intel Bizlink D-Connector Component Cable</t>
  </si>
  <si>
    <t>BIZZLINK 05-37F</t>
  </si>
  <si>
    <t>3.0 M-M</t>
  </si>
  <si>
    <t>USB 3.0 Cable Type A-A,1.0 Meter</t>
  </si>
  <si>
    <t>USB 3.0 CABLE MALE TO MALE</t>
  </si>
  <si>
    <t>62-00187-01</t>
  </si>
  <si>
    <t>OCP</t>
  </si>
  <si>
    <t>Dual USB A Female To Dual USB A Male</t>
  </si>
  <si>
    <t>USB A DUAL PORT PANEL MOUNT EXT</t>
  </si>
  <si>
    <t>1707-33424-LRT</t>
  </si>
  <si>
    <t>PN-0000032049</t>
  </si>
  <si>
    <t>Dual Port USB 2.0 A Male to Female M/F Extension Screw Lock Panel Mount Cable 30cm</t>
  </si>
  <si>
    <t>PO1910-52459-LRT</t>
  </si>
  <si>
    <t>N-TYPE M-50OHM</t>
  </si>
  <si>
    <t>N-TYPE MALE TO 50OHM CONNECTOR RG223</t>
  </si>
  <si>
    <t>N-TYPE M TO 50 OHM CONNECTOR</t>
  </si>
  <si>
    <t>N-TYPE STRAIGHT M TO SMA STRAIGHT M</t>
  </si>
  <si>
    <t>15" RG233</t>
  </si>
  <si>
    <t>N TYPE M R/A TO SMA M</t>
  </si>
  <si>
    <t>FHS-M8-18</t>
  </si>
  <si>
    <t>E</t>
  </si>
  <si>
    <t>NUT</t>
  </si>
  <si>
    <t>FHS-M4-6</t>
  </si>
  <si>
    <t>DMC 0.5-7.4</t>
  </si>
  <si>
    <t>POGO PIN</t>
  </si>
  <si>
    <t>MOCRO POGO PIN</t>
  </si>
  <si>
    <t>POGO-25A-4</t>
  </si>
  <si>
    <t>POGO PIN (100MILS)</t>
  </si>
  <si>
    <t>POGO-1H-6</t>
  </si>
  <si>
    <t>PROBE PIN (75MILS)</t>
  </si>
  <si>
    <t>MT554C</t>
  </si>
  <si>
    <t>PROBE PIN</t>
  </si>
  <si>
    <t>POGO-1J-6</t>
  </si>
  <si>
    <t>POGO-25UN-6</t>
  </si>
  <si>
    <t>075-PC2040-4G</t>
  </si>
  <si>
    <t>POGO-1T24-6</t>
  </si>
  <si>
    <t>POGO-1T-6</t>
  </si>
  <si>
    <t>SXLIU-3.8-G</t>
  </si>
  <si>
    <t>POGO-25Z</t>
  </si>
  <si>
    <t>POGO-25I-6-S</t>
  </si>
  <si>
    <t>S-50C-HS-5.6-DG-S</t>
  </si>
  <si>
    <t>TEST PROBE</t>
  </si>
  <si>
    <t>POGO 25T-4</t>
  </si>
  <si>
    <t>POGO-72H-6</t>
  </si>
  <si>
    <t>PROBE PIN (50MILS)</t>
  </si>
  <si>
    <t>100-PLP1602H</t>
  </si>
  <si>
    <t>R-075-WW-429</t>
  </si>
  <si>
    <t>RECEPTACLE</t>
  </si>
  <si>
    <t>R100-WW</t>
  </si>
  <si>
    <t>RECEPTACLE FOR WIFI-ROUND</t>
  </si>
  <si>
    <t>SPR-1W-2</t>
  </si>
  <si>
    <t>RECEPTACLE (75MILS)</t>
  </si>
  <si>
    <t>ICT100Q-A-157-57</t>
  </si>
  <si>
    <t>R050S</t>
  </si>
  <si>
    <t>DCR50-SC</t>
  </si>
  <si>
    <t>RECEPTACLE 50 MIL</t>
  </si>
  <si>
    <t>ICT50N-F-200-S</t>
  </si>
  <si>
    <t>POGO PIN 50 MIL</t>
  </si>
  <si>
    <t>TOP-050-HB05-200G</t>
  </si>
  <si>
    <t>ICT PROBE</t>
  </si>
  <si>
    <t>100-PLP1624H</t>
  </si>
  <si>
    <t>E-S-V</t>
  </si>
  <si>
    <t>NON-REPLACEABLE PROBE - EPOXY MOUNT</t>
  </si>
  <si>
    <t>E-S-R</t>
  </si>
  <si>
    <t>POGO-25A</t>
  </si>
  <si>
    <t>BALL BIAS PROBE</t>
  </si>
  <si>
    <t>LFRE-25A-2</t>
  </si>
  <si>
    <t>LFRE-25 HIGH PERFORMANCE LEAD FREE PROBE</t>
  </si>
  <si>
    <t>PO1902-46105-LRT</t>
  </si>
  <si>
    <t>LFRE-25Z1-4</t>
  </si>
  <si>
    <t>LFRE-72T38-4</t>
  </si>
  <si>
    <t>LFRE-72 HIGH PERFORMANCE LEAD FREE PROBE</t>
  </si>
  <si>
    <t>PO1903-46409-LRT</t>
  </si>
  <si>
    <t>LFRE-25T-4</t>
  </si>
  <si>
    <t>LFRE-25HIGH PERFORMANCE LEAD FREE PROBE</t>
  </si>
  <si>
    <t>ICT-075-J-3.0-G</t>
  </si>
  <si>
    <t>POGO PIN MILL - (CHIP SHINE P/N : TOP075C064/100G)</t>
  </si>
  <si>
    <t>P50-U3</t>
  </si>
  <si>
    <t>POGO PIN SMALL -UE (CANYON PEAK)</t>
  </si>
  <si>
    <t>EPA-2A</t>
  </si>
  <si>
    <t>SPR-25W-2</t>
  </si>
  <si>
    <t>R-2-SC</t>
  </si>
  <si>
    <t>RECEPTACLE 100MILS</t>
  </si>
  <si>
    <t>S-100-H-6.7-G</t>
  </si>
  <si>
    <t>IP40H</t>
  </si>
  <si>
    <t>POGO IP40H 75MILS</t>
  </si>
  <si>
    <t>S-2-K-7-G</t>
  </si>
  <si>
    <t>IDI POGO PIN - S-2-K-7-G</t>
  </si>
  <si>
    <t>IP271B</t>
  </si>
  <si>
    <t>F07505B120G150</t>
  </si>
  <si>
    <t>IP541T</t>
  </si>
  <si>
    <t>POGO 100MILS</t>
  </si>
  <si>
    <t>ICT75N-A120-57</t>
  </si>
  <si>
    <t>POGO PIN 75MIL (57 GRAM SPRING FORCE)</t>
  </si>
  <si>
    <t>POGO-1A-4</t>
  </si>
  <si>
    <t>72H-50MILS</t>
  </si>
  <si>
    <t>MEP-30B</t>
  </si>
  <si>
    <t>PROBE-30MILS</t>
  </si>
  <si>
    <t>MT554G40</t>
  </si>
  <si>
    <t>CUSTOME MADE 100MIL PROBE-OPULENT</t>
  </si>
  <si>
    <t>25H-6</t>
  </si>
  <si>
    <t>POGO-100MILS</t>
  </si>
  <si>
    <t>72U-6-S</t>
  </si>
  <si>
    <t>POGO 72U-6-S 50MILS</t>
  </si>
  <si>
    <t>CSP8-25LCBC</t>
  </si>
  <si>
    <t>DOUBLE ENDED PROBE (UNA)</t>
  </si>
  <si>
    <t>DF035042-3.2</t>
  </si>
  <si>
    <t>DOUBLE ENDED PROBE</t>
  </si>
  <si>
    <t>CSP825BCBC</t>
  </si>
  <si>
    <t>DF026032-3.2</t>
  </si>
  <si>
    <t>CSP1-28LCBC</t>
  </si>
  <si>
    <t>CSP8-25LCLC</t>
  </si>
  <si>
    <t>IP271T</t>
  </si>
  <si>
    <t>IP80H</t>
  </si>
  <si>
    <t>TEST PROBE 125MILS</t>
  </si>
  <si>
    <t>IP80A</t>
  </si>
  <si>
    <t>POGO 125MILS</t>
  </si>
  <si>
    <t>S-50C-V8-5.6-G</t>
  </si>
  <si>
    <t>MICRO SERRATED TIP TEST PROBE</t>
  </si>
  <si>
    <t>PO1906-49465-LRT</t>
  </si>
  <si>
    <t>CROWN TIP TEST PROBE</t>
  </si>
  <si>
    <t>TOP100E15/200G</t>
  </si>
  <si>
    <t>POGO-1I35-6-S</t>
  </si>
  <si>
    <t>BLF</t>
  </si>
  <si>
    <t>TOP100C15/250G</t>
  </si>
  <si>
    <t>S-100-LM-4-RT - (S-100-LM-6.7-RT)</t>
  </si>
  <si>
    <t>S-100 ROTATOR PROBE PIN -</t>
  </si>
  <si>
    <t>PO1708-34198-LRT</t>
  </si>
  <si>
    <t>ICT--50C-A-5.6-DG</t>
  </si>
  <si>
    <t>CONTACTING PIN</t>
  </si>
  <si>
    <t>POGO EPA-2A</t>
  </si>
  <si>
    <t>EPA-2L</t>
  </si>
  <si>
    <t>HPA-1A-1</t>
  </si>
  <si>
    <t>PROBE 75MILS</t>
  </si>
  <si>
    <t>PI-5327</t>
  </si>
  <si>
    <t>CONNECTOR TARGET CONTACT</t>
  </si>
  <si>
    <t>IP80E</t>
  </si>
  <si>
    <t>POGO-125MIL</t>
  </si>
  <si>
    <t>SH-3-H-7-G</t>
  </si>
  <si>
    <t>SIP-90-3/PI-301</t>
  </si>
  <si>
    <t>ATE INTERFACE PIN</t>
  </si>
  <si>
    <t>PO1901-45359-LRT</t>
  </si>
  <si>
    <t>SIP-90-2 / PI-410</t>
  </si>
  <si>
    <t>PO1512-20179LRT</t>
  </si>
  <si>
    <t>SIP-90-5</t>
  </si>
  <si>
    <t>INTERFACE PROBE</t>
  </si>
  <si>
    <t>PO1903-46611-LRT</t>
  </si>
  <si>
    <t>HCP-14B</t>
  </si>
  <si>
    <t>HIGH CURRENT PROBE</t>
  </si>
  <si>
    <t>POGO 72T1-6-S</t>
  </si>
  <si>
    <t>POGO 50MILS</t>
  </si>
  <si>
    <t>POGO-1T-30-6-S</t>
  </si>
  <si>
    <t>S-2-A-4-G</t>
  </si>
  <si>
    <t>PO1805-41113-LRT</t>
  </si>
  <si>
    <t>HC125H</t>
  </si>
  <si>
    <t>CURRENT PROBE</t>
  </si>
  <si>
    <t>SX-2--X-7-G</t>
  </si>
  <si>
    <t>SX-1-U-6.6-G</t>
  </si>
  <si>
    <t>PROBE 75MILS-IDI</t>
  </si>
  <si>
    <t>S-2-F-7-GDC</t>
  </si>
  <si>
    <t>IP261J</t>
  </si>
  <si>
    <t>S-2-T-4-G</t>
  </si>
  <si>
    <t>PO1901-45644-LRT</t>
  </si>
  <si>
    <t>S-100-SPB-6.7-G-S</t>
  </si>
  <si>
    <t>GX7234MR-D25K30</t>
  </si>
  <si>
    <t>PROBE PIN FOR TEST SOCKET 9002/WM1205</t>
  </si>
  <si>
    <t>S-100-A-5.5-G</t>
  </si>
  <si>
    <t>Headed Cup Probe A Type</t>
  </si>
  <si>
    <t>PO2003-55766-LRT</t>
  </si>
  <si>
    <t>S-075-A-5-G</t>
  </si>
  <si>
    <t>PROBE S-075-A-5-G</t>
  </si>
  <si>
    <t>ICT-100-J-5.5-G</t>
  </si>
  <si>
    <t>PROBE  PIN 100MIL - (ATS : 100-YBS2503H-S)</t>
  </si>
  <si>
    <t>ICT-100A-5.5G (Equavalent = S-100-A-5.5-G)</t>
  </si>
  <si>
    <t>AIRLINK RV50 BFI</t>
  </si>
  <si>
    <t>PO1809-42950-LRT</t>
  </si>
  <si>
    <t>S-100-H-5.5G</t>
  </si>
  <si>
    <t>HPA-1B-1</t>
  </si>
  <si>
    <t>SHE-4-A-10-G</t>
  </si>
  <si>
    <t>25T36-6-S</t>
  </si>
  <si>
    <t>POGO 25T36-6-S</t>
  </si>
  <si>
    <t>POGO PIN 100MILS</t>
  </si>
  <si>
    <t>ICT-075-A-5.0-G</t>
  </si>
  <si>
    <t>PROBE ICT-075-A-5.0-G</t>
  </si>
  <si>
    <t>DF037044H7.4-R2</t>
  </si>
  <si>
    <t>PROBE TEST SOCKET</t>
  </si>
  <si>
    <t>SH-33SF-5.59 BB050-G</t>
  </si>
  <si>
    <t>X9 HIROSE PROBE PIN</t>
  </si>
  <si>
    <t>SH-100-A-6.7-G</t>
  </si>
  <si>
    <t>PO1809-42950LRT</t>
  </si>
  <si>
    <t>101190-002</t>
  </si>
  <si>
    <t>BATTERY PROBE</t>
  </si>
  <si>
    <t>H075LA/7.6</t>
  </si>
  <si>
    <t>SR261-1</t>
  </si>
  <si>
    <t>SR541-1</t>
  </si>
  <si>
    <t>RECEPTACLE (100MILS)</t>
  </si>
  <si>
    <t>R50-SC</t>
  </si>
  <si>
    <t>RECEPTACLE (50MILS)</t>
  </si>
  <si>
    <t>PP-8W-1</t>
  </si>
  <si>
    <t>R-050C</t>
  </si>
  <si>
    <t>R-050WZ</t>
  </si>
  <si>
    <t>HPR-30W</t>
  </si>
  <si>
    <t>RECEPTACLE 30MILS</t>
  </si>
  <si>
    <t>SR80-2</t>
  </si>
  <si>
    <t>RH-3-SC</t>
  </si>
  <si>
    <t>HFS-810 358 080 A 5342 ZLF</t>
  </si>
  <si>
    <t>Probe</t>
  </si>
  <si>
    <t>PO1710-35379-LRT</t>
  </si>
  <si>
    <t>KS-810 M5-R</t>
  </si>
  <si>
    <t>RF Probe</t>
  </si>
  <si>
    <t>R-50C-CR</t>
  </si>
  <si>
    <t>SPR-4W</t>
  </si>
  <si>
    <t>RECEPTACLE 187MILS</t>
  </si>
  <si>
    <t>SR40-1</t>
  </si>
  <si>
    <t>MR554-2</t>
  </si>
  <si>
    <t>SPR-1W</t>
  </si>
  <si>
    <t>RECEPTACLE 75MILS</t>
  </si>
  <si>
    <t>SPR-25W-1</t>
  </si>
  <si>
    <t>PO1910-52054-LRT</t>
  </si>
  <si>
    <t>SR125-1</t>
  </si>
  <si>
    <t>SR541-2</t>
  </si>
  <si>
    <t>SR80-1</t>
  </si>
  <si>
    <t>HPR-72W-1</t>
  </si>
  <si>
    <t>RECEPTACLE 50MILS</t>
  </si>
  <si>
    <t>POGO-1H-4</t>
  </si>
  <si>
    <t>R-075-CR</t>
  </si>
  <si>
    <t>R-075-RP</t>
  </si>
  <si>
    <t>DCR502-RP-0.53-56.74.</t>
  </si>
  <si>
    <t>RECEPTACLE FOR TURN PIN (LONG SERIES) 50 MIL</t>
  </si>
  <si>
    <t>PO1903-46345-LRT</t>
  </si>
  <si>
    <t>R-2-WW-429</t>
  </si>
  <si>
    <t>PO1809-42853-LRT</t>
  </si>
  <si>
    <t>R-100-WW-429 R-25</t>
  </si>
  <si>
    <t>PO1603-23038LRT</t>
  </si>
  <si>
    <t>R-100-SC</t>
  </si>
  <si>
    <t>RECEPTACLE R-100-SC - (CHIP SHINE : R100S)</t>
  </si>
  <si>
    <t>RH-100-SC</t>
  </si>
  <si>
    <t>R-1-SC</t>
  </si>
  <si>
    <t>R-100-RP</t>
  </si>
  <si>
    <t>RECEPTACLE R-100-RP</t>
  </si>
  <si>
    <t>PO1810-43189-LRT</t>
  </si>
  <si>
    <t>R-075-SC</t>
  </si>
  <si>
    <t>RH-4-SC</t>
  </si>
  <si>
    <t>SPR-25W-3</t>
  </si>
  <si>
    <t>LTR-1W-1</t>
  </si>
  <si>
    <t>LTR-1W-2</t>
  </si>
  <si>
    <t>LTR-1W-2 (75MILS)</t>
  </si>
  <si>
    <t>RH-100-WW-429</t>
  </si>
  <si>
    <t>R50C-J-DE</t>
  </si>
  <si>
    <t>DOUBLE ENDED RECEPTACLE</t>
  </si>
  <si>
    <t>R-2-CR</t>
  </si>
  <si>
    <t>PO1806-41131LRT</t>
  </si>
  <si>
    <t>SPR-25W-2LL</t>
  </si>
  <si>
    <t>SPR-2W-1</t>
  </si>
  <si>
    <t>E65</t>
  </si>
  <si>
    <t>M3 M4 M5 M6 M8 M10 M12 N16</t>
  </si>
  <si>
    <t>WASHER</t>
  </si>
  <si>
    <t>Nylon Washer</t>
  </si>
  <si>
    <t>PO1904-47688</t>
  </si>
  <si>
    <t>M4</t>
  </si>
  <si>
    <t>PO2004-56440-LRT</t>
  </si>
  <si>
    <t>M5</t>
  </si>
  <si>
    <t>M6</t>
  </si>
  <si>
    <t>PO1901-45758</t>
  </si>
  <si>
    <t>M6 DIN6796</t>
  </si>
  <si>
    <t>STEEL MECHANICAL YELLOW ZINC PLATED CONICAL WASHER</t>
  </si>
  <si>
    <t>PO1905-48617</t>
  </si>
  <si>
    <t>M8 DIN6796</t>
  </si>
  <si>
    <t>M10 DIN6796</t>
  </si>
  <si>
    <t>SCHNORR WASHER</t>
  </si>
  <si>
    <t>M5 / MECH ZINC GREY</t>
  </si>
  <si>
    <t>M6 / MECH ZINC GREY</t>
  </si>
  <si>
    <t>PO1901-45757-LRT</t>
  </si>
  <si>
    <t>M8 / MECH ZINC GREY</t>
  </si>
  <si>
    <t>M10 / MECH ZINC GREY</t>
  </si>
  <si>
    <t>M12 / MECH ZINC GREY</t>
  </si>
  <si>
    <t>NL6</t>
  </si>
  <si>
    <t>STEEL WEDGE LOCKING WASHERS</t>
  </si>
  <si>
    <t>PO1911-53201-LRT</t>
  </si>
  <si>
    <t>TWSSB12-10-1</t>
  </si>
  <si>
    <t>Metal Washers</t>
  </si>
  <si>
    <t>E66</t>
  </si>
  <si>
    <t xml:space="preserve">M1.6  M2 M3 M4 M5 </t>
  </si>
  <si>
    <t>M1.6</t>
  </si>
  <si>
    <t>SPRING WASHER REGULAR AM(1）</t>
  </si>
  <si>
    <t>SPRING WASHER REGULAR AM</t>
  </si>
  <si>
    <t>M2</t>
  </si>
  <si>
    <t>SPRING WASHER REGULAR AM(2）</t>
  </si>
  <si>
    <t>PO1910-51991-LRT</t>
  </si>
  <si>
    <t>M 2.5</t>
  </si>
  <si>
    <t>SPRING WASHER REGULAR AM(3）</t>
  </si>
  <si>
    <t>SPRING WASHER REGULAR AM(4）</t>
  </si>
  <si>
    <t>SPRING WASHER REGULAR AM(5）</t>
  </si>
  <si>
    <t>PO2008-59092-LRT</t>
  </si>
  <si>
    <t>SPRING WASHER REGULAR AM(6）</t>
  </si>
  <si>
    <t>E67</t>
  </si>
  <si>
    <t>M6 M8 M10 M12</t>
  </si>
  <si>
    <t>SPRING WASHER REGULAR AM(7）</t>
  </si>
  <si>
    <t>PO1912-53415-LRT</t>
  </si>
  <si>
    <t>M8</t>
  </si>
  <si>
    <t>SPRING WASHER REGULAR AM(8）</t>
  </si>
  <si>
    <t>M10</t>
  </si>
  <si>
    <t>SPRING WASHER REGULAR AM(9）</t>
  </si>
  <si>
    <t>M12</t>
  </si>
  <si>
    <t>SPRING WASHER REGULAR AM(10）</t>
  </si>
  <si>
    <t>PO1912-53801-LRT</t>
  </si>
  <si>
    <t>E68</t>
  </si>
  <si>
    <t xml:space="preserve">M1.6 M2 M3 </t>
  </si>
  <si>
    <t>Hex Nut Style_AM（1）</t>
  </si>
  <si>
    <t>Hex Nut Style_AM</t>
  </si>
  <si>
    <t>Hex Nut Style_AM（2）</t>
  </si>
  <si>
    <t>M3 X 0.5</t>
  </si>
  <si>
    <t>Hex Nut Style_AM（3）</t>
  </si>
  <si>
    <t>PO1908-51199-LRT</t>
  </si>
  <si>
    <t>E69</t>
  </si>
  <si>
    <t>M4 M5 M6</t>
  </si>
  <si>
    <t>Hex Nut Style_AM（5）</t>
  </si>
  <si>
    <t>M4 X 0.7</t>
  </si>
  <si>
    <t>Hex Nut Style_AM（6）</t>
  </si>
  <si>
    <t>#4-40</t>
  </si>
  <si>
    <t>Stainless Steel Hex Nut（7）</t>
  </si>
  <si>
    <t>Stainless Steel Hex Nut</t>
  </si>
  <si>
    <t>HEX NUT (M5)（8）</t>
  </si>
  <si>
    <t>HEX NUT (M5)</t>
  </si>
  <si>
    <t>NUT Stainless Steel</t>
  </si>
  <si>
    <t>M6 X 1.0</t>
  </si>
  <si>
    <t>HEX NUT (M6)（9）</t>
  </si>
  <si>
    <t>HEX NUT (M6)</t>
  </si>
  <si>
    <t xml:space="preserve">M4 </t>
  </si>
  <si>
    <t>ALUMINIUM HEX NUT M4</t>
  </si>
  <si>
    <t>E70</t>
  </si>
  <si>
    <t xml:space="preserve">M8 M10 </t>
  </si>
  <si>
    <t>HEX NUT (M8)（10）</t>
  </si>
  <si>
    <t>HEX NUT (M8-ZINC</t>
  </si>
  <si>
    <t>M8 X 1.25</t>
  </si>
  <si>
    <t>HEXAGON NUT</t>
  </si>
  <si>
    <t>PO2008-59354-LRT</t>
  </si>
  <si>
    <t>HEX NUT (M10)（11）</t>
  </si>
  <si>
    <t>HEX NUT (M10)</t>
  </si>
  <si>
    <t>#10.32  X 1/2</t>
  </si>
  <si>
    <t>HEX NUT (#10.32)（12）</t>
  </si>
  <si>
    <t>HEX NUT (#10.32)</t>
  </si>
  <si>
    <t>M3 M4 M5 M6</t>
  </si>
  <si>
    <t>WELD HEX NUT</t>
  </si>
  <si>
    <t>PO1908-50706-LRT</t>
  </si>
  <si>
    <t>HEX NUT STYLE1_AM（13）</t>
  </si>
  <si>
    <t>HEX NUT STYLE1_AM</t>
  </si>
  <si>
    <t>WELD NUT - S/STEEL</t>
  </si>
  <si>
    <t>PO2010-61207-LRT</t>
  </si>
  <si>
    <t>E71</t>
  </si>
  <si>
    <t>Hex Nut M30 x 3.5</t>
  </si>
  <si>
    <t>M30 x 3.5</t>
  </si>
  <si>
    <t>Hex Nut -ZINC</t>
  </si>
  <si>
    <t>E73</t>
  </si>
  <si>
    <t>M2 M2.5 M3 M3.5 M4 M5 M6</t>
  </si>
  <si>
    <t>FLAT WASHER REGULAR_AM（1）</t>
  </si>
  <si>
    <t>FLAT WASHER REGULAR_AM</t>
  </si>
  <si>
    <t>M2.5</t>
  </si>
  <si>
    <t>FLAT WASHER REGULAR_AM（2）</t>
  </si>
  <si>
    <t>FLAT WASHER REGULAR_AM（3）</t>
  </si>
  <si>
    <t>M3.5</t>
  </si>
  <si>
    <t>FLAT WASHER REGULAR_AM（4）</t>
  </si>
  <si>
    <t>FLAT WASHER REGULAR_AM（5）</t>
  </si>
  <si>
    <t>FLAT WASHER REGULAR_AM（6）</t>
  </si>
  <si>
    <t>FLAT WASHER REGULAR_AM（7）</t>
  </si>
  <si>
    <t>E74</t>
  </si>
  <si>
    <t>M8 M10 M12</t>
  </si>
  <si>
    <t>FLAT WASHER REGULAR_AM（8）</t>
  </si>
  <si>
    <t>FLAT WASHER REGULAR_AM（9）</t>
  </si>
  <si>
    <t>FLAT WASHER REGULAR_AM（10）</t>
  </si>
  <si>
    <t>PO1907-50033-LRT</t>
  </si>
  <si>
    <t>E75</t>
  </si>
  <si>
    <t>#4.40 #8.32  #10.32</t>
  </si>
  <si>
    <t xml:space="preserve">BUTTON </t>
  </si>
  <si>
    <t>M4-40 X 5/8</t>
  </si>
  <si>
    <t>BUTTON HEAD CAP SCREW（1）</t>
  </si>
  <si>
    <t>BUTTON HEAD CAP SCREW</t>
  </si>
  <si>
    <t>4.40 X 6.35</t>
  </si>
  <si>
    <t>BUTTON HEAD CAP SCREW（2）</t>
  </si>
  <si>
    <t>PO1908-51045-LRT</t>
  </si>
  <si>
    <t>4.40 X 9.525</t>
  </si>
  <si>
    <t>BUTTON HEAD CAP SCREW（3）</t>
  </si>
  <si>
    <t>PO1908-50853-LRT</t>
  </si>
  <si>
    <t>#4-40 X 9.525</t>
  </si>
  <si>
    <t>BUTTON HEAD CAP SCREW（4）</t>
  </si>
  <si>
    <t>PO1809-42645-LRT</t>
  </si>
  <si>
    <t>#4-40 x 12.7</t>
  </si>
  <si>
    <t>#8-32 x 1/4</t>
  </si>
  <si>
    <t>BUTTON HEAD CAP SCREW（5）</t>
  </si>
  <si>
    <t>#8-32X 3/4</t>
  </si>
  <si>
    <t>BUTTON HEAD CAP SCREW（6）</t>
  </si>
  <si>
    <t>#8-32 x 3/8</t>
  </si>
  <si>
    <t>BUTTON HEAD CAP SCREW（7）</t>
  </si>
  <si>
    <t>#8-32 x 5/8</t>
  </si>
  <si>
    <t>BUTTON HEAD CAP SCREW（8）</t>
  </si>
  <si>
    <t>#8-32 x 7/8</t>
  </si>
  <si>
    <t>BUTTON HEAD CAP SCREW（9）</t>
  </si>
  <si>
    <t>#8-32 x 12.7</t>
  </si>
  <si>
    <t>BUTTON HEAD CAP SCREW（10）</t>
  </si>
  <si>
    <t>#10-32 x 1/2</t>
  </si>
  <si>
    <t>BUTTON HEAD CAP SCREW（11）</t>
  </si>
  <si>
    <t>M10-32 x 1/2</t>
  </si>
  <si>
    <t>PO2007-58218-LRT</t>
  </si>
  <si>
    <t>#10-32 x 3/8</t>
  </si>
  <si>
    <t>BUTTON HEAD CAP SCREW（12）</t>
  </si>
  <si>
    <t>SOCKET BUTTON HEAD CAP SCREW</t>
  </si>
  <si>
    <t>10.32 X 5/8</t>
  </si>
  <si>
    <t>BUTTON HEAD CAP SCREW（13）</t>
  </si>
  <si>
    <t>E76</t>
  </si>
  <si>
    <t xml:space="preserve">M3 M4 </t>
  </si>
  <si>
    <t>SELF LOCK NUT</t>
  </si>
  <si>
    <t xml:space="preserve">M3 </t>
  </si>
  <si>
    <t>Nylon Jam Nut</t>
  </si>
  <si>
    <t>WING NUT</t>
  </si>
  <si>
    <t>M4 X 0.7 X 12</t>
  </si>
  <si>
    <t>WING SCREW</t>
  </si>
  <si>
    <t>CHOB6-12</t>
  </si>
  <si>
    <t>M6 WING SCREW</t>
  </si>
  <si>
    <t>JE-RN4-6</t>
  </si>
  <si>
    <t>RHOMBUS NUT</t>
  </si>
  <si>
    <t>PO2004-56473-LRT</t>
  </si>
  <si>
    <t>JE-RN4-8</t>
  </si>
  <si>
    <t>Rhombus Nut M4</t>
  </si>
  <si>
    <t>JE-RN6-8</t>
  </si>
  <si>
    <t>PO2007-58813-LRT</t>
  </si>
  <si>
    <t>JE-RN6-10</t>
  </si>
  <si>
    <t>PS40-RN5-8</t>
  </si>
  <si>
    <t>E77</t>
  </si>
  <si>
    <t>M3 M6 M8 M20</t>
  </si>
  <si>
    <t>SQUARE NUT</t>
  </si>
  <si>
    <t>JE-SN5-6</t>
  </si>
  <si>
    <t>Square Nut (M5)</t>
  </si>
  <si>
    <t>SQUARE NUT (ZINC)</t>
  </si>
  <si>
    <t>F</t>
  </si>
  <si>
    <t>M3 4/5/6/8-8</t>
  </si>
  <si>
    <t>PS40-HRNS4-8</t>
  </si>
  <si>
    <t>Half Round Nut</t>
  </si>
  <si>
    <t>PS40-HRNS5-8</t>
  </si>
  <si>
    <t xml:space="preserve">Half Round Nut </t>
  </si>
  <si>
    <t>PS40-HRNS6-8</t>
  </si>
  <si>
    <t>PO2008-59019-LRT</t>
  </si>
  <si>
    <t>PS40-HRNS8-8</t>
  </si>
  <si>
    <t>PS40-GE40 X 40.8</t>
  </si>
  <si>
    <t>M20</t>
  </si>
  <si>
    <t>Domed Nuts</t>
  </si>
  <si>
    <t>PO1912-53782-LRT</t>
  </si>
  <si>
    <t>E78</t>
  </si>
  <si>
    <t>CAP</t>
  </si>
  <si>
    <t>M8 X 10</t>
  </si>
  <si>
    <t>SOCKET HEAD CAP SCREW</t>
  </si>
  <si>
    <t>M8 X 1.25 X 12</t>
  </si>
  <si>
    <t xml:space="preserve">SCREW </t>
  </si>
  <si>
    <t>M8 X 15 (16)</t>
  </si>
  <si>
    <t>M8 x 1.25 x 16</t>
  </si>
  <si>
    <t>PO2007-58657-LRT</t>
  </si>
  <si>
    <t>M8 X 20</t>
  </si>
  <si>
    <t>PO2008-59537-LRT</t>
  </si>
  <si>
    <t>M8 X 25</t>
  </si>
  <si>
    <t>M8 X 30</t>
  </si>
  <si>
    <t>PO1911-53244-LRT</t>
  </si>
  <si>
    <t>M8 X 35</t>
  </si>
  <si>
    <t>M8 X 1.25 X 40</t>
  </si>
  <si>
    <t>PO1510-19350-LRT</t>
  </si>
  <si>
    <t>M8 X 45</t>
  </si>
  <si>
    <t>PO1905-48694-LRT</t>
  </si>
  <si>
    <t>M8 X 1.25 X 55</t>
  </si>
  <si>
    <t>PO1508-17991-LRT</t>
  </si>
  <si>
    <t>M8 x 1.25 x 60</t>
  </si>
  <si>
    <t>M8 X 65</t>
  </si>
  <si>
    <t>M8 x 70</t>
  </si>
  <si>
    <t>E79</t>
  </si>
  <si>
    <t xml:space="preserve"> M3 </t>
  </si>
  <si>
    <t>M3 X 4</t>
  </si>
  <si>
    <t>DOWEL PIN( 27)</t>
  </si>
  <si>
    <t>DOWEL PIN</t>
  </si>
  <si>
    <t>M3 X 5</t>
  </si>
  <si>
    <t>DOWEL PIN( 28)</t>
  </si>
  <si>
    <t>M3 X 6</t>
  </si>
  <si>
    <t>DOWEL PIN( 29)</t>
  </si>
  <si>
    <t>PO1912-53569-LRT</t>
  </si>
  <si>
    <t>M3 x 8</t>
  </si>
  <si>
    <t>DOWEL PIN( 30)</t>
  </si>
  <si>
    <t>PO2005-56742-LRT</t>
  </si>
  <si>
    <t>M3 X 10</t>
  </si>
  <si>
    <t>DOWEL PIN( 31)</t>
  </si>
  <si>
    <t>M3 X 12</t>
  </si>
  <si>
    <t>M3 X 18</t>
  </si>
  <si>
    <t>DOWEL PIN(32 )</t>
  </si>
  <si>
    <t>M3 X 20</t>
  </si>
  <si>
    <t>DOWEL PIN( 33)</t>
  </si>
  <si>
    <t>M3 X 25</t>
  </si>
  <si>
    <t>M3 X 30</t>
  </si>
  <si>
    <t>DOWEL PIN( 34)</t>
  </si>
  <si>
    <t>M3 X 40</t>
  </si>
  <si>
    <t>DOWEL PIN( 35)</t>
  </si>
  <si>
    <t>M3 X 45</t>
  </si>
  <si>
    <t>DOWEL PIN( 36)</t>
  </si>
  <si>
    <t>M3 X 50</t>
  </si>
  <si>
    <t>DOWEL PIN( 37)</t>
  </si>
  <si>
    <t>E80</t>
  </si>
  <si>
    <t>M4 X 6</t>
  </si>
  <si>
    <t>DOWEL PIN( 1)</t>
  </si>
  <si>
    <t>M4 X 8</t>
  </si>
  <si>
    <t>DOWEL PIN( 2)</t>
  </si>
  <si>
    <t>M4 X 10</t>
  </si>
  <si>
    <t>MIXED PART - WAITING FOR SEPARATETION</t>
  </si>
  <si>
    <t>M4 X 12</t>
  </si>
  <si>
    <t>PO2001-54407-LRT</t>
  </si>
  <si>
    <t>M4 X15</t>
  </si>
  <si>
    <t>DOWEL PIN( 3)</t>
  </si>
  <si>
    <t>M4 X 16</t>
  </si>
  <si>
    <t>DOWEL PIN( 4)</t>
  </si>
  <si>
    <t>PO2002-54936-LRT</t>
  </si>
  <si>
    <t>M4 X 18</t>
  </si>
  <si>
    <t>DOWEL PIN( 5)</t>
  </si>
  <si>
    <t>M4 X 20</t>
  </si>
  <si>
    <t>M4 X 25</t>
  </si>
  <si>
    <t>M4 X 35</t>
  </si>
  <si>
    <t>DOWEL PIN( 6)</t>
  </si>
  <si>
    <t>M4 X 50</t>
  </si>
  <si>
    <t>DOWEL PIN( 7)</t>
  </si>
  <si>
    <t xml:space="preserve">M4 X 55 </t>
  </si>
  <si>
    <t>DOWEL PIN( 8)</t>
  </si>
  <si>
    <t>M4 X 60</t>
  </si>
  <si>
    <t>DOWEL PIN( 9)</t>
  </si>
  <si>
    <t>E81</t>
  </si>
  <si>
    <t>M5 X 8</t>
  </si>
  <si>
    <t>DOWEL PIN( 10)</t>
  </si>
  <si>
    <t>M5 X 10</t>
  </si>
  <si>
    <t>S/S DOWEL PIN</t>
  </si>
  <si>
    <t xml:space="preserve"> DOWEL PIN</t>
  </si>
  <si>
    <t>M5 X 12</t>
  </si>
  <si>
    <t>DOWEL PIN( 11)</t>
  </si>
  <si>
    <t>M5 X 13</t>
  </si>
  <si>
    <t>DOWEL PIN( 12)</t>
  </si>
  <si>
    <t>Dowel Pin - ( offen : M5x12)</t>
  </si>
  <si>
    <t>PO1911-53241-LRT</t>
  </si>
  <si>
    <t>M5 X 16</t>
  </si>
  <si>
    <t>M5 X 20</t>
  </si>
  <si>
    <t>M5 X 25</t>
  </si>
  <si>
    <t>M5 X30</t>
  </si>
  <si>
    <t>M5 X 40</t>
  </si>
  <si>
    <t>DOWEL PIN( 13)</t>
  </si>
  <si>
    <t xml:space="preserve">Dowel Pin </t>
  </si>
  <si>
    <t>M5 X 60</t>
  </si>
  <si>
    <t>DOWEL PIN( 14)</t>
  </si>
  <si>
    <t>E82</t>
  </si>
  <si>
    <t>S/S M3 M4  M5 M6 M8 M10</t>
  </si>
  <si>
    <t>PIN S/S</t>
  </si>
  <si>
    <t>M2 X 6</t>
  </si>
  <si>
    <t>PO1907-50024-LRT</t>
  </si>
  <si>
    <t>M3 x 5</t>
  </si>
  <si>
    <t>M3 X 8</t>
  </si>
  <si>
    <t>`</t>
  </si>
  <si>
    <t>M3 X 16</t>
  </si>
  <si>
    <t>PO1907-50057-LRT</t>
  </si>
  <si>
    <t>PO1902-46069-LRT</t>
  </si>
  <si>
    <t>M5 X 15</t>
  </si>
  <si>
    <t>PO2008-59351-LRT</t>
  </si>
  <si>
    <t>M6 X 10</t>
  </si>
  <si>
    <t>PO1906-49315-LRT</t>
  </si>
  <si>
    <t>6mm DIA X 12mm</t>
  </si>
  <si>
    <t>PO1809-42423-LRT</t>
  </si>
  <si>
    <t>M6 X 16</t>
  </si>
  <si>
    <t>M6 X 18</t>
  </si>
  <si>
    <t>PO1905-48610-LRT</t>
  </si>
  <si>
    <t>M6X20 / DIN 6325 HARD STEEL</t>
  </si>
  <si>
    <t>M6 X 20</t>
  </si>
  <si>
    <t>M6 X 25</t>
  </si>
  <si>
    <t>M6 X 65</t>
  </si>
  <si>
    <t>PO1908-50637-LRT</t>
  </si>
  <si>
    <t>M8 X 12mm</t>
  </si>
  <si>
    <t>PO1812-44758-LRT</t>
  </si>
  <si>
    <t>M8 X 16</t>
  </si>
  <si>
    <t>M10 X 16</t>
  </si>
  <si>
    <t>PO2001-54277-LRT</t>
  </si>
  <si>
    <t>M16 X 18</t>
  </si>
  <si>
    <t>97395A481</t>
  </si>
  <si>
    <t>DOWEL PIN S/STEEL 1/4 X 5/8 316</t>
  </si>
  <si>
    <t>PO2007-58961-LRT</t>
  </si>
  <si>
    <t>E 83</t>
  </si>
  <si>
    <t>M1.4 M1.6 M2 M3 M4 M5 M6</t>
  </si>
  <si>
    <t xml:space="preserve">PAN SLOT HEAD SCREW </t>
  </si>
  <si>
    <t>M1.4 X 0.3 X 3mm</t>
  </si>
  <si>
    <t>PAN SLOT HEAD SCREW (2）</t>
  </si>
  <si>
    <t>PAN SLOT HEAD SCREW</t>
  </si>
  <si>
    <t>M1.4 X 0.3 X 6mm</t>
  </si>
  <si>
    <t>PAN SLOT HEAD SCREW (3）</t>
  </si>
  <si>
    <t>M1.6 X 0.35 X 6</t>
  </si>
  <si>
    <t>PAN SLOT HEAD SCREW (4）</t>
  </si>
  <si>
    <t>PAN CROSS HEAD (S/STEEL)</t>
  </si>
  <si>
    <t>M1.6 X 0.35 X 8</t>
  </si>
  <si>
    <t>PAN SLOT HEAD SCREW (5）</t>
  </si>
  <si>
    <t>PAN CROSS HEAD_AM</t>
  </si>
  <si>
    <t>PO1807-41373-LRT</t>
  </si>
  <si>
    <t>M1.6 X 12</t>
  </si>
  <si>
    <t>PAN SLOT HEAD SCREW (6）</t>
  </si>
  <si>
    <t>M2 X 0.4 X 4</t>
  </si>
  <si>
    <t>PAN SLOT HEAD SCREW (7）</t>
  </si>
  <si>
    <t>M2 X 0.4 X 5</t>
  </si>
  <si>
    <t>PAN SLOT HEAD SCREW (8）</t>
  </si>
  <si>
    <t>PAN SLOT HEAD SCREW (9）</t>
  </si>
  <si>
    <t>M2 X 12</t>
  </si>
  <si>
    <t>PAN SLOT HEAD SCREW (10）</t>
  </si>
  <si>
    <t>#2-56 X 0.1875</t>
  </si>
  <si>
    <t>PAN SLOT HEAD SCREW (11）</t>
  </si>
  <si>
    <t>M3 X 0.5 X 4</t>
  </si>
  <si>
    <t>PAN SLOT HEAD SCREW (12）</t>
  </si>
  <si>
    <t>M3 X 0.5 X 6</t>
  </si>
  <si>
    <t>PAN SLOT HEAD SCREW (13）</t>
  </si>
  <si>
    <t>M3 x 0.5 x 8</t>
  </si>
  <si>
    <t>PAN SLOT HEAD SCREW (14）</t>
  </si>
  <si>
    <t>M3 X 0.5 X 10</t>
  </si>
  <si>
    <t>PAN SLOT HEAD SCREW (15）</t>
  </si>
  <si>
    <t>M4 X 0.7 X 6</t>
  </si>
  <si>
    <t>PAN SLOT HEAD SCREW (16）</t>
  </si>
  <si>
    <t>PAN SLOT HEAD SCREW (17）</t>
  </si>
  <si>
    <t>#10-32 X 5-8</t>
  </si>
  <si>
    <t>PAN SLOT HEAD SCREW (18）</t>
  </si>
  <si>
    <t>PAN CROSS HEAD w/o P.COAT</t>
  </si>
  <si>
    <t>10-32 x 5-8</t>
  </si>
  <si>
    <t>PAN SLOT HEAD SCREW (19）</t>
  </si>
  <si>
    <t>PAN CROSS HEAD P/COAT</t>
  </si>
  <si>
    <t>E84</t>
  </si>
  <si>
    <t>M5 M6</t>
  </si>
  <si>
    <t>T-SLOT NUT</t>
  </si>
  <si>
    <t>1910-52043-LRT</t>
  </si>
  <si>
    <t>E85</t>
  </si>
  <si>
    <t xml:space="preserve">M10 </t>
  </si>
  <si>
    <t xml:space="preserve">CAP </t>
  </si>
  <si>
    <t>M10X10</t>
  </si>
  <si>
    <t>M10 X 1.5 X 12</t>
  </si>
  <si>
    <t>SOCKET HEAD CAP SCREW（1）</t>
  </si>
  <si>
    <t xml:space="preserve">SOCKET HEAD CAP SCREW </t>
  </si>
  <si>
    <t>PO1808-42340-LRT</t>
  </si>
  <si>
    <t>M10 X 1.5 X 16</t>
  </si>
  <si>
    <t xml:space="preserve"> SOCKET HEAD CAP SCREW  ( 2)</t>
  </si>
  <si>
    <t>PO1604-23698-LRT</t>
  </si>
  <si>
    <t>M10 X 1.5 X 20</t>
  </si>
  <si>
    <t>SOCKET HEAD CAP SCREW（3）</t>
  </si>
  <si>
    <t>M10 X 25</t>
  </si>
  <si>
    <t>SOCKET HEAD CAP SCREW（4 ）</t>
  </si>
  <si>
    <t>PO1910-51871-LRT</t>
  </si>
  <si>
    <t>M10 X 1.5 X 30</t>
  </si>
  <si>
    <t>PO1510-19389-LRT</t>
  </si>
  <si>
    <t>M10 X 35</t>
  </si>
  <si>
    <t>SOCKET HEAD CAP SCREW（6 ）</t>
  </si>
  <si>
    <t>M10 X 1.5 X 40</t>
  </si>
  <si>
    <t>M10X45</t>
  </si>
  <si>
    <t>SOCKET HEAD CAP SCREW（8 ）</t>
  </si>
  <si>
    <t>PO1706-32791-LRT</t>
  </si>
  <si>
    <t>M10X50</t>
  </si>
  <si>
    <t>SOCKET HEAD CAP SCREW（9 ）</t>
  </si>
  <si>
    <t>M10 X 1.5 X 55</t>
  </si>
  <si>
    <t>SOCKET HEAD CAP SCREW（10 ）</t>
  </si>
  <si>
    <t>M10 X 1.5 X 60</t>
  </si>
  <si>
    <t>SOCKET HEAD CAP SCREW（11 ）</t>
  </si>
  <si>
    <t>M10 X 1.5 X 65</t>
  </si>
  <si>
    <t>M10 X 1.50 X 70</t>
  </si>
  <si>
    <t>SOCKET HEAD CAP SCREW（13 ）</t>
  </si>
  <si>
    <t>M10 X 1.5 X 80</t>
  </si>
  <si>
    <t>SOCKET HEAD CAP SCREW（14）</t>
  </si>
  <si>
    <t>E86</t>
  </si>
  <si>
    <t>M1</t>
  </si>
  <si>
    <t xml:space="preserve"> SCREW-MISUMI </t>
  </si>
  <si>
    <t>CSPPN3P-SUS-M1.6-10</t>
  </si>
  <si>
    <t xml:space="preserve">PHILIP PAN HEAD SCREW-MISUMI </t>
  </si>
  <si>
    <t>E87</t>
  </si>
  <si>
    <t>M2 M2.5 M3</t>
  </si>
  <si>
    <t>SET</t>
  </si>
  <si>
    <t>SOCKET SET SCREW CUP POINT_AM（ 1）</t>
  </si>
  <si>
    <t>SOCKET SET SCREW CUP POINT_AM</t>
  </si>
  <si>
    <t>M2 X 8</t>
  </si>
  <si>
    <t>SOCKET SET SCREW CUP POINT_AM（2 ）</t>
  </si>
  <si>
    <t>M2 X 10</t>
  </si>
  <si>
    <t>SOCKET SET SCREW CUP POINT_AM（ 3）</t>
  </si>
  <si>
    <t>M2.5 X 6</t>
  </si>
  <si>
    <t>SOCKET SET SCREW CUP POINT_AM（ 4）</t>
  </si>
  <si>
    <t>M2.5 X 8</t>
  </si>
  <si>
    <t>SOCKET SET SCREW CUP POINT_AM（ 5）</t>
  </si>
  <si>
    <t>M2.5 X 10</t>
  </si>
  <si>
    <t>SOCKET SET SCREW CUP POINT_AM（6 ）</t>
  </si>
  <si>
    <t>M2.5 X 12</t>
  </si>
  <si>
    <t>SOCKET SET SCREW CUP POINT_AM（7 ）</t>
  </si>
  <si>
    <t>M3 X 3</t>
  </si>
  <si>
    <t>SOCKET SET SCREW CUP POINT_AM（ 8）</t>
  </si>
  <si>
    <t>m1.0 x 6</t>
  </si>
  <si>
    <t>SOCKET SET SCREW CUP POINT_AM（9）</t>
  </si>
  <si>
    <t>SOCKET SET SCREW CUP POINT_AM（ 10）</t>
  </si>
  <si>
    <t>SOCKET SET SCREW CUP POINT_AM（11）</t>
  </si>
  <si>
    <t>SOCKET SET SCREW CUP POINT_AM（ 12）</t>
  </si>
  <si>
    <t>SOCKET SET SCREW CUP POINT_AM（ 13）</t>
  </si>
  <si>
    <t>SOCKET SET SCREW CUP POINT_AM（ 14）</t>
  </si>
  <si>
    <t>SOCKET SET SCREW CUP POINT_AM（ 15）</t>
  </si>
  <si>
    <t>SOCKET SET SCREW CUP POINT_AM（ 16）</t>
  </si>
  <si>
    <t>E88</t>
  </si>
  <si>
    <t>M4 M5</t>
  </si>
  <si>
    <t>M4 X 4</t>
  </si>
  <si>
    <t>M4 x 0.7 x 4</t>
  </si>
  <si>
    <t>M4 X 5</t>
  </si>
  <si>
    <t>SOCKET SET SCREW CUP POINT_AM（ 2）</t>
  </si>
  <si>
    <t>SOCKET SET SCREW CUP POINT_AM（3）</t>
  </si>
  <si>
    <t>M4 X 0.7 X 8</t>
  </si>
  <si>
    <t>SOCKET SET SCREW CUP POINT_AM（4 ）</t>
  </si>
  <si>
    <t>M4 X 0.7 X 10</t>
  </si>
  <si>
    <t>SOCKET SET SCREW CUP POINT_AM（5）</t>
  </si>
  <si>
    <t>M4 X 15</t>
  </si>
  <si>
    <t>SOCKET SET SCREW CUP POINT_AM（ 7）</t>
  </si>
  <si>
    <t>SOCKET SET SCREW CUP POINT_AM（9 ）</t>
  </si>
  <si>
    <t>M4 X 30</t>
  </si>
  <si>
    <t>SOCKET SET SCREW CUP POINT_AM（ 11）</t>
  </si>
  <si>
    <t>M4 x 0.7 x 30</t>
  </si>
  <si>
    <t>SOCKET SET SCREW CUP POINT_AM（12 ）</t>
  </si>
  <si>
    <t>M5 X 4</t>
  </si>
  <si>
    <t>M5 X 0.8 X 5</t>
  </si>
  <si>
    <t>M5 X 0.8 X 6</t>
  </si>
  <si>
    <t>M5 X 0.8 X 8</t>
  </si>
  <si>
    <t>PO2005-56905-LRT</t>
  </si>
  <si>
    <t>M5 X 0.8 X 16</t>
  </si>
  <si>
    <t>SOCKET SET SCREW CUP POINT_AM（ 17）</t>
  </si>
  <si>
    <t>M5 x 0.8 x 30</t>
  </si>
  <si>
    <t>SOCKET SET SCREW CUP POINT_AM（ 18）</t>
  </si>
  <si>
    <t>M5 X 35</t>
  </si>
  <si>
    <t>SOCKET SET SCREW CUP POINT_AM（ 19）</t>
  </si>
  <si>
    <t>SOCKET SET SCREW CUP POINT_AM（ 20）</t>
  </si>
  <si>
    <t>E89</t>
  </si>
  <si>
    <t>M6 M8 M12</t>
  </si>
  <si>
    <t>M6 X 6</t>
  </si>
  <si>
    <t>SOCKET SET SCREW CUP POINT_AM（1）</t>
  </si>
  <si>
    <t>M6 X 8</t>
  </si>
  <si>
    <t>M6 x 10</t>
  </si>
  <si>
    <t>Socket Set Screw</t>
  </si>
  <si>
    <t>M6 X 1.0 X 20</t>
  </si>
  <si>
    <t>M6 X 35</t>
  </si>
  <si>
    <t>M6 X 50</t>
  </si>
  <si>
    <t>M8 X 5</t>
  </si>
  <si>
    <t>SOCKET SET SCREW CUP POINT_AM（ 6）</t>
  </si>
  <si>
    <t>M8 X 6</t>
  </si>
  <si>
    <t>M8 X 8</t>
  </si>
  <si>
    <t>SOCKET SET SCREW CUP POINT_AM（ 9）</t>
  </si>
  <si>
    <t>M12 x 1.75 x 12</t>
  </si>
  <si>
    <t>M12 x 1.75 x 15</t>
  </si>
  <si>
    <t>E90</t>
  </si>
  <si>
    <t>SHCL-M3.8-A2</t>
  </si>
  <si>
    <t>M3X8MM TORX LOW CAP SCREW</t>
  </si>
  <si>
    <t>RDOF5-50</t>
  </si>
  <si>
    <t>RODS STAINLESS STEEL</t>
  </si>
  <si>
    <t>HCDG3-10</t>
  </si>
  <si>
    <t>PIVOT PINS</t>
  </si>
  <si>
    <t>3.2 x 6mm</t>
  </si>
  <si>
    <t>DOME HEAD BLIND RIVET (ALU/STEEL)</t>
  </si>
  <si>
    <t>UTSHN4-50-15</t>
  </si>
  <si>
    <t>URETHANE</t>
  </si>
  <si>
    <t>NETWS3</t>
  </si>
  <si>
    <t>Retaining Rings</t>
  </si>
  <si>
    <t>E91</t>
  </si>
  <si>
    <t>OTHER</t>
  </si>
  <si>
    <t>M2 X 5</t>
  </si>
  <si>
    <t>(1）Countersunk Cross Head Screw</t>
  </si>
  <si>
    <t>Countersunk Cross Head Screw</t>
  </si>
  <si>
    <t>(2）Countersunk Cross Head Screw</t>
  </si>
  <si>
    <t>(3）Countersunk Cross Head Screw</t>
  </si>
  <si>
    <t>PO1910-52451-LRT</t>
  </si>
  <si>
    <t>(4）Countersunk Cross Head Screw</t>
  </si>
  <si>
    <t>M2 X 0.4 X 6</t>
  </si>
  <si>
    <t>(5）FLAT CROSS HEAD SCREW (+)</t>
  </si>
  <si>
    <t>FLAT CROSS HEAD SCREW (+)</t>
  </si>
  <si>
    <t>PO1712-37055-LRT</t>
  </si>
  <si>
    <t>(6）FLAT CROSS HEAD SCREW</t>
  </si>
  <si>
    <t>FLAT CROSS HEAD SCREW</t>
  </si>
  <si>
    <t>PO1812-45023</t>
  </si>
  <si>
    <t>6/32 X 3/16</t>
  </si>
  <si>
    <t>(7)PAN SLOT HEAD SCREW</t>
  </si>
  <si>
    <t>(8）SOCKET SET SCREW CUP POINT_AM</t>
  </si>
  <si>
    <t>M3 X 0.5 X 5</t>
  </si>
  <si>
    <t>（10）Truss Head Machine Scre</t>
  </si>
  <si>
    <t>Truss Head Machine Scre</t>
  </si>
  <si>
    <t>（11）TRUSS HEAD MACHINE SCREW M3 X 0.5 X 10 - (ZINC PLATED)</t>
  </si>
  <si>
    <t>TRUSS HEAD MACHINE SCREW M3 X 0.5 X 10 - (ZINC PLATED)</t>
  </si>
  <si>
    <t>#4x3/8</t>
  </si>
  <si>
    <t>（12）PAN HEAD SELF TAPPING SCREW (4-40)</t>
  </si>
  <si>
    <t>PAN HEAD SELF TAPPING SCREW (4-40)</t>
  </si>
  <si>
    <t>PO1904-47260-LRT</t>
  </si>
  <si>
    <t>#8 X 5/8</t>
  </si>
  <si>
    <t>（13）SELF TAPPING SCREW</t>
  </si>
  <si>
    <t>SELF TAPPING SCREW</t>
  </si>
  <si>
    <t>（14）C Clip - M3</t>
  </si>
  <si>
    <t>C Clip - M3</t>
  </si>
  <si>
    <t>PO1811-44001-LRT</t>
  </si>
  <si>
    <t>（15）E-CLIP</t>
  </si>
  <si>
    <t>E-CLIP</t>
  </si>
  <si>
    <t>PO1908-50823-LRT</t>
  </si>
  <si>
    <t>M4 / DIN 6799 SS</t>
  </si>
  <si>
    <t>（16）Retaining Ring</t>
  </si>
  <si>
    <t>Retaining Ring</t>
  </si>
  <si>
    <t>E6</t>
  </si>
  <si>
    <t>（17）E Circlip</t>
  </si>
  <si>
    <t>E Circlip</t>
  </si>
  <si>
    <t>A-12</t>
  </si>
  <si>
    <t>（18）CIRCLIP</t>
  </si>
  <si>
    <t>CIRCLIP</t>
  </si>
  <si>
    <t>PO1908-50719</t>
  </si>
  <si>
    <t>STWN19</t>
  </si>
  <si>
    <t>（19）Retaining Ring</t>
  </si>
  <si>
    <t>PO2001-54370-LRT</t>
  </si>
  <si>
    <t>18X25X1.0/SS</t>
  </si>
  <si>
    <t>（20）SHIM RING</t>
  </si>
  <si>
    <t>SHIM RING</t>
  </si>
  <si>
    <t>RING</t>
  </si>
  <si>
    <t>PO1910-52351-LRT</t>
  </si>
  <si>
    <t>BPCT5</t>
  </si>
  <si>
    <t>(21)BALL PLUNGER STEEL</t>
  </si>
  <si>
    <t>BALL PLUNGER</t>
  </si>
  <si>
    <t>PO1907-50365-LRT</t>
  </si>
  <si>
    <t>(22)BALL PLUNGER STEEL</t>
  </si>
  <si>
    <t>BALL PLUNGER STEEL</t>
  </si>
  <si>
    <t>BST 3</t>
  </si>
  <si>
    <t>(23)BALL PLUNGER STEEL</t>
  </si>
  <si>
    <t>BST5</t>
  </si>
  <si>
    <t>(24)BALL PLUNGER STEEL</t>
  </si>
  <si>
    <t>D4X10 / DIN 1481 ZINC</t>
  </si>
  <si>
    <t>(25)SPRING PIN</t>
  </si>
  <si>
    <t>SPRING PIN</t>
  </si>
  <si>
    <t>E92</t>
  </si>
  <si>
    <t>M12 X 10</t>
  </si>
  <si>
    <t>SOCKET HEAD CAP SCREW(1)</t>
  </si>
  <si>
    <t>PO1910-51990-LRT</t>
  </si>
  <si>
    <t>M12 X 12</t>
  </si>
  <si>
    <t>SOCKET HEAD CAP SCREW(2)</t>
  </si>
  <si>
    <t>M12 X 16</t>
  </si>
  <si>
    <t>SOCKET HEAD CAP SCREW(3)</t>
  </si>
  <si>
    <t>M12 X 25</t>
  </si>
  <si>
    <t>SOCKET HEAD CAP SCREW(4)</t>
  </si>
  <si>
    <t>PO1912-53407-LRT</t>
  </si>
  <si>
    <t>M12 X 30</t>
  </si>
  <si>
    <t>SOCKET HEAD CAP SCREW(5)</t>
  </si>
  <si>
    <t>M12 X 1.75 X 35</t>
  </si>
  <si>
    <t>SOCKET HEAD CAP SCREW(6)</t>
  </si>
  <si>
    <t>M12X40</t>
  </si>
  <si>
    <t>SOCKET HEAD CAP SCREW(7)</t>
  </si>
  <si>
    <t>M12X50</t>
  </si>
  <si>
    <t>SOCKET HEAD CAP SCREW(8)</t>
  </si>
  <si>
    <t>M12X90</t>
  </si>
  <si>
    <t>SOCKET HEAD CAP SCREW(9)</t>
  </si>
  <si>
    <t>E99</t>
  </si>
  <si>
    <t xml:space="preserve"> M1.6 #4.40 #6.32 #10.32</t>
  </si>
  <si>
    <t>1.5 X 3</t>
  </si>
  <si>
    <t>SOCKET HEAD CAP SCREW_AM （1）</t>
  </si>
  <si>
    <t>SOCKET HEAD CAP SCREW_AM</t>
  </si>
  <si>
    <t>PO1909-51692-LRT</t>
  </si>
  <si>
    <t>M1.6 X 0.35 X 3</t>
  </si>
  <si>
    <t>SOCKET HEAD CAP SCREW_AM （2）</t>
  </si>
  <si>
    <t>M1.6 X 4</t>
  </si>
  <si>
    <t>SOCKET HEAD CAP SCREW_AM （3）</t>
  </si>
  <si>
    <t>1.6 X 6</t>
  </si>
  <si>
    <t>SOCKET HEAD CAP SCREW_AM （4）</t>
  </si>
  <si>
    <t>SOCKET HEAD CAP SCREW_AM （5）</t>
  </si>
  <si>
    <t>1.6 X 8</t>
  </si>
  <si>
    <t>SOCKET HEAD CAP SCREW_AM （6）</t>
  </si>
  <si>
    <t>SOCKET HEAD CAP SCREW_AM （7）</t>
  </si>
  <si>
    <t>M1.6 X 10</t>
  </si>
  <si>
    <t>SOCKET HEAD CAP SCREW_AM （8）</t>
  </si>
  <si>
    <t>SOCKET HEAD CAP SCREW_AM （9）</t>
  </si>
  <si>
    <t>#4.40 x 1.25</t>
  </si>
  <si>
    <t>SOCKET HEAD CAP SCREW_AM （10）</t>
  </si>
  <si>
    <t>#4.40 x 22.25</t>
  </si>
  <si>
    <t>SOCKET HEAD CAP SCREW_AM （11）</t>
  </si>
  <si>
    <t>#4.40 x 12.7</t>
  </si>
  <si>
    <t>SOCKET HEAD CAP SCREW_AM （12）</t>
  </si>
  <si>
    <t>#6.32 x 0.5</t>
  </si>
  <si>
    <t>SOCKET HEAD CAP SCREW_AM （13）</t>
  </si>
  <si>
    <t>#6.32 X 0.625</t>
  </si>
  <si>
    <t>SOCKET HEAD CAP SCREW_AM （14）</t>
  </si>
  <si>
    <t>#10.32 X 0.4375</t>
  </si>
  <si>
    <t>SOCKET HEAD CAP SCREW_AM （15）</t>
  </si>
  <si>
    <t>#10.32 X 1/2</t>
  </si>
  <si>
    <t>SOCKET HEAD CAP SCREW_AM （16）</t>
  </si>
  <si>
    <t>#10-32 x 0.625</t>
  </si>
  <si>
    <t>SOCKET HEAD CAP SCREW_AM （17）</t>
  </si>
  <si>
    <t>M6 X 30</t>
  </si>
  <si>
    <t>ALLOY SOCKET HEAD CAP SCREW</t>
  </si>
  <si>
    <t>M10x1.5x25</t>
  </si>
  <si>
    <t>ALLOY WASHER</t>
  </si>
  <si>
    <t>E100</t>
  </si>
  <si>
    <t>692901100001 - (Element : 2984267)</t>
  </si>
  <si>
    <t>USB 3.0 (USB 3.1 GEN 1, SUPERSPEED) CABLE A MALE TO A MALE 3.28' (1.00M) SHIELDED</t>
  </si>
  <si>
    <t>USB3SAB3</t>
  </si>
  <si>
    <t>3 FT SUPERSPEED USB 3.0 CABLE A TO B - M/M</t>
  </si>
  <si>
    <t>TRD695BL-5</t>
  </si>
  <si>
    <t>PREMIUM CAT 6 CABLE,RJ45\RJ45,BLUE 5.0 FT</t>
  </si>
  <si>
    <t>100, 101, 102</t>
  </si>
  <si>
    <t>CSMUAMICB-2M - (Element : 1896055)</t>
  </si>
  <si>
    <t>PREMIUM USB CABLE TYPE A - MICRO B 5 POSITION, 2.0M</t>
  </si>
  <si>
    <t>cable</t>
  </si>
  <si>
    <t>PO1811-44394-LRT</t>
  </si>
  <si>
    <t>AC POWER CORD-PW-125-06</t>
  </si>
  <si>
    <t>AC POWER CORD  (PW-125-06)</t>
  </si>
  <si>
    <t>PO1808-42379-LRT</t>
  </si>
  <si>
    <t>PFC1418E24HS</t>
  </si>
  <si>
    <t>AC POWER CORD IEC320-C13 TO IEC320-C14 2FT 10A</t>
  </si>
  <si>
    <t>PO1906-49092-LRT</t>
  </si>
  <si>
    <t>PN-0000029396</t>
  </si>
  <si>
    <t>PCB FOR TNA0005647 B00014A526 INTERFACE BOARD, REV A - PCB-TNA005647 MTL,FR4,D/S,1.6MM,1/1OZ &amp; HASL - 107.2MM X 106.2MM</t>
  </si>
  <si>
    <t>PCB for TNA0005647 B00014A526 INTERFACE BOARD, REV A - PCB-TNA005647 Mtl,FR4,D/S,1.6mm,1/1oz &amp; HASL - 107.2mm x 106.2mm</t>
  </si>
  <si>
    <t>M30x3.5</t>
  </si>
  <si>
    <t>ALLOY HEXAGON NUT</t>
  </si>
  <si>
    <t>PFC1416E72</t>
  </si>
  <si>
    <t>AC POWER CORD, IEC320-C13 TO IEC320-C14</t>
  </si>
  <si>
    <t>763061-02</t>
  </si>
  <si>
    <t>X2 GPIB Cable,Double-Shielded,Shielded Plug/Receptacles,2 m</t>
  </si>
  <si>
    <t>PO1907-50059-LRT</t>
  </si>
  <si>
    <t>WI-M-10-25-0</t>
  </si>
  <si>
    <t>TEST LEAD 10AWG 600V BLACK 25'</t>
  </si>
  <si>
    <t>WI-M-10-25-2</t>
  </si>
  <si>
    <t>TEST LEAD 10AWG 600V RED 25'</t>
  </si>
  <si>
    <t>BFWUL3239-24-PINK</t>
  </si>
  <si>
    <t>Hook-up Wire PINK 10 FT 24 AWG</t>
  </si>
  <si>
    <t>CMB24-05M</t>
  </si>
  <si>
    <t>Normal To Normal GPIB Cable</t>
  </si>
  <si>
    <t>PO1812-44782-LRT</t>
  </si>
  <si>
    <t>TRD695SCR-BL-7</t>
  </si>
  <si>
    <t>Shielded Cat 6 Cable, RJ45 / RJ45 PVC Jacket, Blue 7.0 ft</t>
  </si>
  <si>
    <t>N82E16812270349- (L-COM - CGSVGAMM-10)</t>
  </si>
  <si>
    <t>BYTECC VGA-10 10ft,VGA Male To VGA Male Cable with Ferrites</t>
  </si>
  <si>
    <t>PO1812-44752-LRT</t>
  </si>
  <si>
    <t>TRD695SCR-BL-10</t>
  </si>
  <si>
    <t>SHIELDED CAT 6 CABLE RJ45/RJ45 PVC JACKET BLUE 10.0 FT</t>
  </si>
  <si>
    <t>CC58C-4</t>
  </si>
  <si>
    <t>RF58C Coaxial Cable BNC Male 2.0ft</t>
  </si>
  <si>
    <t>CC58C-2</t>
  </si>
  <si>
    <t>RF58C Coaxial Cable,BNC Male/Male,2.0 Ft</t>
  </si>
  <si>
    <t>13A Extension Trailing Socket  5 pole</t>
  </si>
  <si>
    <t>Extension Wire - Opex 13A Extension Trailing Socket  5 pole</t>
  </si>
  <si>
    <t>PO1912-53726-LRT</t>
  </si>
  <si>
    <t>PFC141651572</t>
  </si>
  <si>
    <t>IEC320 C14 TO NEMA 5-15R 6FT</t>
  </si>
  <si>
    <t>PO1812-44746-LRT</t>
  </si>
  <si>
    <t>PFC1418E97HS</t>
  </si>
  <si>
    <t>IEC320C13 TO IEC320 C14 8FT</t>
  </si>
  <si>
    <t>PFC141651536</t>
  </si>
  <si>
    <t>IEC320 C14 TO NEMA 5-15R 3FT</t>
  </si>
  <si>
    <t>CE4012-5-8</t>
  </si>
  <si>
    <t>XLR Male To XLR Female Extension Cable</t>
  </si>
  <si>
    <t>PO1812-44789-LRT</t>
  </si>
  <si>
    <t xml:space="preserve">TRS MALE TO MALE 16 AWG CABLE </t>
  </si>
  <si>
    <t>CBL 1906-0031-1112</t>
  </si>
  <si>
    <t>Receptacle SPR-25W crimp with AWG22 Blue Wire, Length 1m</t>
  </si>
  <si>
    <t>TU-S9</t>
  </si>
  <si>
    <t>USB TO SERIAL CONVERTER</t>
  </si>
  <si>
    <t>PO1811-44423-LRT</t>
  </si>
  <si>
    <t>Set Screw M16X2.0X90</t>
  </si>
  <si>
    <t>SET SCREW</t>
  </si>
  <si>
    <t xml:space="preserve">FASTERNER/ BULKHEAD/ REDUCER </t>
  </si>
  <si>
    <t>PO1905-48766-LRT</t>
  </si>
  <si>
    <t>106 ( 1 dozen = 12 pairs )</t>
  </si>
  <si>
    <t>GLOVE</t>
  </si>
  <si>
    <t>PAIR</t>
  </si>
  <si>
    <t>HARDWARE</t>
  </si>
  <si>
    <t>1807-41603</t>
  </si>
  <si>
    <t>13"</t>
  </si>
  <si>
    <t>WELDING GLOVE orange</t>
  </si>
  <si>
    <t>1807-41295</t>
  </si>
  <si>
    <t>TPC2105-2</t>
  </si>
  <si>
    <t>EPDU</t>
  </si>
  <si>
    <t>EATON EPDU,85-264 VAC,30A</t>
  </si>
  <si>
    <t>PO1911-53149-LRT</t>
  </si>
  <si>
    <t>CBL106</t>
  </si>
  <si>
    <t>EPDU CUSTOM CABLE</t>
  </si>
  <si>
    <t>Power Cord</t>
  </si>
  <si>
    <t>8210-104</t>
  </si>
  <si>
    <t>Innovative LCD Arms</t>
  </si>
  <si>
    <t>Innovative 8210 Pole Clamp Mount 55 Lbs</t>
  </si>
  <si>
    <t>8210 POLE CLAMP MOUNT</t>
  </si>
  <si>
    <t>BRACKET/EMI BRACKET</t>
  </si>
  <si>
    <t>PO1812-44794-LRT</t>
  </si>
  <si>
    <t>APRON JEANS</t>
  </si>
  <si>
    <t>APRON LEATHER</t>
  </si>
  <si>
    <t>1712-36922</t>
  </si>
  <si>
    <t>805-09-001</t>
  </si>
  <si>
    <t>NON WOVEN SHOE COVER</t>
  </si>
  <si>
    <t>NON WOVEN SHOE COVER WITH CONDUCTIVE RIBBON (40 GMS) (BLUE) (100PCS/ PKT)</t>
  </si>
  <si>
    <t>1809-42623</t>
  </si>
  <si>
    <t>FACE SHIELD CLEAR</t>
  </si>
  <si>
    <t>FACE SHIELD CLEAR (yellow)</t>
  </si>
  <si>
    <t>PO1811-44350-LRT</t>
  </si>
  <si>
    <t>A700G</t>
  </si>
  <si>
    <t>BLACK SPEC</t>
  </si>
  <si>
    <t>1802-38287</t>
  </si>
  <si>
    <t>EAR PLUG</t>
  </si>
  <si>
    <t>1809-42766</t>
  </si>
  <si>
    <t>A700C</t>
  </si>
  <si>
    <t>CLEAR SPEC</t>
  </si>
  <si>
    <t>RUBBER GLOVE RED</t>
  </si>
  <si>
    <t>1807-41291</t>
  </si>
  <si>
    <t>/G/S/DG-B</t>
  </si>
  <si>
    <t>GLOVE LEXES</t>
  </si>
  <si>
    <t>BOX</t>
  </si>
  <si>
    <t>1802-38021</t>
  </si>
  <si>
    <t>FF160/P80195/CW12</t>
  </si>
  <si>
    <t>Powder - color : Wrinkle Grey</t>
  </si>
  <si>
    <t>Kg</t>
  </si>
  <si>
    <t>PO1905-48972-LRT</t>
  </si>
  <si>
    <t>7Flex-104i</t>
  </si>
  <si>
    <t>Innovative 7Flex LCD Monitor Arm and Desk Mount</t>
  </si>
  <si>
    <t>INNOVATIVE 7FLEX LCD MONITOR ARM AND DESK MOUNT</t>
  </si>
  <si>
    <t>PO1812-44795-LRT</t>
  </si>
  <si>
    <t>SX640</t>
  </si>
  <si>
    <t>1U RACKMOUNT FAN</t>
  </si>
  <si>
    <t>YELLOW COLOUR</t>
  </si>
  <si>
    <t>SAFETY HELMET FOR CUSTOMER</t>
  </si>
  <si>
    <t>WHITE COLOUR</t>
  </si>
  <si>
    <t>3M 6001CN</t>
  </si>
  <si>
    <t>ORGANIC VAPOR RESPIRATOR FILTER CHEMICAL CARTRIDGE GAS MASK</t>
  </si>
  <si>
    <t>PO1907-50229-LRT</t>
  </si>
  <si>
    <t>WELDING HELMET</t>
  </si>
  <si>
    <t>1807-41397</t>
  </si>
  <si>
    <t>805-04-01-321</t>
  </si>
  <si>
    <t>N95/1200F FACE MASK PACKING</t>
  </si>
  <si>
    <t>PO1911-52780-LRT</t>
  </si>
  <si>
    <t>white (1dozen=12 pairs)</t>
  </si>
  <si>
    <t>COTTON GLOVE</t>
  </si>
  <si>
    <t>PAIRS</t>
  </si>
  <si>
    <t>1808-42233</t>
  </si>
  <si>
    <t>white (1 dozen = 12 pairs)</t>
  </si>
  <si>
    <t>1200 (1 dozen = 12 pairs)</t>
  </si>
  <si>
    <t>1807-41293</t>
  </si>
  <si>
    <t>STEEL</t>
  </si>
  <si>
    <t>PACKING CLIP (PACK)</t>
  </si>
  <si>
    <t>PACK</t>
  </si>
  <si>
    <t>SMOCK</t>
  </si>
  <si>
    <t>WHITE</t>
  </si>
  <si>
    <t>34 X 1.07 X 3920mm X 3/4 Tpi</t>
  </si>
  <si>
    <t>LENOX LXP BANDSAW BLADE</t>
  </si>
  <si>
    <t>1901-45325</t>
  </si>
  <si>
    <t>34 X 1.07 X 3920mm x 4/6 Tpi</t>
  </si>
  <si>
    <t>1804-39855</t>
  </si>
  <si>
    <t>19 X 0.90 X 2363mm X 5/8 Tpi</t>
  </si>
  <si>
    <t>5700 x 125 (P60)</t>
  </si>
  <si>
    <t>SAND BELT</t>
  </si>
  <si>
    <t>24MMX10</t>
  </si>
  <si>
    <t>OPP TAPE CLEAR</t>
  </si>
  <si>
    <t>1804-40124</t>
  </si>
  <si>
    <t>3''</t>
  </si>
  <si>
    <t>OPP TAPE CLEAR 48MM</t>
  </si>
  <si>
    <t>12mm X 10</t>
  </si>
  <si>
    <t>DOUBLE SIDE TAPE (12MM)</t>
  </si>
  <si>
    <t>ROLL</t>
  </si>
  <si>
    <t>1809-42479</t>
  </si>
  <si>
    <t>125 X 5700 (Z60)</t>
  </si>
  <si>
    <t>A60</t>
  </si>
  <si>
    <t>SAND BELT 100MMX1200MM (GREY)</t>
  </si>
  <si>
    <t>SAND BELT 100MM X 1200MM (A60)</t>
  </si>
  <si>
    <t>1805-40786</t>
  </si>
  <si>
    <t>75 X 3870 (P80)</t>
  </si>
  <si>
    <t>150 X 1200 (A60)</t>
  </si>
  <si>
    <t>100 X 1200 (GREEN)</t>
  </si>
  <si>
    <t>SIZE: 330 X 1905MM (P180)</t>
  </si>
  <si>
    <t>SANDING BELT (PACO X556)</t>
  </si>
  <si>
    <t>PO1901-45242-LRT</t>
  </si>
  <si>
    <t>SIZE: 330 X 1905MM (P120)</t>
  </si>
  <si>
    <t>24MM X 20</t>
  </si>
  <si>
    <t>MASKING TAPE</t>
  </si>
  <si>
    <t>1711-36305</t>
  </si>
  <si>
    <t>808-06-07-257</t>
  </si>
  <si>
    <t>ESD SYMBOL CONDUCTIVE GRID TAPE / ANTI STATIC TAPE (CONDUCTIVE GRID TAPE - BROWN) , SIZE : 24MM X 33M / ROLL ,</t>
  </si>
  <si>
    <t>1BOX</t>
  </si>
  <si>
    <t>FACE MASK</t>
  </si>
  <si>
    <t>1808-42234</t>
  </si>
  <si>
    <t>24mm x 10</t>
  </si>
  <si>
    <t>DOUBLE SIDE TISSUE TAPE 1.5</t>
  </si>
  <si>
    <t>T/DS/3MR (Super Heavy Duty)</t>
  </si>
  <si>
    <t>3M DOUBLE SIDE TAPE 10MM X 10Y-4229P (RED)</t>
  </si>
  <si>
    <t>48MM X 20</t>
  </si>
  <si>
    <t>1803-38872</t>
  </si>
  <si>
    <t>13" x 208" ( 330mm x 5283mm )</t>
  </si>
  <si>
    <t>CONVEYOR SAND BELT ( TS - 212 )</t>
  </si>
  <si>
    <t>SAND BELT (BROWN)</t>
  </si>
  <si>
    <t>5700 X 125 (P60)</t>
  </si>
  <si>
    <t xml:space="preserve">SAND BELT </t>
  </si>
  <si>
    <t>1810-43540</t>
  </si>
  <si>
    <t>(X556) BLACK P60</t>
  </si>
  <si>
    <t>SAND BELT - 330 X 1905MM</t>
  </si>
  <si>
    <t>(X556) BLACK P80</t>
  </si>
  <si>
    <t>4" X 36"</t>
  </si>
  <si>
    <t>SAND BELT #100</t>
  </si>
  <si>
    <t>PLASTIC</t>
  </si>
  <si>
    <t>PACKING CLIP</t>
  </si>
  <si>
    <t>PO1905-48409-LRT</t>
  </si>
  <si>
    <t>HU/R/RS8</t>
  </si>
  <si>
    <t>RAFFIA STRING</t>
  </si>
  <si>
    <t>PO1911-52980-LRT</t>
  </si>
  <si>
    <t>24MM x 40 Y</t>
  </si>
  <si>
    <t>OPP TAPE CLEAR (ROLL)</t>
  </si>
  <si>
    <t>24MM X 10</t>
  </si>
  <si>
    <t>DOUBLE SIDE TAPE (24MM)</t>
  </si>
  <si>
    <t>SEAL TAPE ( ROLL )-YELLOW</t>
  </si>
  <si>
    <t>1801-37591</t>
  </si>
  <si>
    <t>PVC TAPE BLACK ( ROLL )</t>
  </si>
  <si>
    <t>1703-31043</t>
  </si>
  <si>
    <t>330mm x 1905mm x P80 (AA309Z)</t>
  </si>
  <si>
    <t>SAND CLOTH WHITE BELT - MADE IN CHINA</t>
  </si>
  <si>
    <t>PO2007-58537-LRT</t>
  </si>
  <si>
    <t>330mm x 1905mm x P120 (AA309Z)</t>
  </si>
  <si>
    <t>125mm x 5700mm x P80 (AA309Z)</t>
  </si>
  <si>
    <t>125mm x 5700mm x P120 (AA309Z)</t>
  </si>
  <si>
    <t>Cutting Disc 4"</t>
  </si>
  <si>
    <t>CUTTING DISC</t>
  </si>
  <si>
    <t>1809-42437</t>
  </si>
  <si>
    <t>BRAND : I CUT (4" x 1.0mm)</t>
  </si>
  <si>
    <t>1912-53914</t>
  </si>
  <si>
    <t>Ø 5' X P120</t>
  </si>
  <si>
    <t>SANDING DISC PSA</t>
  </si>
  <si>
    <t>1707-33604</t>
  </si>
  <si>
    <t>Ø 5" x P40</t>
  </si>
  <si>
    <t>SANDING DISC</t>
  </si>
  <si>
    <t>4" X P40</t>
  </si>
  <si>
    <t>PO1912-53915-LRT</t>
  </si>
  <si>
    <t>4" X P100</t>
  </si>
  <si>
    <t>Ø 4" X P120</t>
  </si>
  <si>
    <t>Ø 4" X # 60</t>
  </si>
  <si>
    <t xml:space="preserve">3M FIBRE DISC 987C ( PCS )	</t>
  </si>
  <si>
    <t>7" P60</t>
  </si>
  <si>
    <t>FIBRE DISC SAIT</t>
  </si>
  <si>
    <t>PO1901-45909-LRT</t>
  </si>
  <si>
    <t>Ø 4"" X # 36"</t>
  </si>
  <si>
    <t>FIBRE DISC 982C (RED)-MLID STEEL</t>
  </si>
  <si>
    <t>red</t>
  </si>
  <si>
    <t>PO1904-47140-LRT</t>
  </si>
  <si>
    <t>Ø 4" x # 36</t>
  </si>
  <si>
    <t>FIBRE DISC 982 c ( PCS )</t>
  </si>
  <si>
    <t>PO2001-54400-LRT</t>
  </si>
  <si>
    <t>Ø 4 X # 36</t>
  </si>
  <si>
    <t>FIBRE DISC (WHITE)</t>
  </si>
  <si>
    <t>7" P36</t>
  </si>
  <si>
    <t>Ø 5" x P60</t>
  </si>
  <si>
    <t>Ø 5' x P80</t>
  </si>
  <si>
    <t>SANDING DISC PSA ( PCS )</t>
  </si>
  <si>
    <t>125MM</t>
  </si>
  <si>
    <t>FLAP DISC</t>
  </si>
  <si>
    <t>1804-39617</t>
  </si>
  <si>
    <t>WA80</t>
  </si>
  <si>
    <t>POWER ABRASIVE</t>
  </si>
  <si>
    <t>1904-47140</t>
  </si>
  <si>
    <t>4" x #40</t>
  </si>
  <si>
    <t>FLAT DISC SMT 527 (MOP DISC)</t>
  </si>
  <si>
    <t>4" X #60</t>
  </si>
  <si>
    <t>PO1911-52669-LRT</t>
  </si>
  <si>
    <t>4" X #80</t>
  </si>
  <si>
    <t>4" x #120</t>
  </si>
  <si>
    <t>MEDIUM</t>
  </si>
  <si>
    <t>SPONGE BLOCK</t>
  </si>
  <si>
    <t>6" x 9"</t>
  </si>
  <si>
    <t>HAND PAD 5847 (20PCS PER BOX)</t>
  </si>
  <si>
    <t>GRINDING DISC</t>
  </si>
  <si>
    <t>5" ( 125 X 6 X 22.23MM)</t>
  </si>
  <si>
    <t>NORTON GRINDING DISC</t>
  </si>
  <si>
    <t>1809-42443</t>
  </si>
  <si>
    <t>4'' x 5/8</t>
  </si>
  <si>
    <t>POWER PULLY BRUSH</t>
  </si>
  <si>
    <t>4''x 4½ (Chombi)</t>
  </si>
  <si>
    <t>CHOMBI WOVEN WHEEL</t>
  </si>
  <si>
    <t>PO2001-54107-LRT</t>
  </si>
  <si>
    <t>60 X 260 X # 60</t>
  </si>
  <si>
    <t>BUFFALO SAND BELT : GREEN COLOUR</t>
  </si>
  <si>
    <t>1807-41455</t>
  </si>
  <si>
    <t>60 X 260 X #40</t>
  </si>
  <si>
    <t>BUFFALO SAND BELT : BLUE COLOUR</t>
  </si>
  <si>
    <t>PO1912-53866-LRT</t>
  </si>
  <si>
    <t>300GM</t>
  </si>
  <si>
    <t>NOZZLE GEL</t>
  </si>
  <si>
    <t>1805-40626</t>
  </si>
  <si>
    <t>3 X 140MM (Flat)</t>
  </si>
  <si>
    <t>FLAT FILE</t>
  </si>
  <si>
    <t>1807-41665</t>
  </si>
  <si>
    <t>3 X 140MM (Round)</t>
  </si>
  <si>
    <t>ROUND FILE</t>
  </si>
  <si>
    <t>4''x 4½ (non)</t>
  </si>
  <si>
    <t>NON WOVEN WHEEL</t>
  </si>
  <si>
    <t>80-320 Grits 100mm Abrasive Wire</t>
  </si>
  <si>
    <t>3ander Drawing Wheel Non Woven Rust Removal Drum Scouring Pad 80-320 Grits 100mm Abrasive Wire</t>
  </si>
  <si>
    <t>PO1911-52928-LRT</t>
  </si>
  <si>
    <t>8" X 1"</t>
  </si>
  <si>
    <t>1710-35857</t>
  </si>
  <si>
    <t>LAMBSWOOL POLISHING BONNET</t>
  </si>
  <si>
    <t>Ø 4 ''</t>
  </si>
  <si>
    <t>BUFFING MOP DISC</t>
  </si>
  <si>
    <t>1702-30280</t>
  </si>
  <si>
    <t>3M FIBRE DISC BLACK PAD</t>
  </si>
  <si>
    <t>1805-40718</t>
  </si>
  <si>
    <t>ORBITAL PAD (STICKER)</t>
  </si>
  <si>
    <t>1712-37071</t>
  </si>
  <si>
    <t>TM60817</t>
  </si>
  <si>
    <t>MIXPAIN SPARY WHITE 115</t>
  </si>
  <si>
    <t>BOTTLE</t>
  </si>
  <si>
    <t>1806-40840</t>
  </si>
  <si>
    <t>TM81060</t>
  </si>
  <si>
    <t xml:space="preserve">GREY (115) </t>
  </si>
  <si>
    <t>PO1810-43884-LRT</t>
  </si>
  <si>
    <t>1K</t>
  </si>
  <si>
    <t>PRIMER GRAY PAINT</t>
  </si>
  <si>
    <t>1811-44331</t>
  </si>
  <si>
    <t>ANCHOR SPRAY PAINT(400 ML) -803 SILVER</t>
  </si>
  <si>
    <t>ANCHOR SILVER SPRAY PAINT</t>
  </si>
  <si>
    <t>MIXPAIN-SP</t>
  </si>
  <si>
    <t>BEIGE WHITE ( 9464 )</t>
  </si>
  <si>
    <t>TM81059</t>
  </si>
  <si>
    <t>DARK GREY (115)</t>
  </si>
  <si>
    <t>GREY(115)-MIXPAIN</t>
  </si>
  <si>
    <t>1810-43884</t>
  </si>
  <si>
    <t>3.33OZ</t>
  </si>
  <si>
    <t>TOOL STANLEY</t>
  </si>
  <si>
    <t>1705-32123</t>
  </si>
  <si>
    <t>HAMMER</t>
  </si>
  <si>
    <t>110MM</t>
  </si>
  <si>
    <t>AIR BLOW GUN</t>
  </si>
  <si>
    <t>1807-41493</t>
  </si>
  <si>
    <t>250MM</t>
  </si>
  <si>
    <t>1801-37747</t>
  </si>
  <si>
    <t>9 IN 1</t>
  </si>
  <si>
    <t>ANTIRUST MRMCKENI (WD-40)</t>
  </si>
  <si>
    <t>1807-41439</t>
  </si>
  <si>
    <t>WD40-382ML</t>
  </si>
  <si>
    <t>0.73 litre</t>
  </si>
  <si>
    <t>TAP MAGIC OIL</t>
  </si>
  <si>
    <t>1808-42232</t>
  </si>
  <si>
    <t>25MMX25MMXP60</t>
  </si>
  <si>
    <t>FLAP WHEEL</t>
  </si>
  <si>
    <t>1808-41982</t>
  </si>
  <si>
    <t>NIPPON CARBON</t>
  </si>
  <si>
    <t xml:space="preserve">BUFFING MOP	</t>
  </si>
  <si>
    <t>100X10</t>
  </si>
  <si>
    <t>SISAL DISC</t>
  </si>
  <si>
    <t>KING</t>
  </si>
  <si>
    <t>WHITE WAX</t>
  </si>
  <si>
    <t>1701-29995</t>
  </si>
  <si>
    <t>JING YI</t>
  </si>
  <si>
    <t>GREEN WAX</t>
  </si>
  <si>
    <t>Proskit Liquid Dispenser , Size : 250ML ,Color : White (Non ESD)</t>
  </si>
  <si>
    <t>ACETONE - 3 LITER</t>
  </si>
  <si>
    <t>ACETONE</t>
  </si>
  <si>
    <t>1705-32034</t>
  </si>
  <si>
    <t>1 Gal</t>
  </si>
  <si>
    <t>2-PROPANOL (IPA)</t>
  </si>
  <si>
    <t>1811-44023</t>
  </si>
  <si>
    <t>1 BOTTLE = 1 KG</t>
  </si>
  <si>
    <t>STAINLESS STEEL ASID GEL</t>
  </si>
  <si>
    <t>PO1912-53910-LRT</t>
  </si>
  <si>
    <t>5 X 8</t>
  </si>
  <si>
    <t>PLASTIC BAG TRANSPARENT</t>
  </si>
  <si>
    <t>DIELECTRIC OF PAPER/PLASTICS</t>
  </si>
  <si>
    <t>PO1912-53918-LRT</t>
  </si>
  <si>
    <t>6 x 9</t>
  </si>
  <si>
    <t>PLASTIC BAG</t>
  </si>
  <si>
    <t>PLASTICS</t>
  </si>
  <si>
    <t>PO1904-47141-LRT</t>
  </si>
  <si>
    <t>4 inch</t>
  </si>
  <si>
    <t>STRETCH FILMS (BABY ROLL)</t>
  </si>
  <si>
    <t>1810-43541</t>
  </si>
  <si>
    <t>3X4</t>
  </si>
  <si>
    <t>PO1810-43743-LRT</t>
  </si>
  <si>
    <t>3 X 4</t>
  </si>
  <si>
    <t>4" X 6"</t>
  </si>
  <si>
    <t>PO1809-42778-LRT</t>
  </si>
  <si>
    <t>4 X 6</t>
  </si>
  <si>
    <t>9"X 14"</t>
  </si>
  <si>
    <t>PO1808-42208-LRT</t>
  </si>
  <si>
    <t>9 X 14</t>
  </si>
  <si>
    <t>2KG</t>
  </si>
  <si>
    <t>Stretch Film (Roll) 2KG</t>
  </si>
  <si>
    <t>5 / 8''</t>
  </si>
  <si>
    <t>packing strap ( roll )</t>
  </si>
  <si>
    <t>Roll</t>
  </si>
  <si>
    <t>PO1808-41908-LRT</t>
  </si>
  <si>
    <t>5" x 8" x 0.08mm</t>
  </si>
  <si>
    <t>Plain Zipper Bag</t>
  </si>
  <si>
    <t>PO1711-36541-LRT</t>
  </si>
  <si>
    <t>9"X 15"</t>
  </si>
  <si>
    <t>LONG 2KG</t>
  </si>
  <si>
    <t>Stretch Film (Roll)</t>
  </si>
  <si>
    <t>70GSM (450s)</t>
  </si>
  <si>
    <t>A4 PAPER</t>
  </si>
  <si>
    <t>PAPER</t>
  </si>
  <si>
    <t>LED PINE DISINFECTANT 5LIT</t>
  </si>
  <si>
    <t>PO1812-45058-LRT</t>
  </si>
  <si>
    <t>HAND SOAP APPLE</t>
  </si>
  <si>
    <t>1811-44363</t>
  </si>
  <si>
    <t>MOP</t>
  </si>
  <si>
    <t>PO1901-45857-LRT</t>
  </si>
  <si>
    <t>MOP BUCKET</t>
  </si>
  <si>
    <t>MOP BUCKET WITH WHEEL</t>
  </si>
  <si>
    <t>8M / 26'</t>
  </si>
  <si>
    <t>MEASUREMENT TAPE STANLEY TYLON</t>
  </si>
  <si>
    <t>PO1903-46827-LRT</t>
  </si>
  <si>
    <t>5' X #24</t>
  </si>
  <si>
    <t>1807-41546</t>
  </si>
  <si>
    <t>4" X 41/2</t>
  </si>
  <si>
    <t>M10x45</t>
  </si>
  <si>
    <t>AUTOSOL METAL POLISH</t>
  </si>
  <si>
    <t>1902-46190</t>
  </si>
  <si>
    <t>PAINT BRUSH</t>
  </si>
  <si>
    <t>8'' x 1''</t>
  </si>
  <si>
    <t>GIANT BLEACH 3.8L ORIGINAL</t>
  </si>
  <si>
    <t>1811-44179</t>
  </si>
  <si>
    <t>GIANT BLEACH 3.8L LEMON</t>
  </si>
  <si>
    <t>YKF 0007</t>
  </si>
  <si>
    <t>PINE DISINFECTANT 10</t>
  </si>
  <si>
    <t>1902-46010</t>
  </si>
  <si>
    <t>MIXPAIN SPRAY DARK GREY 115</t>
  </si>
  <si>
    <t>1803-38871</t>
  </si>
  <si>
    <t>6883/9464</t>
  </si>
  <si>
    <t xml:space="preserve">MIXPAIN SPRAY BEIGE WHITE </t>
  </si>
  <si>
    <t>1803-38989</t>
  </si>
  <si>
    <t>Ø 5" x P80</t>
  </si>
  <si>
    <t>1808-41908</t>
  </si>
  <si>
    <t>5" X #60</t>
  </si>
  <si>
    <t>SENANG PED DET (SOAP POWER) 5GK</t>
  </si>
  <si>
    <t>L1700MM</t>
  </si>
  <si>
    <t>POWER CORD NEAR MAIN SWITCH</t>
  </si>
  <si>
    <t>SINGLE MALE TO FEMALE</t>
  </si>
  <si>
    <t>G</t>
  </si>
  <si>
    <t>Cable</t>
  </si>
  <si>
    <t>1601-21455-LRT</t>
  </si>
  <si>
    <t>L1885MM</t>
  </si>
  <si>
    <t>L1515MM</t>
  </si>
  <si>
    <t>L1590MM</t>
  </si>
  <si>
    <t>POWER CORD PSU</t>
  </si>
  <si>
    <t>SINGLE MALE TO DOUBLE FEMALE</t>
  </si>
  <si>
    <t>L2060MM</t>
  </si>
  <si>
    <t>L1780MM</t>
  </si>
  <si>
    <t>L775MM</t>
  </si>
  <si>
    <t>L600MM</t>
  </si>
  <si>
    <t>L960MM</t>
  </si>
  <si>
    <t>L1330MM</t>
  </si>
  <si>
    <t>AC240</t>
  </si>
  <si>
    <t>374009-01</t>
  </si>
  <si>
    <t>Qualtek</t>
  </si>
  <si>
    <t>Cord AS3112 to IEC 320-C13 5.90'</t>
  </si>
  <si>
    <t>AC POWER CORD MALAYSIA - 370001-E01 (AC240)-MALAYSIA</t>
  </si>
  <si>
    <t>1803-39030-LRT</t>
  </si>
  <si>
    <t>L1685MM</t>
  </si>
  <si>
    <t>L1870MM</t>
  </si>
  <si>
    <t>L1120MM</t>
  </si>
  <si>
    <t>POWER CORD MW</t>
  </si>
  <si>
    <t>1500MM</t>
  </si>
  <si>
    <t>L1310MM</t>
  </si>
  <si>
    <t>CB-12H2-C20</t>
  </si>
  <si>
    <t>AC POWER STRIPS</t>
  </si>
  <si>
    <t>Power Supply</t>
  </si>
  <si>
    <t>PO2006-58129-LRT</t>
  </si>
  <si>
    <t xml:space="preserve">12" x 45 MM - SILVER </t>
  </si>
  <si>
    <t>Linear Slide - DRAWER SLIDER - (75 pair  x 2 = 150 pcs)</t>
  </si>
  <si>
    <t>slider</t>
  </si>
  <si>
    <t>18"</t>
  </si>
  <si>
    <t>18IN LINEAR SLIDE</t>
  </si>
  <si>
    <t>18IN LINEAR SLIDE - (15 Pair x 2 = 30pcs)</t>
  </si>
  <si>
    <t>POWER CABLE FEMALE -IE</t>
  </si>
  <si>
    <t>POWER CORD CABLE FEMALE - IE</t>
  </si>
  <si>
    <t>L1965MM</t>
  </si>
  <si>
    <t>L1420MM</t>
  </si>
  <si>
    <t>POWER CORD NEAR LOADER</t>
  </si>
  <si>
    <t>77-12-3601-09600</t>
  </si>
  <si>
    <t>SS3500,09" x 0.9" D-Shape,UL-V0</t>
  </si>
  <si>
    <t>Foam</t>
  </si>
  <si>
    <t>1603-23233-LRT</t>
  </si>
  <si>
    <t>L1975MM</t>
  </si>
  <si>
    <t>L1790MM</t>
  </si>
  <si>
    <t>L860MM</t>
  </si>
  <si>
    <t>L1050MM</t>
  </si>
  <si>
    <t>L685MM</t>
  </si>
  <si>
    <t>77-13-3626-09600</t>
  </si>
  <si>
    <t>BIG FOAM VERTICAL ROUND</t>
  </si>
  <si>
    <t>BIG FOAM VERTICAL ROUND ( 8ft each)</t>
  </si>
  <si>
    <t>FT</t>
  </si>
  <si>
    <t>FOAM</t>
  </si>
  <si>
    <t>L-680M</t>
  </si>
  <si>
    <t>1603-22776-LRT</t>
  </si>
  <si>
    <t>L1000MM</t>
  </si>
  <si>
    <t>MEAN WELL PSU</t>
  </si>
  <si>
    <t>SINGLE MALE TO WIRE</t>
  </si>
  <si>
    <t>L1145MM</t>
  </si>
  <si>
    <t>L1605MM</t>
  </si>
  <si>
    <t>L720MM</t>
  </si>
  <si>
    <t>L1235MM</t>
  </si>
  <si>
    <t>L-2100M</t>
  </si>
  <si>
    <t>POWER CORD MW LE</t>
  </si>
  <si>
    <t>L-2070M</t>
  </si>
  <si>
    <t>POWER CORD MALE TO FEMALE-DOUBLE</t>
  </si>
  <si>
    <t>L1500MM</t>
  </si>
  <si>
    <t>L560MM</t>
  </si>
  <si>
    <t>L930MM</t>
  </si>
  <si>
    <t>L380MM</t>
  </si>
  <si>
    <t>L735MM</t>
  </si>
  <si>
    <t xml:space="preserve">72MM X 64MM </t>
  </si>
  <si>
    <t>TRUNKING</t>
  </si>
  <si>
    <t>2.5 X 2.5 X 28 cm</t>
  </si>
  <si>
    <t>TRUNKING (25X25) LENGTH : 1.7 METER</t>
  </si>
  <si>
    <t>PO1901-45350-LRT</t>
  </si>
  <si>
    <t>MSA.00.01.009/LINEAR TRANSITION REFERENCE/1METERX 34MM</t>
  </si>
  <si>
    <t>PVC LAMINATION/GREY BASE BLACK/LOOSE FORM</t>
  </si>
  <si>
    <t>PO1910-52352-LRT</t>
  </si>
  <si>
    <t>ESD PLASTIC BAG</t>
  </si>
  <si>
    <t>STATIC SHIELDING BAG</t>
  </si>
  <si>
    <t>16 ( 47 )</t>
  </si>
  <si>
    <t>L-2460M</t>
  </si>
  <si>
    <t>POWER CORD EXTENSION MALE TO FEMALE DOUBLE</t>
  </si>
  <si>
    <t>GW-151611</t>
  </si>
  <si>
    <t>Mains Power Cord,Mains Plug,China To IEC 60320 C13,2 Meter</t>
  </si>
  <si>
    <t>AC POWER CORD CHINA</t>
  </si>
  <si>
    <t>1607-26345-LRT</t>
  </si>
  <si>
    <t>374009-01 / AC240-CN</t>
  </si>
  <si>
    <t>Power Cord ,BS1363A-IEC C13,2.5M,10A (china)</t>
  </si>
  <si>
    <t>Power Cord ,BS1363A-IEC C13,2.5M,10A</t>
  </si>
  <si>
    <t>1907-50321-LRT</t>
  </si>
  <si>
    <t>45mm x 60mm</t>
  </si>
  <si>
    <t>Trunking</t>
  </si>
  <si>
    <t>PO1803-39466-LRT</t>
  </si>
  <si>
    <t>25MM X 45MM 1.7 MTR</t>
  </si>
  <si>
    <t>PVC TRUNKING 25MM X 45MM 1.7 MTR</t>
  </si>
  <si>
    <t>PO1912-53406-LRT</t>
  </si>
  <si>
    <t>MD-1.5L</t>
  </si>
  <si>
    <t>OPEN SLOT PVC WIRING DUCT 33X45MM (L=2M) (KSS)</t>
  </si>
  <si>
    <t>PO2002-55164-LRT</t>
  </si>
  <si>
    <t>Din Rail Top Hat, Slotted, 2000mm x  35mm x 7.5mm</t>
  </si>
  <si>
    <t>PO2001-54139-LRT</t>
  </si>
  <si>
    <t>0801759</t>
  </si>
  <si>
    <t>PO2003-55817-LRT</t>
  </si>
  <si>
    <t>CAU3AA-05M</t>
  </si>
  <si>
    <t>CABLE USB 3.0 TYPE A</t>
  </si>
  <si>
    <t>1603-23155-LRT</t>
  </si>
  <si>
    <t>4041-3271</t>
  </si>
  <si>
    <t>USB 3.0 CABLE AM-4041-3271</t>
  </si>
  <si>
    <t>CABLE USB 3.0</t>
  </si>
  <si>
    <t>CP-POWER CORD-UK</t>
  </si>
  <si>
    <t>IEC-C13 TO IEC-C14</t>
  </si>
  <si>
    <t>MODIFIED-SWITCH DISABLED</t>
  </si>
  <si>
    <t>EXTENSION CABLE</t>
  </si>
  <si>
    <t>RR-AAR04-17G</t>
  </si>
  <si>
    <t>USB 2.0 DOWN ANGLE EXTENSION CABLE</t>
  </si>
  <si>
    <t>1810-42886-LRT</t>
  </si>
  <si>
    <t>RR-AAR04-21.5G</t>
  </si>
  <si>
    <t>RR-ARAF-16.5GR</t>
  </si>
  <si>
    <t>USB 3.0 EXTENSION CABLE - RIGHT ANGLE</t>
  </si>
  <si>
    <t>LEFT-USB 2.0 EXTENSION CABLE-RIGHT ANG A MALE TO A FEMALE</t>
  </si>
  <si>
    <t>USB 2.0 Extension Cable-Right Ang A Male to A Female (Enclosed)-21.5inch(546.1mm)</t>
  </si>
  <si>
    <t>1805-40322-LRT</t>
  </si>
  <si>
    <t>RR-AAR04T-14G</t>
  </si>
  <si>
    <t>USB 2.0 EXTENSION CABLE - LEFT ANG A MALE TO A FEMALE</t>
  </si>
  <si>
    <t>USB 2.0 EXTENSION CABLE - LEFT ANG A MALE TO A FEMALE (ENCLOSED) 15.5INCH (393.7MM</t>
  </si>
  <si>
    <t>1605-24940-LRT</t>
  </si>
  <si>
    <t>RR-ALAF-15.5R</t>
  </si>
  <si>
    <t>USB 3.0 EXTENSION CABLE - LEFT ANG A MALE TO A FEMALE</t>
  </si>
  <si>
    <t>USB 3.0 EXTENSION CABLE - LEFT ANG A MALE TO A FEMALE (ENCLOSED) 15.5INCH (393.7MM)</t>
  </si>
  <si>
    <t>USB 2.0 RA 440MM</t>
  </si>
  <si>
    <t>1509-18960-LRT</t>
  </si>
  <si>
    <t>USB 2.0 RA 390MM</t>
  </si>
  <si>
    <t>RR-AAR04-20G</t>
  </si>
  <si>
    <t>RR-AAR04T-15.5G</t>
  </si>
  <si>
    <t>USB 2.0 EXTENSION CABLE - LEFT ANG A MALE TO A FEMALE (ENCLOSED) 15.5INCH (393.7MM)</t>
  </si>
  <si>
    <t>RR-AAR04P-20G</t>
  </si>
  <si>
    <t>USB 2.0 Extension Cable-Right Ang A Male to A Female (Enclosed)-20inch(508mm)</t>
  </si>
  <si>
    <t>USB CABLE - CHINA</t>
  </si>
  <si>
    <t>USB 3.0 CABLE</t>
  </si>
  <si>
    <t>USB CABLE - CHINA (USB 3.0)</t>
  </si>
  <si>
    <t>1809-42822-LRT</t>
  </si>
  <si>
    <t>USB CABLE -CHINA</t>
  </si>
  <si>
    <t>USB CABLE - CHINA (USB 2.0)</t>
  </si>
  <si>
    <t>2L-5203U</t>
  </si>
  <si>
    <t>3M LVM CABLE</t>
  </si>
  <si>
    <t>1403-05604-LRT</t>
  </si>
  <si>
    <t>L1.0M (4041-4236)</t>
  </si>
  <si>
    <t>USB 3.0 MALE TO FEMALE MICRO B</t>
  </si>
  <si>
    <t>L275</t>
  </si>
  <si>
    <t>USB 3.0 CABLE LEFT ANGLE</t>
  </si>
  <si>
    <t>4041-3270</t>
  </si>
  <si>
    <t>USB 3.0 CABLE RIGHT ANGLE</t>
  </si>
  <si>
    <t>L32</t>
  </si>
  <si>
    <t>USB3.0 CABLE LEFT ANGLE AM-AF L-32M</t>
  </si>
  <si>
    <t>CSMUAA-05M</t>
  </si>
  <si>
    <t>USB Cable,USB Type A-A,Plug,500mm,USB 2.0,Grey</t>
  </si>
  <si>
    <t>PREMIUM USB CABLE TYPE A-A (MALE TO MALE)</t>
  </si>
  <si>
    <t>USB 3.0-BLUE</t>
  </si>
  <si>
    <t>USB 3.0 -BLACK BLUE</t>
  </si>
  <si>
    <t>4041-3269</t>
  </si>
  <si>
    <t>USB 3.0 RIGHT ANGLE A MALE TO A FEMALE</t>
  </si>
  <si>
    <t>1.5 meter</t>
  </si>
  <si>
    <t>TOWEL USB 2.0 A TO A CABLE</t>
  </si>
  <si>
    <t>1606-25647-LRT</t>
  </si>
  <si>
    <t>CSMUAMB5-03M</t>
  </si>
  <si>
    <t>PREMIUM USB CABLE TYPE A - MINI B 5 POSITION, 0.3M</t>
  </si>
  <si>
    <t>1809-42962-LRT</t>
  </si>
  <si>
    <t>CAUALB-03M</t>
  </si>
  <si>
    <t>USB CABLE ASSEMBLY, LATCHING A / STANDARD B 0.3M</t>
  </si>
  <si>
    <t>CSMUAMICB-03M</t>
  </si>
  <si>
    <t>PREMIUM USB CABLE TYPE A - MICRO B 5 POSITION, 0.3M</t>
  </si>
  <si>
    <t>936</t>
  </si>
  <si>
    <t>CABLE USB B FMALE TO MINI B MALE</t>
  </si>
  <si>
    <t>1809-42976-LRT</t>
  </si>
  <si>
    <t>CIMB24-1M</t>
  </si>
  <si>
    <t>1M NORMAL TO REVERSE GPIB CABLE</t>
  </si>
  <si>
    <t>1810-43795-LRT</t>
  </si>
  <si>
    <t>CIMB24-05M</t>
  </si>
  <si>
    <t>0.5M NORMAL TO REVERSE GPIB CABLE</t>
  </si>
  <si>
    <t>CAU3AMICB-1M</t>
  </si>
  <si>
    <t>USB 3.0 Cable Type A - Micro B, 1.0m</t>
  </si>
  <si>
    <t>PC-USB-0102</t>
  </si>
  <si>
    <t>USB A-M- TO A FEMALE CABLE</t>
  </si>
  <si>
    <t>OCB303-01</t>
  </si>
  <si>
    <t>USB RS 232 SERIAL PIN CONVETER CLIPTEC OCB303</t>
  </si>
  <si>
    <t>1605-24467-LRT</t>
  </si>
  <si>
    <t>BF-810  (2700152)</t>
  </si>
  <si>
    <t>BF-810 USB TO SERIAL ADAPTER (DB9) - ATEN USB TO RS-232 COVERTER</t>
  </si>
  <si>
    <t>1602-22186-LRT</t>
  </si>
  <si>
    <t>L-2265M</t>
  </si>
  <si>
    <t>POWER CORD - PSU</t>
  </si>
  <si>
    <t>L-2300M</t>
  </si>
  <si>
    <t>POWER CORD EXTENSION MALE TO FEMALE SINGLE</t>
  </si>
  <si>
    <t>PINCH POINT - WARNING</t>
  </si>
  <si>
    <t>LABEL</t>
  </si>
  <si>
    <t>ESD STICKER FOR FLEXTRONIX</t>
  </si>
  <si>
    <t>WARNING PINCH POINT</t>
  </si>
  <si>
    <t>LRT-12-025</t>
  </si>
  <si>
    <t>PASS STICKER SMALL</t>
  </si>
  <si>
    <t>LRT-12-028</t>
  </si>
  <si>
    <t>ARROW STICKER SMALL</t>
  </si>
  <si>
    <t>LRT-12-031</t>
  </si>
  <si>
    <t>GROUNING - STICKER</t>
  </si>
  <si>
    <t>GROUNING - STICKER GREEN-PESC-H-EC</t>
  </si>
  <si>
    <t>LRT-15-055</t>
  </si>
  <si>
    <t>DANGER ISOLATE MAINS SUPPLY</t>
  </si>
  <si>
    <t>LRT-16-059</t>
  </si>
  <si>
    <t>KEEP HAND AWAY FROM MACHINERY</t>
  </si>
  <si>
    <t>60MMX30MM</t>
  </si>
  <si>
    <t>ESD PROTECT AREA STICKER</t>
  </si>
  <si>
    <t>836-04-01-021</t>
  </si>
  <si>
    <t>ZEBRA #BLACK ON YELLOW 2" X 33M TAPE C/W LAMINATE ( 3ROLLS X 3METER)</t>
  </si>
  <si>
    <t>MSA.00.00.075/27MMX27 MM</t>
  </si>
  <si>
    <t>CENIC LAMINATION/YELLOW BLACK/SHEET FORM</t>
  </si>
  <si>
    <t>MP913L00001 REMARKS: MIND YOUR HANDS LABEL</t>
  </si>
  <si>
    <t>MSA.00.00.076/27MMX27 MM</t>
  </si>
  <si>
    <t>MP913L00002 REMARKS: CRUSH HAZARD</t>
  </si>
  <si>
    <t>MSA.00.00.077/25MMX25 MM</t>
  </si>
  <si>
    <t>MP913L00003 REMARKS: DANGER</t>
  </si>
  <si>
    <t>MSA.00.00.078/40MMX 18MM</t>
  </si>
  <si>
    <t>MP913L00004 REMARKS: LOCKING DIRECTION</t>
  </si>
  <si>
    <t>MSA.00.00.079/20MMX 14MM</t>
  </si>
  <si>
    <t>PVC LAMINATION/GREY BASE LAMINATION/SHEET FORM</t>
  </si>
  <si>
    <t>MP913L00005 REMARKS: DO NOT DISPOSE</t>
  </si>
  <si>
    <t>MSA.00.01.018/70MMX 35MM</t>
  </si>
  <si>
    <t>CENIC LAMINATION/BLACK GREY RED/SHEET FORM</t>
  </si>
  <si>
    <t>MP913L00006 REMARKS: LOCKING DIRECTION</t>
  </si>
  <si>
    <t>MSA.00.00.083/55MMX 25MM</t>
  </si>
  <si>
    <t>CENIC LAMINATION/YELLOW BLACK GREY/SHEET FORM</t>
  </si>
  <si>
    <t>MP913L00007 REMARKS: PLUNGER LOCKING DIRECTION</t>
  </si>
  <si>
    <t>MSA.00.00.087/270MMX 9MM</t>
  </si>
  <si>
    <t>MP913L00008 REMARKS: PRECAUTION STRIP</t>
  </si>
  <si>
    <t>MSA.00.00.203/75MMX 25MM</t>
  </si>
  <si>
    <t>MP913L00009 REMARKS: HANDWHEEL DIRECTION</t>
  </si>
  <si>
    <t>MSA.00.00.204/75MM X 25MM</t>
  </si>
  <si>
    <t>MP913L00010 REMARKS: OPERATING DIRECTION</t>
  </si>
  <si>
    <t>STH STRAP/HANDLER POSITION/13MM X 40MM</t>
  </si>
  <si>
    <t>MP913L00012 REMARKS: HANDLE POSITION</t>
  </si>
  <si>
    <t>BLACK &amp; YELLOW/FOOTING PRECAUTION/140MMX 25MM</t>
  </si>
  <si>
    <t>CENIC LAMINATION/BLACK YELLOW/SHEET FORM</t>
  </si>
  <si>
    <t>MP913L00013 REMARKS: FOOTING PRECAUTION (140MM X 25MM)</t>
  </si>
  <si>
    <t>BLACK &amp; YELLOW/FOOTING PRECAUTION/100MMX 25MM</t>
  </si>
  <si>
    <t>MP913L00014 REMARKS: FOOTING PRECAUTION (100MM X 25MM)</t>
  </si>
  <si>
    <t>BLACK &amp; YELLOW/FOOTING PRECAUTION/100MMX 50MM</t>
  </si>
  <si>
    <t>MP913L00015 REMARKS: FOOTING PRECAUTION (100MM X 50MM)</t>
  </si>
  <si>
    <t>STICKER</t>
  </si>
  <si>
    <t>ENSURE GROUND CABLE</t>
  </si>
  <si>
    <t>DETACH GROUND CABLE</t>
  </si>
  <si>
    <t>WARNING ELECTRIC VOLTAGE PRESENT</t>
  </si>
  <si>
    <t>TNA0005564</t>
  </si>
  <si>
    <t>TNA0005564 STICKER</t>
  </si>
  <si>
    <t>TNA0013151</t>
  </si>
  <si>
    <t>TNA0013151 - LABEL</t>
  </si>
  <si>
    <t>TNA0014731</t>
  </si>
  <si>
    <t>TNA0014731 STICKER</t>
  </si>
  <si>
    <t>TNA0057641</t>
  </si>
  <si>
    <t>TNA0057641-STICKER</t>
  </si>
  <si>
    <t>TNA0060044</t>
  </si>
  <si>
    <t>TNA0060044 STICKER</t>
  </si>
  <si>
    <t>TNA0064593</t>
  </si>
  <si>
    <t>TNA0065006</t>
  </si>
  <si>
    <t>TNA0065006 - LABEL</t>
  </si>
  <si>
    <t>AR XC SIERRA WIRELESS</t>
  </si>
  <si>
    <t>EM XC SIERRA WIRELESS</t>
  </si>
  <si>
    <t>HL XC SIERRA WIRELESS</t>
  </si>
  <si>
    <t>MC XC SIERRA WIRELESS</t>
  </si>
  <si>
    <t>WP XC SIERRA WIRELESS</t>
  </si>
  <si>
    <t>AR BFT SIERRA WIRELESS</t>
  </si>
  <si>
    <t>LABEL/STICKER</t>
  </si>
  <si>
    <t>EM BFT SIERRA WIRELESS</t>
  </si>
  <si>
    <t>HL BFT SIERRA WIRELESS</t>
  </si>
  <si>
    <t>MC BFT SIERRA WIRELESS</t>
  </si>
  <si>
    <t>WP BFT SIERRA WIRELESS</t>
  </si>
  <si>
    <t>EM CONFIG SIERRA WIRELESS</t>
  </si>
  <si>
    <t>HL CONFIG SIERRA WIRELESS</t>
  </si>
  <si>
    <t>MC CONFIG SIERRA WIRELESS</t>
  </si>
  <si>
    <t>WP CONFIG SIERRA WIRELESS</t>
  </si>
  <si>
    <t>AR8652 XC SIERRA WIRELESS</t>
  </si>
  <si>
    <t>AR8652 BFT SIERRA WIRELESS</t>
  </si>
  <si>
    <t>2001-004756</t>
  </si>
  <si>
    <t>SWI NAME TAG AR7 XC BFT COMBO</t>
  </si>
  <si>
    <t>PO2001-54600-LRT</t>
  </si>
  <si>
    <t>2001-004809</t>
  </si>
  <si>
    <t>SWI NAME TAG HL 2UP RF &amp; BFT</t>
  </si>
  <si>
    <t>PINCH POINT BIG-STICKER (WARNING)</t>
  </si>
  <si>
    <t>HEAVY OBJECT WARNING</t>
  </si>
  <si>
    <t>ON HOLD STICKER</t>
  </si>
  <si>
    <t>RE PROBE-LABEL</t>
  </si>
  <si>
    <t>RE PROBE STICKER</t>
  </si>
  <si>
    <t>LRT-12-027</t>
  </si>
  <si>
    <t>REJECT STICKER RED</t>
  </si>
  <si>
    <t>LRT/IT0912-1741</t>
  </si>
  <si>
    <t>CYLINDER-MCS-12.15M-STICKER</t>
  </si>
  <si>
    <t>LRT/ITM0803-0880</t>
  </si>
  <si>
    <t>ROUND CYLINDER STICKER</t>
  </si>
  <si>
    <t>LRT/ITM091-1709</t>
  </si>
  <si>
    <t>POWER SUPPLY K10-24-STICKER</t>
  </si>
  <si>
    <t>LRT/ITM0911-1710</t>
  </si>
  <si>
    <t>POWER SUPPLY K10-05-STICKER</t>
  </si>
  <si>
    <t>LRT/JTM0902-1222</t>
  </si>
  <si>
    <t>TOGGLE VALUE PLUS ELBOW-STICKER</t>
  </si>
  <si>
    <t>HAND OFF - PINCH POINT DANGER</t>
  </si>
  <si>
    <t>EMO STICKER-GREEN</t>
  </si>
  <si>
    <t>PINCH POINT SMALL-STICKER (WARNING)</t>
  </si>
  <si>
    <t>CAN'T FOUND AT PMS SYSTEM ( 1PC TAKEN BY KAK HAMIDAH)</t>
  </si>
  <si>
    <t>AIR REGULATOR STICKER</t>
  </si>
  <si>
    <t>SENSITIVE DEVICE STICKER</t>
  </si>
  <si>
    <t>LRT-01-001</t>
  </si>
  <si>
    <t>HOT SURFACE</t>
  </si>
  <si>
    <t>LRT-12-029</t>
  </si>
  <si>
    <t>LEADER RANGE - STICKER</t>
  </si>
  <si>
    <t>LEADER RANGE STICKER</t>
  </si>
  <si>
    <t>LRT-12-030</t>
  </si>
  <si>
    <t>QC INSPECTION - STICKER</t>
  </si>
  <si>
    <t>LRT-12-044</t>
  </si>
  <si>
    <t>EMERGENCY STOP - STICKER</t>
  </si>
  <si>
    <t>LRT/13/048</t>
  </si>
  <si>
    <t>WARRANTY STICKER</t>
  </si>
  <si>
    <t>LRT-13-049</t>
  </si>
  <si>
    <t>PRODUCT WARRANTY - M STICKER</t>
  </si>
  <si>
    <t>LRT-14-052</t>
  </si>
  <si>
    <t>STOP - STICKER</t>
  </si>
  <si>
    <t>PMS SYSTEM ONLY HAVE 1019pcs</t>
  </si>
  <si>
    <t>LRT-16-057</t>
  </si>
  <si>
    <t>HAND OFF PINCH POINT - DANGER</t>
  </si>
  <si>
    <t>LRT-16-058</t>
  </si>
  <si>
    <t>WARNING - HEAVY OBJECT - BIG</t>
  </si>
  <si>
    <t>LRT-17-060</t>
  </si>
  <si>
    <t>LEADER RANGE - STICKER FOR SHIPMENT</t>
  </si>
  <si>
    <t>TNA-0800050</t>
  </si>
  <si>
    <t>INCLINE CONVEYOR ISOLATOR MATERIAL APPLICATION : PROPASE LEXAN 8B35 0.25 MM C/M 3M 467 MP BLACK &amp; WHITE SIZE : 100 MM X 85 MM</t>
  </si>
  <si>
    <t>240AC</t>
  </si>
  <si>
    <t>VOLTAGE STICKER</t>
  </si>
  <si>
    <t>82-122-74011-09600</t>
  </si>
  <si>
    <t>BIG FOAM WHITE</t>
  </si>
  <si>
    <t>FIT</t>
  </si>
  <si>
    <t>ON TOP G7&amp;G10</t>
  </si>
  <si>
    <t>240volt</t>
  </si>
  <si>
    <t>240voltr EXTENSION CABLE 5PORT</t>
  </si>
  <si>
    <t>240volt EXTENSION CABLE 5PORT</t>
  </si>
  <si>
    <t>G7</t>
  </si>
  <si>
    <t>G5-18</t>
  </si>
  <si>
    <t>PO1904-47790-LRT</t>
  </si>
  <si>
    <t>PR SAMSUL</t>
  </si>
  <si>
    <t>E33-1-2AR</t>
  </si>
  <si>
    <t>250V 10A 3 Gang 1 Way Switch - SCHNEIDER 3 GANG 1 WAY</t>
  </si>
  <si>
    <t>H</t>
  </si>
  <si>
    <t>HP-30</t>
  </si>
  <si>
    <t>HOLE PLUG</t>
  </si>
  <si>
    <t>S-A9/16</t>
  </si>
  <si>
    <t>GANG SWITCHED MULTI SOCKET (MODULAR)</t>
  </si>
  <si>
    <t>SDI65-12-U-P5</t>
  </si>
  <si>
    <t>AC/DC DESKTOP ADAPTER 12V 65W</t>
  </si>
  <si>
    <t>KIT-0026</t>
  </si>
  <si>
    <t>CABLE KIT</t>
  </si>
  <si>
    <t>FN9260-6-06</t>
  </si>
  <si>
    <t>SCHAFFNER 3 PIN</t>
  </si>
  <si>
    <t>NEMA 24 PKP SERIES 2 PHASE BIPOLAR STEPPER MOTOR</t>
  </si>
  <si>
    <t xml:space="preserve">MOTOR </t>
  </si>
  <si>
    <t>PO1910-52280-LRT</t>
  </si>
  <si>
    <t>EM112DINAV01XS1X - (Element -2672858)</t>
  </si>
  <si>
    <t>EEM112DINAV01XS1X -  Energy Meter, EM112 Series, DIN Rail, Single Phase, RS485 Modbus Output, 230 Vac</t>
  </si>
  <si>
    <t>DM4250E</t>
  </si>
  <si>
    <t>2-Phase Hybrid Stepper Motor - (Brand : Leetri)</t>
  </si>
  <si>
    <t>Z7AL2B1692612</t>
  </si>
  <si>
    <t>VIBRATION MOTOR CYL 3V PIN</t>
  </si>
  <si>
    <t>M3PB110-GS4-D2-9-3</t>
  </si>
  <si>
    <t>3PB Valve 9 Station</t>
  </si>
  <si>
    <t>GLS-1</t>
  </si>
  <si>
    <t>Magnetic Proximity Sensor - (  GLS-S1 + GLS-M1)</t>
  </si>
  <si>
    <t>GLS-MI</t>
  </si>
  <si>
    <t>Y07-43DA-5060</t>
  </si>
  <si>
    <t>NEMA17 BODY LENGHT 49.5MM</t>
  </si>
  <si>
    <t>RS-15-12</t>
  </si>
  <si>
    <t>POWER SUPPLY_MW</t>
  </si>
  <si>
    <t>LRS-200-24</t>
  </si>
  <si>
    <t>POWER SUPPLY  LRS-200-24</t>
  </si>
  <si>
    <t>PO1603-23233-LRT</t>
  </si>
  <si>
    <t>LP-24-F00PE-41-001,LP-24-F00SX-41-001</t>
  </si>
  <si>
    <t>Waterproof fiber optic cable connector Optical Cable Multimode Fiber Pigtail LC Connector LC/LC Connector/Fiber Optic Connector</t>
  </si>
  <si>
    <t>8ECH0005.1111A-0</t>
  </si>
  <si>
    <t>ACOPOS P3 HYBRID MOTOR CABLE, LENGTH 5 M, 4X 1.5MM² + 2X 0.75MM² + 2X 0.24 MM² + 2X 2X 0.15 MM², HYBRID MOTOR CONNECTOR 13-PIN SPEEDTEC FEMALE, CAN BE USED IN CABLE DRAG CHAINS</t>
  </si>
  <si>
    <t>HTUN681S3M-60</t>
  </si>
  <si>
    <t>High Torque Timing Belts</t>
  </si>
  <si>
    <t>HTBN150S3M-60</t>
  </si>
  <si>
    <t>HTPK20S5M100-A-P12-KC90</t>
  </si>
  <si>
    <t>High Torque Timing Pulley S5M</t>
  </si>
  <si>
    <t>TBCF-S3M060-4H-M3-L30-P10</t>
  </si>
  <si>
    <t>Timing Belt Clamp Plate</t>
  </si>
  <si>
    <t>TIMING BELT CLAMP PLATES</t>
  </si>
  <si>
    <t>HTBO-S3M060</t>
  </si>
  <si>
    <t>S3M TIMING BELT</t>
  </si>
  <si>
    <t>HTPA20S3M060 - A - H5</t>
  </si>
  <si>
    <t>High Torque Timing Pulleys - S3M</t>
  </si>
  <si>
    <t>WY13-20</t>
  </si>
  <si>
    <t>HTPK50S5M100-A-H12</t>
  </si>
  <si>
    <t>PULLEY - HTPK50S5M100-A-H12  (Part : 02)</t>
  </si>
  <si>
    <t>HTUN440S5M-100</t>
  </si>
  <si>
    <t>High Torque Timing Belt S5M-100 (Equivalent : S5M-440-10mm (W)</t>
  </si>
  <si>
    <t>HTPA24S3M060-B-P8</t>
  </si>
  <si>
    <t>High Torque Timing Pulleys S3M Type</t>
  </si>
  <si>
    <t>PO2005-56791-LRT</t>
  </si>
  <si>
    <t>HTPA24S3M060-B-P5-TPC4</t>
  </si>
  <si>
    <t>asing</t>
  </si>
  <si>
    <t>HTPA72S3M060-B-P15</t>
  </si>
  <si>
    <t>High Torque Timing Pulley</t>
  </si>
  <si>
    <t>HTBN279S3M-60</t>
  </si>
  <si>
    <t>High Torque Timing Belts/S3M</t>
  </si>
  <si>
    <t>JBHMN6-12</t>
  </si>
  <si>
    <t>Bushings for Locating Pins - Shouldered</t>
  </si>
  <si>
    <t>TBC3-6</t>
  </si>
  <si>
    <t>PN-0000035320</t>
  </si>
  <si>
    <t>Tower Light P01-3K-F</t>
  </si>
  <si>
    <t>YMD11-63A</t>
  </si>
  <si>
    <t>Isolator Main Switch</t>
  </si>
  <si>
    <t>CAT-N-6-10-M</t>
  </si>
  <si>
    <t>CARTRIDGE CYLINDER CAT-N-6-10-M</t>
  </si>
  <si>
    <t>EL2809</t>
  </si>
  <si>
    <t>16 CHANNEL DIGITAL OUTPUT TERMINAL 24 V DC 0.5 A -4 WIRE SYSTEM</t>
  </si>
  <si>
    <t>16 Channel Digital Output Terminal 24 V DC 0.5 A -4 Wire System</t>
  </si>
  <si>
    <t>PO1612-29410-LRT</t>
  </si>
  <si>
    <t>EL1809</t>
  </si>
  <si>
    <t>16-CHANNEL DIGITAL INPUT TERMINAL 24V DC,FILTER 3.0 MS,TYPE3</t>
  </si>
  <si>
    <t>PO1604-23710-LRT</t>
  </si>
  <si>
    <t>TFBR-321</t>
  </si>
  <si>
    <t>32A FUSE TERMINAL BLOCK</t>
  </si>
  <si>
    <t>PKP268D28A2-R2FL</t>
  </si>
  <si>
    <t>MOTOR DC OUTPUT 28.9W</t>
  </si>
  <si>
    <t>PO1712-37161-LRT</t>
  </si>
  <si>
    <t>GLC-T</t>
  </si>
  <si>
    <t>1000BASE-T SFP</t>
  </si>
  <si>
    <t>PO1510-19271-LRT</t>
  </si>
  <si>
    <t xml:space="preserve"> D-60B</t>
  </si>
  <si>
    <t>MEANWELL POWER SUPPLY</t>
  </si>
  <si>
    <t>PO1907-50373-LRT</t>
  </si>
  <si>
    <t>MDR-20-24</t>
  </si>
  <si>
    <t>PO1509-18460-LRT</t>
  </si>
  <si>
    <t>EDR-120-24</t>
  </si>
  <si>
    <t>PO1611-29125-LRT</t>
  </si>
  <si>
    <t>EDR-75-24</t>
  </si>
  <si>
    <t>PO1609-28045-LRT</t>
  </si>
  <si>
    <t>EL9410</t>
  </si>
  <si>
    <t>POWER SUPPLY TERMINAL</t>
  </si>
  <si>
    <t>DS-2CD6414FWD-L20</t>
  </si>
  <si>
    <t>ATM BANK MINI IP CAMERA</t>
  </si>
  <si>
    <t>SIMULATOR</t>
  </si>
  <si>
    <t>DS-2CD6414FWD-C1</t>
  </si>
  <si>
    <t>CCTV 1.3MP/ 1/3"CMOS/25P/30(N)FPS</t>
  </si>
  <si>
    <t>NDR-120-48</t>
  </si>
  <si>
    <t>MEANWELL POWER PUPPLY</t>
  </si>
  <si>
    <t>PO1510-19490-LRT</t>
  </si>
  <si>
    <t>SDR-240-24</t>
  </si>
  <si>
    <t>10-16A</t>
  </si>
  <si>
    <t>OP-87231</t>
  </si>
  <si>
    <t>CABLE FOR 2D CODE READER</t>
  </si>
  <si>
    <t>SDR-480-48</t>
  </si>
  <si>
    <t>82-122-74019-09600</t>
  </si>
  <si>
    <t>SMALL FOAM WHITE</t>
  </si>
  <si>
    <t>EK1100</t>
  </si>
  <si>
    <t>ETHERCAT COUPLER FOR E-BUS TERMINAL</t>
  </si>
  <si>
    <t>A9F74116</t>
  </si>
  <si>
    <t>Schneider MCB 1P 16A Type C</t>
  </si>
  <si>
    <t>PO1509-5353-LRT</t>
  </si>
  <si>
    <t>73-3-34</t>
  </si>
  <si>
    <t>WEINSCHEL ATTENUATOR-100WATTS</t>
  </si>
  <si>
    <t>FIXED COAXIAL ATTENUATOR</t>
  </si>
  <si>
    <t>VIISION PARTS/CAMERA PARTS</t>
  </si>
  <si>
    <t>72-30-34</t>
  </si>
  <si>
    <t>WEINSCHEL ATTENUATOR 50WATTS</t>
  </si>
  <si>
    <t>SA18S10W-10</t>
  </si>
  <si>
    <t>ATTENUATOR SMA 18GHZ 10WATT</t>
  </si>
  <si>
    <t>ATTENUATOR SMA 18ghz 10watt 10DB S/STEEL</t>
  </si>
  <si>
    <t>CBPJ9</t>
  </si>
  <si>
    <t>ROLLER PLUNGERS</t>
  </si>
  <si>
    <t>LF-60M1245</t>
  </si>
  <si>
    <t>JGS LEVELING FEET</t>
  </si>
  <si>
    <t>PO1808-42331-LRT</t>
  </si>
  <si>
    <t>C-CTHJ100-U</t>
  </si>
  <si>
    <t>CASTER  (14,400G)</t>
  </si>
  <si>
    <t>CASTER WHEEL</t>
  </si>
  <si>
    <t>2470DYK075P40</t>
  </si>
  <si>
    <t>Castor Wheel</t>
  </si>
  <si>
    <t>PO1910-51983-LRT</t>
  </si>
  <si>
    <t>LHL-X100PART NUMBER 249137</t>
  </si>
  <si>
    <t>GREESE (LUBE)</t>
  </si>
  <si>
    <t>PO1909-51495-LRT</t>
  </si>
  <si>
    <t>PROSKIT CRIMP TOOL</t>
  </si>
  <si>
    <t>NAC3FC-HC</t>
  </si>
  <si>
    <t>Lockable Cable Connector Power In - Element Code : 1630641</t>
  </si>
  <si>
    <t>PO1612-29682-LRT</t>
  </si>
  <si>
    <t>SKF 3207 A-2RS1TN9/MT33</t>
  </si>
  <si>
    <t>SKF ANGULAR CONTACT BALL BEARING</t>
  </si>
  <si>
    <t>SKF Angular Contact Ball Bearing</t>
  </si>
  <si>
    <t>ZB4BS944</t>
  </si>
  <si>
    <t>Switch Actuator, Harmony pushbuttons and switches</t>
  </si>
  <si>
    <t>PO1605-25411-LRT</t>
  </si>
  <si>
    <t>7202B</t>
  </si>
  <si>
    <t>Bearing</t>
  </si>
  <si>
    <t>PO1607-26758-LRT</t>
  </si>
  <si>
    <t>SKF 6305ZZC3E</t>
  </si>
  <si>
    <t>Bearing SKF 6305ZZC3E</t>
  </si>
  <si>
    <t>PO1604-23743-LRT</t>
  </si>
  <si>
    <t>EP-022120B</t>
  </si>
  <si>
    <t>GRAB HANDLES</t>
  </si>
  <si>
    <t>6207DDU</t>
  </si>
  <si>
    <t>6001DD</t>
  </si>
  <si>
    <t>BEARING-6001DD - (MBZ 6001.2RSR DEEP GROOVE BALL BEARINGSP SINGLE RAW)</t>
  </si>
  <si>
    <t>706C</t>
  </si>
  <si>
    <t>ANGULAR CONTACT BALL BEARING 706C</t>
  </si>
  <si>
    <t>6000DDU</t>
  </si>
  <si>
    <t>Bearing-6000DDU - (MBZ 6000.2RSR Deep Groove Ball Bearings Sing Row)</t>
  </si>
  <si>
    <t>696DD</t>
  </si>
  <si>
    <t>NSK EARING</t>
  </si>
  <si>
    <t>698DD</t>
  </si>
  <si>
    <t>J25</t>
  </si>
  <si>
    <t>SPEEDY ROLLER BEARING</t>
  </si>
  <si>
    <t>ES-3716200</t>
  </si>
  <si>
    <t>6907DDU</t>
  </si>
  <si>
    <t>Bearing-6907DDU - (FBJ)</t>
  </si>
  <si>
    <t>E7</t>
  </si>
  <si>
    <t>Magnet O Bearing E7 (IJK)</t>
  </si>
  <si>
    <t>E8</t>
  </si>
  <si>
    <t>MAGNETO BEARING</t>
  </si>
  <si>
    <t>7000 C</t>
  </si>
  <si>
    <t>Bearing  7000C - (FBJ)</t>
  </si>
  <si>
    <t>C-CTHK100-U</t>
  </si>
  <si>
    <t>CASTER  (11,200G)</t>
  </si>
  <si>
    <t>FLOCK75</t>
  </si>
  <si>
    <t>FLOOR STOPPERS  (3,200g)</t>
  </si>
  <si>
    <t>FOCUS 4FT END CAP WIRE</t>
  </si>
  <si>
    <t>780046-01</t>
  </si>
  <si>
    <t>POWER SUPPLY FOR USB DAQ</t>
  </si>
  <si>
    <t>785600-03</t>
  </si>
  <si>
    <t>MEDIA REQUEST,LABVIEW PLATFORM WINDOW USB</t>
  </si>
  <si>
    <t>782604-01</t>
  </si>
  <si>
    <t>National Instruments</t>
  </si>
  <si>
    <t>Low-Cost DAQ USB Device</t>
  </si>
  <si>
    <t>MULTIFUNCTION I-O DEVICE USB 6001</t>
  </si>
  <si>
    <t>PO1711-36027-LRT</t>
  </si>
  <si>
    <t>782605-01</t>
  </si>
  <si>
    <t>782605-01(USB6001 OEM DEVICE)</t>
  </si>
  <si>
    <t>PO2006-57784-LRT</t>
  </si>
  <si>
    <t>197294-01</t>
  </si>
  <si>
    <t>NI DAQ CARD USB 6225 OEM BOARD ONLY</t>
  </si>
  <si>
    <t>SFAN 060020</t>
  </si>
  <si>
    <t>AC/DC ADAPTER 220AC</t>
  </si>
  <si>
    <t>341-0206-03 B0</t>
  </si>
  <si>
    <t>IP PHONE POWER TRANSFORMER FOR THE 7900 PHONE SERIES</t>
  </si>
  <si>
    <t>ES18B05-050</t>
  </si>
  <si>
    <t>5V 3.0A AC/DC SWITCHING ADAPTER</t>
  </si>
  <si>
    <t>ZK4510-0020-0080</t>
  </si>
  <si>
    <t>8 METER ENCODER CABLE FOR AM3031</t>
  </si>
  <si>
    <t xml:space="preserve">CABLE </t>
  </si>
  <si>
    <t>ZK4510-0020-0150</t>
  </si>
  <si>
    <t>15M ENCODER CABLE (ABSOLUTE ENCODER)</t>
  </si>
  <si>
    <t>ZK1090-9191-0005</t>
  </si>
  <si>
    <t>AX-BRIDGE QUICK CONNECTION SYSTEMETHERCAT CABLEINDUSTRIAL ETHERNET/ETHERCAT PATCH CABLE, CAT5, PUR, 0.50 M</t>
  </si>
  <si>
    <t>Model : OFAF000H100</t>
  </si>
  <si>
    <t>ABB FUSELINK, 100A</t>
  </si>
  <si>
    <t>PO1512-20792-LRT</t>
  </si>
  <si>
    <t>A9R12263</t>
  </si>
  <si>
    <t>Schneider ELCB 2P 63A 100MA</t>
  </si>
  <si>
    <t>OP51580</t>
  </si>
  <si>
    <t>USB CABLE (B2M)</t>
  </si>
  <si>
    <t>PO1511-19878-LRT</t>
  </si>
  <si>
    <t>OFAF000H100</t>
  </si>
  <si>
    <t>ABB FUSED LINK</t>
  </si>
  <si>
    <t>FUSED</t>
  </si>
  <si>
    <t>OP-87230</t>
  </si>
  <si>
    <t>CABLE FOR 20 CODE READER</t>
  </si>
  <si>
    <t>VTM40KD-A3-DL</t>
  </si>
  <si>
    <t>VMECA DUPLEX PUMP C/W SUPPLY VALVE MAX VACUUN</t>
  </si>
  <si>
    <t>Vacuum Pump</t>
  </si>
  <si>
    <t>PO1512-20694-LRT</t>
  </si>
  <si>
    <t xml:space="preserve">15MTR ENCODER CABLE </t>
  </si>
  <si>
    <t>AP129UV</t>
  </si>
  <si>
    <t>AC ADAPTER - TOSHIBA</t>
  </si>
  <si>
    <t>PS-180</t>
  </si>
  <si>
    <t>AC ADAPTER - EPSON</t>
  </si>
  <si>
    <t>XAC1263D</t>
  </si>
  <si>
    <t>AC ADAPTER - XIN AN WIRING INDUSTRY</t>
  </si>
  <si>
    <t>SA122ASIV</t>
  </si>
  <si>
    <t>AC ADAPTER - CONDOR</t>
  </si>
  <si>
    <t>SP16-1330</t>
  </si>
  <si>
    <t>AC ADAPTER - ASTRODYNE</t>
  </si>
  <si>
    <t>SWG1-R1</t>
  </si>
  <si>
    <t>Ground Worm Shaft</t>
  </si>
  <si>
    <t xml:space="preserve">SHAFT/ THOMSON SHAFT </t>
  </si>
  <si>
    <t>ZB4-BE102</t>
  </si>
  <si>
    <t>Salzer ZB4-BE102 Spare Contact</t>
  </si>
  <si>
    <t>B-2090202</t>
  </si>
  <si>
    <t>5 meter for testing front door frame</t>
  </si>
  <si>
    <t>AA-0220RB</t>
  </si>
  <si>
    <t>LIFT - OFF HINGE</t>
  </si>
  <si>
    <t>AA-0220LB</t>
  </si>
  <si>
    <t>63 amp 5 pin male socket</t>
  </si>
  <si>
    <t>ZYE1-P30/22</t>
  </si>
  <si>
    <t>Free shipping ZYE1-P30/22 10KG(10Magnetic Lock - size : 30mm</t>
  </si>
  <si>
    <t>NSE 04-M5C</t>
  </si>
  <si>
    <t>Speed Controller (ELBOW)</t>
  </si>
  <si>
    <t>OD : 25 x ID 12.5 x L 80</t>
  </si>
  <si>
    <t>Die Spring - (Red)</t>
  </si>
  <si>
    <t>Die Spring - (Green)</t>
  </si>
  <si>
    <t>Ø35 x L : 90</t>
  </si>
  <si>
    <t>Die Spring Green</t>
  </si>
  <si>
    <t>ID : 12.5 x OD : 25 x L : 90</t>
  </si>
  <si>
    <t>DIE SPRING BLUE (SL025-90)</t>
  </si>
  <si>
    <t>KS-6</t>
  </si>
  <si>
    <t>SPIRAL WRAPPING BANDS</t>
  </si>
  <si>
    <t>DGS-1005A</t>
  </si>
  <si>
    <t>D-LINK NETWORK HUB</t>
  </si>
  <si>
    <t>DES-1016A</t>
  </si>
  <si>
    <t>Fast Ethernet Switch</t>
  </si>
  <si>
    <t>PO2007-58483-LRT</t>
  </si>
  <si>
    <t>DUB-1312</t>
  </si>
  <si>
    <t>D-LINK USB3.0 GIGABIT</t>
  </si>
  <si>
    <t>D-LINK USB3.0 GIGABIT ETHERNET ADAPTER</t>
  </si>
  <si>
    <t>F4U088tt-Equlvalent DUB-1341</t>
  </si>
  <si>
    <t>USB 3.0 4 PORT HUB + USB-C™ CABLE (MUST BE POWERED BY EXTERNAL POWER ADAP</t>
  </si>
  <si>
    <t>AC power universal socket,computer chassis external socket outlet</t>
  </si>
  <si>
    <t>E2 IC Essential High Thermal</t>
  </si>
  <si>
    <t>BJ1M-DDT</t>
  </si>
  <si>
    <t>AUTONICS SENSOR</t>
  </si>
  <si>
    <t>SENSOR CONTROLLING</t>
  </si>
  <si>
    <t>PSN30-10DN</t>
  </si>
  <si>
    <t>ACTONICS PROXIMITY SENSOR</t>
  </si>
  <si>
    <t>Blue Zinc Button Head</t>
  </si>
  <si>
    <t>Socket Button Head Cap Screw - Zinc</t>
  </si>
  <si>
    <t>BUTTON HEAD SCREW - BLUE ZINC</t>
  </si>
  <si>
    <t>BUTTON HEAD CAP SCREW - (ZINC)</t>
  </si>
  <si>
    <t>M6 X 12</t>
  </si>
  <si>
    <t>COUNTERSUNK HEAD SCREW - (ZINC)</t>
  </si>
  <si>
    <t>Countersunk Screw - Blue Zinc</t>
  </si>
  <si>
    <t>Flat Head Cap Screw  - (Zinc)</t>
  </si>
  <si>
    <t>Blue Zinc Countersunk</t>
  </si>
  <si>
    <t>Countersunk Screw - Blue Zicn</t>
  </si>
  <si>
    <t>SPRING WASHER - (ZINC)</t>
  </si>
  <si>
    <t>FLAT WASHER - (ZINC)</t>
  </si>
  <si>
    <t>Flat Washer -(Zinc)</t>
  </si>
  <si>
    <t>Flat Washer - (ZiNC)</t>
  </si>
  <si>
    <t>Flat Washer - (Blue Zinc)</t>
  </si>
  <si>
    <t>Flat Washer - (Zinc)</t>
  </si>
  <si>
    <t>M8 X 1.25 X 25</t>
  </si>
  <si>
    <t>1032-U1</t>
  </si>
  <si>
    <t>FORMED HEX SCREW - (ZINC)</t>
  </si>
  <si>
    <t>HEXAGONAL NUT - (ZINC)</t>
  </si>
  <si>
    <t>M.S ZINC PLATING HINGE - ( EQUUIVALENT : 2407-021-01)</t>
  </si>
  <si>
    <t>SOCKET HEAD CAP SCREW - (ZINC)</t>
  </si>
  <si>
    <t>SOCKET HEAD CAP SCREW - ZINC</t>
  </si>
  <si>
    <t>M4 X 40</t>
  </si>
  <si>
    <t>BLUE ZINC CAP SCREW</t>
  </si>
  <si>
    <t>M6 X 60</t>
  </si>
  <si>
    <t>CAP SCREW - BLUE ZINC</t>
  </si>
  <si>
    <t>M6 X 75</t>
  </si>
  <si>
    <t>M12 X 40</t>
  </si>
  <si>
    <t>M12 X 50</t>
  </si>
  <si>
    <t>VR10C</t>
  </si>
  <si>
    <t>OZAK ROLLER COVER</t>
  </si>
  <si>
    <t>W-4000-15-W-T6-R2</t>
  </si>
  <si>
    <t>FR UNIT WHITE</t>
  </si>
  <si>
    <t>M4000-15-W</t>
  </si>
  <si>
    <t>MICROALESCER - WHITE</t>
  </si>
  <si>
    <t>MVR10-E</t>
  </si>
  <si>
    <t>SPEEDY ROLLER GUIDE</t>
  </si>
  <si>
    <t>BALL SCREW</t>
  </si>
  <si>
    <t>PO1702-30263-LRT</t>
  </si>
  <si>
    <t>MVR6-E</t>
  </si>
  <si>
    <t>PO1510-19260-LRT</t>
  </si>
  <si>
    <t>MVR-6</t>
  </si>
  <si>
    <t>Speedy Roller</t>
  </si>
  <si>
    <t>MVR10</t>
  </si>
  <si>
    <t>PO1602-22089-LRT</t>
  </si>
  <si>
    <t>MVR6</t>
  </si>
  <si>
    <t>V ROLLER</t>
  </si>
  <si>
    <t>PO1705-32339-LRT</t>
  </si>
  <si>
    <t>B410-W</t>
  </si>
  <si>
    <t>T- TYPE BRACKET-W</t>
  </si>
  <si>
    <t>BREKET</t>
  </si>
  <si>
    <t>0.040 x 12 x 12</t>
  </si>
  <si>
    <t>ABSORBER</t>
  </si>
  <si>
    <t>ABSORBER MCS/SS6-China</t>
  </si>
  <si>
    <t>ANTI STATIC MAT</t>
  </si>
  <si>
    <t>PO1508-17694-LRT</t>
  </si>
  <si>
    <t>RL 90-18 /14N (RS code : 263-7828)</t>
  </si>
  <si>
    <t>Papsr Blower RL 90-18</t>
  </si>
  <si>
    <t>COOLING FAN</t>
  </si>
  <si>
    <t>PO1508-18267-LRT</t>
  </si>
  <si>
    <t>4412H</t>
  </si>
  <si>
    <t>DC AXIAL FAN 119MM X 119MM X 38MM-12VDC (EQUIVALENT : 4412M) ELEMENT : 2094442</t>
  </si>
  <si>
    <t>RL65-21/14H (RS : 250-971)</t>
  </si>
  <si>
    <t>CENTRIFUGAL BLOWER 93.5 X 97 X 33MM, 61M³/H, 24 V DC (RL65 SERIES)</t>
  </si>
  <si>
    <t>4414H</t>
  </si>
  <si>
    <t>FAN AXIAL 119X38MM 24VDC WIRE - (RS : 825-6557)</t>
  </si>
  <si>
    <t>PO1712-37265-LRT</t>
  </si>
  <si>
    <t>RL 90-18/14NG - (Element :9599940)</t>
  </si>
  <si>
    <t>Ebmpapst supplier</t>
  </si>
  <si>
    <t>01-0501-1857 (Per Ft)</t>
  </si>
  <si>
    <t>.250 x .500 SIL SPG W/2</t>
  </si>
  <si>
    <t>electromagnet dia49mm 24V</t>
  </si>
  <si>
    <t>RJSBE5381C1 (Element 14 : 2507133)</t>
  </si>
  <si>
    <t>AMPHENOL COMMERCIAL PRODUCTS RJSBE5381C1 CONNECTOR, RJ45, JACK, 8P8C</t>
  </si>
  <si>
    <t>VR6</t>
  </si>
  <si>
    <t>SF4303-IP-SC2-CN2-D4</t>
  </si>
  <si>
    <t>FLEXIBLE SOLENOID VALVE</t>
  </si>
  <si>
    <t>PO1705-32544-LRT</t>
  </si>
  <si>
    <t>YSV321-DP-CD2-D</t>
  </si>
  <si>
    <t>YPC Valve</t>
  </si>
  <si>
    <t>PO1704-31583-LRT</t>
  </si>
  <si>
    <t>3/2 Way YPC Solenoid Valve</t>
  </si>
  <si>
    <t>ST-01</t>
  </si>
  <si>
    <t>Plastic Silencer</t>
  </si>
  <si>
    <t>PO1601-21407-LRT</t>
  </si>
  <si>
    <t>FST-01</t>
  </si>
  <si>
    <t>1/8" Plastic Silencer</t>
  </si>
  <si>
    <t>PO1601-21698-LRT</t>
  </si>
  <si>
    <t>SS-801</t>
  </si>
  <si>
    <t>UPS Power Outlet AC socket/IEC INLET Universal EU AU UK</t>
  </si>
  <si>
    <t>SWTICH</t>
  </si>
  <si>
    <t>PO1509-18908-LRT</t>
  </si>
  <si>
    <t>EFH6</t>
  </si>
  <si>
    <t>BLADE FUSE HOLDER WHITE</t>
  </si>
  <si>
    <t>SS-3-HC-1-2</t>
  </si>
  <si>
    <t>MALE HOSE CONNECTOR 3/16"ID X 1/8"NPT SS316</t>
  </si>
  <si>
    <t>GWS-12-15</t>
  </si>
  <si>
    <t>PNEUMATIC FITTING</t>
  </si>
  <si>
    <t>GWL-12-15</t>
  </si>
  <si>
    <t>JT2137/12</t>
  </si>
  <si>
    <t>JTAG POD SYSTEM</t>
  </si>
  <si>
    <t xml:space="preserve">INDICATOR </t>
  </si>
  <si>
    <t>MK2532WHI</t>
  </si>
  <si>
    <t>3PIN MK SWITCH SOCKET</t>
  </si>
  <si>
    <t>FD-42G</t>
  </si>
  <si>
    <t>Panasonic Fiber Sensor</t>
  </si>
  <si>
    <t>C-1510</t>
  </si>
  <si>
    <t>LIFT AND RAISE LATCH</t>
  </si>
  <si>
    <t>PO1509-18314-LRT</t>
  </si>
  <si>
    <t>RJ45 connectors</t>
  </si>
  <si>
    <t>RJ45 SOCKET FEMALE CONNECTORS, RJ45 PANEL MOUNT CONNECTOR SOCKET, RJ45 WATERPROOF AND DUSTPROOF CONNECTOR,IP65</t>
  </si>
  <si>
    <t>FX-101-CC2</t>
  </si>
  <si>
    <t>Panasonic Sensor Amplifier</t>
  </si>
  <si>
    <t>PO1603-23316-LRT</t>
  </si>
  <si>
    <t>HTPA72S3M150-A-H18-NFC</t>
  </si>
  <si>
    <t>HIGH TORQUE TIMING PULLYE (1,536g)</t>
  </si>
  <si>
    <t>PULLEY</t>
  </si>
  <si>
    <t>PO1512-21269-LRT</t>
  </si>
  <si>
    <t>HTBN295S5M-250</t>
  </si>
  <si>
    <t>BELT (232g)</t>
  </si>
  <si>
    <t>PO1512-212752-LRT</t>
  </si>
  <si>
    <t>BZ 172914</t>
  </si>
  <si>
    <t>DOOR LATCH FOR PANEL</t>
  </si>
  <si>
    <t>PO1605-24713-LRT</t>
  </si>
  <si>
    <t>HTUN138S2M-60</t>
  </si>
  <si>
    <t>High Torque Timing Belts-HTUN60S2M-138mm</t>
  </si>
  <si>
    <t>PO1606-25638-LRT</t>
  </si>
  <si>
    <t>PSN17-8DN</t>
  </si>
  <si>
    <t>Autronic Prox Sensor</t>
  </si>
  <si>
    <t>PO1604-23662-LRT</t>
  </si>
  <si>
    <t>NB705</t>
  </si>
  <si>
    <t>Thin Section Bearing</t>
  </si>
  <si>
    <t>PO1706-32675-LRT</t>
  </si>
  <si>
    <t>195959-01</t>
  </si>
  <si>
    <t>NI CARD 6229 OEM DAQ</t>
  </si>
  <si>
    <t>NI CARD 6229 OEM DAQ BOARD ONLY</t>
  </si>
  <si>
    <t>NDR-120-12</t>
  </si>
  <si>
    <t>SDR-960-48</t>
  </si>
  <si>
    <t>MEANWELL POWE SUPPLY</t>
  </si>
  <si>
    <t>TUS0425-N-20 (20 meter)</t>
  </si>
  <si>
    <t>SMC Arm Tube Inverter (Soft Urethane)</t>
  </si>
  <si>
    <t>PO1511-19782-LRT</t>
  </si>
  <si>
    <t>TUS0604BU-20</t>
  </si>
  <si>
    <t>SOFT POLYURETHANE TUBING - BLUE</t>
  </si>
  <si>
    <t>SOFT POLYURETHANE TUBING</t>
  </si>
  <si>
    <t>PO2008-58988-LRT</t>
  </si>
  <si>
    <t>TUS0425G-20</t>
  </si>
  <si>
    <t>SOFT POLYURETHANE TUBING - GREEN</t>
  </si>
  <si>
    <t>AS5048A-HTSP-500</t>
  </si>
  <si>
    <t xml:space="preserve">BOARD MOUNT HALL EFFECT / MAGNETIC SENSORS 14-BIT ROTARY POSITION SENSOR </t>
  </si>
  <si>
    <t>PO1608-27137-LRT</t>
  </si>
  <si>
    <t>TST035FP-01A-P</t>
  </si>
  <si>
    <t>TOUCH PANEL-DISPLAY</t>
  </si>
  <si>
    <t>PCB</t>
  </si>
  <si>
    <t>PO1607-26738-LRT</t>
  </si>
  <si>
    <t>5050/60/12V/DL</t>
  </si>
  <si>
    <t>5050/60/12V/DL STRIP LIGHT - ECPBRIGHT (3 BAG =X 5 METER = 15 METER )</t>
  </si>
  <si>
    <t>Meter</t>
  </si>
  <si>
    <t>LEAD/BARE WIRE</t>
  </si>
  <si>
    <t>PO1605-24491-LRT</t>
  </si>
  <si>
    <t>LAMP LED 5M 1210-BLUE</t>
  </si>
  <si>
    <t>FS06024-0M</t>
  </si>
  <si>
    <t>POWER SUPPLY 24V -2.5A</t>
  </si>
  <si>
    <t>J</t>
  </si>
  <si>
    <t>FS-10024-0M</t>
  </si>
  <si>
    <t>POWER SUPPLY 24V 4.2A</t>
  </si>
  <si>
    <t>ATX12V 2.0</t>
  </si>
  <si>
    <t>POWER SUPPLY TWV 500W</t>
  </si>
  <si>
    <t>D-60A</t>
  </si>
  <si>
    <t>POWER SUPPLY +5-12V 3A</t>
  </si>
  <si>
    <t>D-60B</t>
  </si>
  <si>
    <t>POWER SUPPLY (UE)</t>
  </si>
  <si>
    <t>LS2208-SR20007R-UR</t>
  </si>
  <si>
    <t>SCANNER</t>
  </si>
  <si>
    <t>4 &amp; 5</t>
  </si>
  <si>
    <t>ESD MATT</t>
  </si>
  <si>
    <t>MATERIAL : ESD MATT THICKNESS : 2MMT COLOR : GREEN SIZE : 230MM X 320MM / PC</t>
  </si>
  <si>
    <t>MATT</t>
  </si>
  <si>
    <t>ES-122300B</t>
  </si>
  <si>
    <t>MTM23CRE3</t>
  </si>
  <si>
    <t>HBA MOTOR TORQUE 15K</t>
  </si>
  <si>
    <t>RX060B-L1-10-D1-S8</t>
  </si>
  <si>
    <t>GEARHEAT RATIO 1:10</t>
  </si>
  <si>
    <t>HX650W</t>
  </si>
  <si>
    <t>COSAIR POWER SUPPLY</t>
  </si>
  <si>
    <t>NES-50-24</t>
  </si>
  <si>
    <t>POWER SUPPLY 24V 2.2A</t>
  </si>
  <si>
    <t>LCS150-12</t>
  </si>
  <si>
    <t>POWER SUPPLY 12V 12A</t>
  </si>
  <si>
    <t>S-150-5</t>
  </si>
  <si>
    <t>POWER SUPPLY 5V 30A</t>
  </si>
  <si>
    <t>FS-01505-0M</t>
  </si>
  <si>
    <t>POWER SUPPLY 5V 3A</t>
  </si>
  <si>
    <t>BS20-24</t>
  </si>
  <si>
    <t>POWER SUPPLY 24V 1A</t>
  </si>
  <si>
    <t>GXT-3000MTPLUSC230</t>
  </si>
  <si>
    <t>UPS_GXT-3000 - LIEBERT GXT-MTPLUS CX ON-LINE 3000VA/2700W 230V LCD TOWER</t>
  </si>
  <si>
    <t xml:space="preserve">INSULATOR/INSULATOR (LCD) </t>
  </si>
  <si>
    <t>2mmø x 30 Meter ( 1 roll = 30 meter)</t>
  </si>
  <si>
    <t>Volta Polycord Round Belt</t>
  </si>
  <si>
    <t>PO1606-25570-LRT</t>
  </si>
  <si>
    <t>#8005D</t>
  </si>
  <si>
    <t>Clear RTV Silicone - (Silicone RTV Transparents Adhesive Sealant</t>
  </si>
  <si>
    <t>PO1704-31620-LRT</t>
  </si>
  <si>
    <t>GHG 630 DCE</t>
  </si>
  <si>
    <t>POWER TOOLS</t>
  </si>
  <si>
    <t>NEMA 23 CNC STEPPER MOTOR 2.8A 1.9NM(269OZ.IN) 23HS30-2804S</t>
  </si>
  <si>
    <t>TRANSFORMER</t>
  </si>
  <si>
    <t>PO1512-21017-LRT</t>
  </si>
  <si>
    <t>WDGA-36A-06-1400</t>
  </si>
  <si>
    <t>DECODER</t>
  </si>
  <si>
    <t>TS-161220113</t>
  </si>
  <si>
    <t>DB15WAY MALE CLAMPING CONNECTOR</t>
  </si>
  <si>
    <t>DB25 CONNECTOR TERMINAL (FEMALE WITH PIN)</t>
  </si>
  <si>
    <t>DB25 CONNECTOR TERMINAL (MALE WITH PIN)</t>
  </si>
  <si>
    <t>DB9 CONNECTOR TERMINAL (MALE WITH PIN)</t>
  </si>
  <si>
    <t>NEMA17 BIPOLAR STEPPER MOTORR</t>
  </si>
  <si>
    <t>NEMA17 BIPOLAR STEPPER MOTOR</t>
  </si>
  <si>
    <t>6491-E14268</t>
  </si>
  <si>
    <t>HIGH SOLIDS POLYURET</t>
  </si>
  <si>
    <t>PAINT</t>
  </si>
  <si>
    <t>PO1904-46227-LRT</t>
  </si>
  <si>
    <t>1600-02</t>
  </si>
  <si>
    <t>REDUCER</t>
  </si>
  <si>
    <t>340HP</t>
  </si>
  <si>
    <t>CATALYST</t>
  </si>
  <si>
    <t>0027859</t>
  </si>
  <si>
    <t>CABLE UNITR FD 7 X 0.25MM2 - SAP NO : 131868 (OD : 6.1MM) (100 METER)</t>
  </si>
  <si>
    <t>METER</t>
  </si>
  <si>
    <t>CABLE/WIRE</t>
  </si>
  <si>
    <t>PO1610-28102-LRT</t>
  </si>
  <si>
    <t>CABLE YSLY-OZ 2X1.5 MM2 (115METER = 1 ROLL)</t>
  </si>
  <si>
    <t>0027429</t>
  </si>
  <si>
    <t>CABLE UNITR FD CY 7 X 0.25MM2 - SAP NO : 21540 (OD : 6.7) ( 100 METER)</t>
  </si>
  <si>
    <t>M16 X 2.0 X 80MM (218060-160-080)</t>
  </si>
  <si>
    <t>SET SCREW M16 X 2.0 X 80MM - (Alloy Black Set Screw DIN 916 M16 x 80</t>
  </si>
  <si>
    <t>PO1701-29971-LRT</t>
  </si>
  <si>
    <t>GOE-150B-150W</t>
  </si>
  <si>
    <t>HIGHBAY LIGHTING-LED</t>
  </si>
  <si>
    <t>77-13-3174-09600</t>
  </si>
  <si>
    <t>BIG FOAM VERTICAL SQUARE</t>
  </si>
  <si>
    <t>ON TOP J7</t>
  </si>
  <si>
    <t>TK-CLV</t>
  </si>
  <si>
    <t>TOILET TISSUE ROLL (1 BUNDLE X 120 ROLLS)</t>
  </si>
  <si>
    <t>K</t>
  </si>
  <si>
    <t>PO1811-44558-LRT</t>
  </si>
  <si>
    <t>SP330</t>
  </si>
  <si>
    <t>INK PRINTER BIG (RIBBON)</t>
  </si>
  <si>
    <t>XW121</t>
  </si>
  <si>
    <t>INK PRINTER SMALL (RIBBON)</t>
  </si>
  <si>
    <t>HAND SOAP-G</t>
  </si>
  <si>
    <t>Hand Soap - Applie Green - 10 Litre per bottle (2 bottles per carton = 20 litre)</t>
  </si>
  <si>
    <t>NEXT TO</t>
  </si>
  <si>
    <t>FRAGRANCE : APPLE GREEN</t>
  </si>
  <si>
    <t>HAND SOAP (20 LITER PER DRUM)</t>
  </si>
  <si>
    <t>PO1912-53899-LRT</t>
  </si>
  <si>
    <t>C.07</t>
  </si>
  <si>
    <t>DIRT BUSTER (FLORAL FRAGRANCE) - ( 2 BLTS X 10L = 20L)</t>
  </si>
  <si>
    <t>PO1912-53902-LRT</t>
  </si>
  <si>
    <t>CCHM 0016</t>
  </si>
  <si>
    <t>YKF 0016 GLASS CLEANER - 10 LITRES</t>
  </si>
  <si>
    <t>XXL</t>
  </si>
  <si>
    <t>XXL GARBAGE BAG</t>
  </si>
  <si>
    <t>PO1909-51395-LRT</t>
  </si>
  <si>
    <t>BA/GB3642</t>
  </si>
  <si>
    <t>GARBAGE BAG 36 x 42</t>
  </si>
  <si>
    <t>PO1910-52554-LRT</t>
  </si>
  <si>
    <t>BA/GB3240</t>
  </si>
  <si>
    <t>GARBAGE BAG 32 X 40</t>
  </si>
  <si>
    <t>24MM x 30MM</t>
  </si>
  <si>
    <t>LOGO COLOR STICKER ~MATERIAL : A.P (WGR) ~COLOR : RED &amp; BLUE (2 COL) ~PACKIN</t>
  </si>
  <si>
    <t>BLANK STICKER~MATERIAL : A.P (WGR)~COLOR : NIL~PACKING : 2K PCS/ROLL FORM, FACE OUT, CORE 25MM</t>
  </si>
  <si>
    <t>8MM x 40MM</t>
  </si>
  <si>
    <t>BLANK 8x40 STICKER ~SIZE : 8MM x 40MM ~MATERIAL : M.P (WGR) ~COLOR : BLANK ~PACKING : ROLL FORM, CORE 25MM, 2KPCS/ROLLS</t>
  </si>
  <si>
    <t>PREMIUM WAX-XW121-FACE OUT (ARGOS-CP2140M)</t>
  </si>
  <si>
    <t>THERMAL TRANSFER RIBBON (SIZE: 40MM x 300 METER) {BLACK COLOUR}</t>
  </si>
  <si>
    <t>WAX &amp; RESIN WR51-FACE OUT (ARGOS - CP2140M)</t>
  </si>
  <si>
    <t>THERMAL TRANSFER RIBBON (SIZE: 89MM x 300Meter) {BLACK COLOUR}</t>
  </si>
  <si>
    <t>WAX RESIN WR51 ( ARGOS-CP2140M)</t>
  </si>
  <si>
    <t>WAX &amp; RESIN WR51-FACE OUT (ARGS-CO2140m)</t>
  </si>
  <si>
    <t>THERMAL TRANSFER RIBBON (SIZE: 110MM x 300Meter) {BLACK COLOUR}</t>
  </si>
  <si>
    <t>HU/B/203</t>
  </si>
  <si>
    <t>BROOM BURMA 203</t>
  </si>
  <si>
    <t>Giant Bleach 3.8L Re</t>
  </si>
  <si>
    <t>PINE DISINFECTANT 10LITRES</t>
  </si>
  <si>
    <t>With Wheel</t>
  </si>
  <si>
    <t xml:space="preserve">PCS </t>
  </si>
  <si>
    <t>JRT600A1 (P-10003)</t>
  </si>
  <si>
    <t>JUMBO TOILET ROLLS 600G 12 ROLLS</t>
  </si>
  <si>
    <t>PO1811-44363-LRT</t>
  </si>
  <si>
    <t>JRT600A1 (P-100033</t>
  </si>
  <si>
    <t>JUMBO TOILET ROLL (1 PACK = 12ROLLS)</t>
  </si>
  <si>
    <t>75MM x 100MM</t>
  </si>
  <si>
    <t>BLANK STICKER~MATERIAL : MP (WGR)~COLOR : NIL~PACKING : 500 PCS/ROLL FORM, CORE 25MM</t>
  </si>
  <si>
    <t>BARCODE PRINTER LABEL FOR PACKING</t>
  </si>
  <si>
    <t>PO2001-54342-LR</t>
  </si>
  <si>
    <t>1712-001525 - (EP1002N)</t>
  </si>
  <si>
    <t>ESD RUBBER MAT SAMPLE , LIGHT GRAY (SMOOTH) , SIZE : 737*1494*3MM THICKNESS CUT THE 2 HOLE AM R11.00</t>
  </si>
  <si>
    <t>TR-LB</t>
  </si>
  <si>
    <t>TOILET TISSUE ROLL ( I BUNDLE X 60 ROLLS)</t>
  </si>
  <si>
    <t>PO1904-47849-LRT</t>
  </si>
  <si>
    <t>DUSTPAN WITH HANDLE</t>
  </si>
  <si>
    <t>PO2001-54599-LRT</t>
  </si>
  <si>
    <t>BROOM WITH HANDLE</t>
  </si>
  <si>
    <t>NYLON ROPE 6mm</t>
  </si>
  <si>
    <t>--</t>
  </si>
  <si>
    <t>PADI BROOM</t>
  </si>
  <si>
    <t>NO HAVE PART NO. AT PM SYSTEM</t>
  </si>
  <si>
    <t>NYLON BROMM</t>
  </si>
  <si>
    <t>TNA0058788 rev_A</t>
  </si>
  <si>
    <t>STUD SHAFT SWING ARM</t>
  </si>
  <si>
    <t>STUB SHAFT, SWING ARM, SWING DANCER, R3CI</t>
  </si>
  <si>
    <t>FABRICATION PART</t>
  </si>
  <si>
    <t xml:space="preserve">1810-43404-LRT </t>
  </si>
  <si>
    <t>1902-002749</t>
  </si>
  <si>
    <t>TURN PIN FOR PCB</t>
  </si>
  <si>
    <t>1802-001723</t>
  </si>
  <si>
    <t>SR-1000 Bracket - (ST203)</t>
  </si>
  <si>
    <t>1707-000558</t>
  </si>
  <si>
    <t>SPUR GEAR S2D 100A-3 -  (MATERIAL : DELRIN)</t>
  </si>
  <si>
    <t>PO1707-33645-LRT</t>
  </si>
  <si>
    <t>1707-000554</t>
  </si>
  <si>
    <t>SPUR GEAR S2D 72A -  (MATERIAL : DELRIN)</t>
  </si>
  <si>
    <t>1708-000592</t>
  </si>
  <si>
    <t>SPUR GEAR S2D 180A</t>
  </si>
  <si>
    <t>PO1804-39523-LRT</t>
  </si>
  <si>
    <t>Stainless Steel, Standard Spring Load. ( M4 x 9.80mm ++ )</t>
  </si>
  <si>
    <t>SPRING PLUNGER ( WITH BALL AND SLOT )</t>
  </si>
  <si>
    <t>PN-0000028761</t>
  </si>
  <si>
    <t>PCB FOR REV 4.8 DOCKING INTERFACE BOARD (STACKER / LEFT)</t>
  </si>
  <si>
    <t>L</t>
  </si>
  <si>
    <t>PCBA</t>
  </si>
  <si>
    <t>PO1810-43727-LRT</t>
  </si>
  <si>
    <t>17/0.16MM BL</t>
  </si>
  <si>
    <t>MITTI CABLE BLUE</t>
  </si>
  <si>
    <t>Mitti Cable size:17/0.16mm length:100m Colour: Blue</t>
  </si>
  <si>
    <t>Wire</t>
  </si>
  <si>
    <t>26 AWG (YELLOW)</t>
  </si>
  <si>
    <t>22 AWG (YELLOW) CABLE OFFER 17/0.16(0.35MM SG) 100M/RL (LOCAL,TINNED COPPER)</t>
  </si>
  <si>
    <t>Mitti Cable size:17/0.16mm length:100m Colour: Yellow</t>
  </si>
  <si>
    <t>BOARD</t>
  </si>
  <si>
    <t>PO1810-43727LRT</t>
  </si>
  <si>
    <t>100 Meter/ Roll</t>
  </si>
  <si>
    <t>Twin Flat Cable Red &amp; Black</t>
  </si>
  <si>
    <t>PO1506-16525-LRT</t>
  </si>
  <si>
    <t>BLUE (1015)</t>
  </si>
  <si>
    <t>18Awg Single Core Cable</t>
  </si>
  <si>
    <t>Red Colour (100 Mtr)</t>
  </si>
  <si>
    <t>22 AWG Cable</t>
  </si>
  <si>
    <t>PO1511-20126-LRT</t>
  </si>
  <si>
    <t>AWG 22 Blue</t>
  </si>
  <si>
    <t>Single Core Cable; PVC Insulated; Size: AWG 22; Blue Colour; 100 meter</t>
  </si>
  <si>
    <t>83002-004 1000</t>
  </si>
  <si>
    <t>Belden Cable (Yellow)</t>
  </si>
  <si>
    <t>PO1608-27039-LRT</t>
  </si>
  <si>
    <t>83007-008 1000</t>
  </si>
  <si>
    <t xml:space="preserve">Belden Cable (Grey) </t>
  </si>
  <si>
    <t>PO1311-04475-LRT</t>
  </si>
  <si>
    <t>83007-009 1000</t>
  </si>
  <si>
    <t xml:space="preserve">Belden Cable (White) </t>
  </si>
  <si>
    <t>83007-007 1000</t>
  </si>
  <si>
    <t xml:space="preserve">Belden Cable (Violet) </t>
  </si>
  <si>
    <t>83007-006 1000</t>
  </si>
  <si>
    <t>Belden Cable (Blue)</t>
  </si>
  <si>
    <t>83007-003 1000</t>
  </si>
  <si>
    <t>Belden Cable (Orange)</t>
  </si>
  <si>
    <t>83007-001 1000</t>
  </si>
  <si>
    <t>Belden Cable (Brown)</t>
  </si>
  <si>
    <t>00 1601</t>
  </si>
  <si>
    <t>6MM Snake Skin</t>
  </si>
  <si>
    <t>PO1704-31273-LRT</t>
  </si>
  <si>
    <t>Braided Sleeving Black ID 6mm 100M Roll - (IE : 001601</t>
  </si>
  <si>
    <t>PO1911-53305-LRT</t>
  </si>
  <si>
    <t>Sleeving Black (Braid) - 25mm (1 rol  = 25 meter)</t>
  </si>
  <si>
    <t>Braided Sleeving; Black; 25mm - Snake Skin 25mm  (1 roll = 25 meter)</t>
  </si>
  <si>
    <t>PO1511-19838-LRT</t>
  </si>
  <si>
    <t>C6TS10B - (001602)</t>
  </si>
  <si>
    <t>Braided Sleeving; Black; 10mm - Snake Skin 10mm  (1 roll = 100 meter)</t>
  </si>
  <si>
    <t>PO1805-40441-LRT</t>
  </si>
  <si>
    <t>10MM</t>
  </si>
  <si>
    <t>Braided Sleeving; Black</t>
  </si>
  <si>
    <t>PO2008-59308-LRT</t>
  </si>
  <si>
    <t>C 6TS/15-B - (IE : 001603)</t>
  </si>
  <si>
    <t>Braided Sleeving; Black, ID=15mm; 100M/Roll</t>
  </si>
  <si>
    <t>15MM PVC Sleeving Braid (100METER) (IE : 001603)</t>
  </si>
  <si>
    <t>PO1804-40061-LRT</t>
  </si>
  <si>
    <t>15MM</t>
  </si>
  <si>
    <t>7/0.2 x 2C</t>
  </si>
  <si>
    <t>BRAIDED SCREEN CABLE</t>
  </si>
  <si>
    <t>Braided Screen Cable (Black) 100m</t>
  </si>
  <si>
    <t>7 AWG WIRE (GREEN) - H07V-K 1 X 16 GNYE - ( 1 ROLL = 100 METER)</t>
  </si>
  <si>
    <t>PO1610-28474-LRT</t>
  </si>
  <si>
    <t>7 AWG WIRE (GREY) - H07V-K 1 X 16 GY</t>
  </si>
  <si>
    <t>17/0.16MM- ORG</t>
  </si>
  <si>
    <t>MITTI CABLE ORANGE</t>
  </si>
  <si>
    <t xml:space="preserve">Mitti Cable size:17/0.16mm length:100m Colour: Orange </t>
  </si>
  <si>
    <t>17/0.16MM-V</t>
  </si>
  <si>
    <t>MITTI CABLE VIOLET</t>
  </si>
  <si>
    <t>Mitti Cable size:17/0.16mm length:100m Colour: Violet</t>
  </si>
  <si>
    <t>17/0.16MM GRN</t>
  </si>
  <si>
    <t>MITTI CABLE GREEN</t>
  </si>
  <si>
    <t>Mitti Cable size:17/0.16mm length:100m Colour: Green</t>
  </si>
  <si>
    <t>17/0.16mm (73mm)</t>
  </si>
  <si>
    <t>MITTI CABLE SIZE:17/0.16MM LENGTH:100M COLOUR: BROWN</t>
  </si>
  <si>
    <t xml:space="preserve">Mitti Cable size:17/0.16mm length:100m Colour: Brown </t>
  </si>
  <si>
    <t>PO1805-40142-LRT</t>
  </si>
  <si>
    <t>17/0.16MM BK</t>
  </si>
  <si>
    <t>MITTI CABLE - 17/0.16MM BLACK 100 METER</t>
  </si>
  <si>
    <t>Mitti Cable size:17/0.16mm length:100m Colour: Black</t>
  </si>
  <si>
    <t>PO2004-56261-LRT</t>
  </si>
  <si>
    <t>172619 BK005</t>
  </si>
  <si>
    <t>Hook Up Strnd 26AWG Black 100 Inch -Mitti Cable - 17/0.16mm - Mitti Cable size:17/0.16mm length:100m Colour: Black</t>
  </si>
  <si>
    <t>PO1910-52193-LRT</t>
  </si>
  <si>
    <t>Black</t>
  </si>
  <si>
    <t>MITTI CABLE - 17/0.16MM - MITTI CABLE SIZE:17/0.16MM LENGTH:100M COLOUR: BLACK</t>
  </si>
  <si>
    <t>MITTI CABLE - 17/0.16MM - MITTI CABLE SIZE:17/0.16MM LENGTH:100M COLOUR: BLACK (1)</t>
  </si>
  <si>
    <t>17/0.16MM-G</t>
  </si>
  <si>
    <t>MITTI CABLE GREY</t>
  </si>
  <si>
    <t>Mitti Cable size:17/0.16mm length:100m Colour: Grey</t>
  </si>
  <si>
    <t>17/01.6MM-W</t>
  </si>
  <si>
    <t>MITTI CABLE WHITE</t>
  </si>
  <si>
    <t xml:space="preserve">Mitti Cable size:17/0.16mm length:100m Colour: White </t>
  </si>
  <si>
    <t>17/0.16 (Black)</t>
  </si>
  <si>
    <t>Mitti Cable - 17/0.16 (Red)</t>
  </si>
  <si>
    <t>PO1910-52491-LRT</t>
  </si>
  <si>
    <t>Red</t>
  </si>
  <si>
    <t>MITTI CABLE - 17/0.16MM - MITTI CABLE SIZE:17/0.16MM LENGTH:100M COLOUR:</t>
  </si>
  <si>
    <t>17/0.16MM-R</t>
  </si>
  <si>
    <t>MITTI CABLE RED</t>
  </si>
  <si>
    <t>Mitti Cable size:17/0.16mm length:100m Colour: Red</t>
  </si>
  <si>
    <t>172619 RD005</t>
  </si>
  <si>
    <t>Hook Up Strnd 26AWG Red 100 Inch - (Mitti Cable - 17/0.16mm - Mitti Cable size:17/0.16mm length:100m Colour: Red)</t>
  </si>
  <si>
    <t>17/0.16 (Red)</t>
  </si>
  <si>
    <t>MITTI CABLE - 17/0.16 (RED)</t>
  </si>
  <si>
    <t>PO1902-45948-LRT</t>
  </si>
  <si>
    <t>1/0.5mm; 100m- Yellow</t>
  </si>
  <si>
    <t xml:space="preserve">PVC Single Core Wire- Yellow </t>
  </si>
  <si>
    <t>1/0.5MM 100M</t>
  </si>
  <si>
    <t>PVC SINGLE CORE WIRE-ORANGE</t>
  </si>
  <si>
    <t>PVC Single Core Wire- Orange</t>
  </si>
  <si>
    <t>24 AWG (0.25mm²) - Grey</t>
  </si>
  <si>
    <t>Single Core Cable; PVC Insulated; Size: 24 AWG (0.25mm²); Grey Colour; 100 meter</t>
  </si>
  <si>
    <t>PO1803-39211-LRT</t>
  </si>
  <si>
    <t>AWG 24 Orange</t>
  </si>
  <si>
    <t>Single Core Cable; PVC Insulated; Size: AWG 24; Orange  Colour; 100 meter</t>
  </si>
  <si>
    <t>PO1802-38146-LRT</t>
  </si>
  <si>
    <t>3050 BL005 - (AWG 24 Blue)</t>
  </si>
  <si>
    <t>Cable; Single Core; 24 AWG; Blue Colour - PVC Insulated; Size: AWG 24 ; Blue Colour; 100 meter</t>
  </si>
  <si>
    <t>PO1805-40439-LRT</t>
  </si>
  <si>
    <t>7/0.20X1C BL</t>
  </si>
  <si>
    <t>MITTI CABLE 7/0.20 X SBR; Brown Colour; 100 Roll</t>
  </si>
  <si>
    <t>PO1910-52480-LRT</t>
  </si>
  <si>
    <t>AWG 24 Yellow</t>
  </si>
  <si>
    <t>Single Core Cable; PVC Insulated; Size: AWG 24; Yellow Colour; 100 meter</t>
  </si>
  <si>
    <t>24 AWG (0.25mm² - White</t>
  </si>
  <si>
    <t>Single Core Cable; PVC Insulated; Size: 24 AWG (0.25mm²); White Colour; 100 meter</t>
  </si>
  <si>
    <t>7/0.20X1C WH</t>
  </si>
  <si>
    <t>MITTI CABLE 7/0.20 X SBR; White Colour; 100 Roll</t>
  </si>
  <si>
    <t>24 AWG (0.25mm²) - Brown</t>
  </si>
  <si>
    <t>Single Core Cable; PVC Insulated; Size: 24 AWG (0.25mm²); Brown Colour; 100 meter</t>
  </si>
  <si>
    <t>7/0.20X1C BR</t>
  </si>
  <si>
    <t>24 AWG (0.25mm²) - Black</t>
  </si>
  <si>
    <t>Single Core Cable; PVC Insulated; Size: 24 AWG (0.25mm²); Black Colour; 100 meter</t>
  </si>
  <si>
    <t>AWG 24 Green</t>
  </si>
  <si>
    <t>Single Core Cable; PVC Insulated; Size: AWG 24; Green Colour; 100 meter</t>
  </si>
  <si>
    <t>AWG 24 Violet</t>
  </si>
  <si>
    <t>Single Core Cable; PVC Insulated; Size: AWG 24 ; Violet Colour; 100 meter</t>
  </si>
  <si>
    <t>MW2.5MM (7/0.67) Brown</t>
  </si>
  <si>
    <t>PVC Cable (100M/RL)</t>
  </si>
  <si>
    <t>PVC Cable MW 2.5mm (7/0.67) PVC Cable (100m/RL) Normaal Wiring Cable (Nearest Rquvai to AnWG 14, 2.08mm</t>
  </si>
  <si>
    <t>MW2.5MM (7/0.67) Red</t>
  </si>
  <si>
    <t>PO1804-40043-LRT</t>
  </si>
  <si>
    <t>MW2.5MM (7/0.67) Green</t>
  </si>
  <si>
    <t>MW2.5MM (7/0.67) Black</t>
  </si>
  <si>
    <t xml:space="preserve">PO1804-40043-LRT	</t>
  </si>
  <si>
    <t>7 AWG WIRE (BLACK )- H07V-K 1 X 16 - (1 ROLL = 100 METER)</t>
  </si>
  <si>
    <t>7 AWG WIRE (BLUE) - H07V-K 1 X 16 BU - (1 ROLL = 100 METER)</t>
  </si>
  <si>
    <t>7 AWG WIRE (BROWN) - H07V-K 1 X 16 BN - (1 ROLL = 100 METER)</t>
  </si>
  <si>
    <t xml:space="preserve">PO1610-28474-LRT	</t>
  </si>
  <si>
    <t>16 AWG CABLE (0.5MM)</t>
  </si>
  <si>
    <t>SKIN SNAKE (BLACK)</t>
  </si>
  <si>
    <t>000501</t>
  </si>
  <si>
    <t>1.0MM SLEEVING BLACK</t>
  </si>
  <si>
    <t>Tubing/Sleeving</t>
  </si>
  <si>
    <t>H-2(Z) 1/0.5- (IE : 000501)</t>
  </si>
  <si>
    <t>Heat Shrink Tubing; Black; ID=1mm; 200M/Roll</t>
  </si>
  <si>
    <t xml:space="preserve">Tubing/Sleeving </t>
  </si>
  <si>
    <t>H2-Z-1.5mm -Black (IE P/N : 000503)</t>
  </si>
  <si>
    <t>Sleeving - 1.5mm (B;ack) - (IE CODE : 000503) - 1 ROLL = 200 METER</t>
  </si>
  <si>
    <t>PO1707-33446-LRT</t>
  </si>
  <si>
    <t>H-2(Z) 1.5/0.75</t>
  </si>
  <si>
    <t>Heat Shrink Tubing Black ID 1.5mm 200 meter</t>
  </si>
  <si>
    <t>000504</t>
  </si>
  <si>
    <t>2.00mm Sleeving Tube Black - 200 meter x 2 rolls</t>
  </si>
  <si>
    <t>PO1708-34443-LRT</t>
  </si>
  <si>
    <t>000506</t>
  </si>
  <si>
    <t>3MM SLEEVING BLACK</t>
  </si>
  <si>
    <t>PO1707-33685-LRT</t>
  </si>
  <si>
    <t>000507</t>
  </si>
  <si>
    <t>Heat Shrink Tubing (Black) (4mm) (1 roll = 200 mtr)</t>
  </si>
  <si>
    <t>4MM SLEEVING BLACK</t>
  </si>
  <si>
    <t>100-8443</t>
  </si>
  <si>
    <t>Heat Shrink Tube (for AWG16) -  Sleeving 5mm (IE CODE : 000504) 1RL = 100 MTR</t>
  </si>
  <si>
    <t>000509</t>
  </si>
  <si>
    <t>6MM SLEEVING BLACK</t>
  </si>
  <si>
    <t>000510</t>
  </si>
  <si>
    <t xml:space="preserve">Sleeving Black (Big) - 1 roll = 100meter </t>
  </si>
  <si>
    <t>8MM</t>
  </si>
  <si>
    <t>PO1711-36152-LRT</t>
  </si>
  <si>
    <t>000511</t>
  </si>
  <si>
    <t>10MM SLEEVING BLACK</t>
  </si>
  <si>
    <t>PO1604-23958-LRT</t>
  </si>
  <si>
    <t>000515</t>
  </si>
  <si>
    <t>13MM SLEEVING BLACK</t>
  </si>
  <si>
    <t>PO1701-29772-LRT</t>
  </si>
  <si>
    <t>H-2(Z) 13/6.5 - (IE : 000515)</t>
  </si>
  <si>
    <t>Heat Shrink Tubing; Black; ID=13mm; 50M/Roll</t>
  </si>
  <si>
    <t>PO1901-45754-LRT</t>
  </si>
  <si>
    <t xml:space="preserve">H-2(Z) 13/6.5 </t>
  </si>
  <si>
    <t>000517</t>
  </si>
  <si>
    <t>16MM SLEEVING BLACK</t>
  </si>
  <si>
    <t>100-8445</t>
  </si>
  <si>
    <t>Heat Shrink Tube (for wire sleeve) - ) (IE : 000517) - 1 roll = 50 meter</t>
  </si>
  <si>
    <t>6 MM</t>
  </si>
  <si>
    <t>6.0MM SLEEVING TRANSPARENT</t>
  </si>
  <si>
    <t>PO1602-22294-LRT</t>
  </si>
  <si>
    <t>POLYURETHANE TUBING BLUE 4 X 2 MM</t>
  </si>
  <si>
    <t>Tubing</t>
  </si>
  <si>
    <t>Flex Tube – Blue (Pu Tubing 4mm x 2mm) 100Mtr/Roll</t>
  </si>
  <si>
    <t>J-PU-10M-BLK</t>
  </si>
  <si>
    <t>JISAN FLEX TUBE 10X6.5MM</t>
  </si>
  <si>
    <t>PO1605-24464-LRT</t>
  </si>
  <si>
    <t>4 MM</t>
  </si>
  <si>
    <t>4MM TUBING BLACK</t>
  </si>
  <si>
    <t>1MM</t>
  </si>
  <si>
    <t>1.0MM SLEEVING TRANSPARENT</t>
  </si>
  <si>
    <t>1.5MM</t>
  </si>
  <si>
    <t>1.5MM SLEEVING TRANSPARENT</t>
  </si>
  <si>
    <t>2.0MM</t>
  </si>
  <si>
    <t>2.0MM SLEEVING TRANSPARENT</t>
  </si>
  <si>
    <t>3MM</t>
  </si>
  <si>
    <t>3.0MM SLEEVING TRANSPARENT</t>
  </si>
  <si>
    <t>4MM</t>
  </si>
  <si>
    <t>4.0MM SLEEVING TRANSPARENT</t>
  </si>
  <si>
    <t>5MM</t>
  </si>
  <si>
    <t>5.0MM SLEEVING TRANSPARENT</t>
  </si>
  <si>
    <t>J-PU-6M-BLK</t>
  </si>
  <si>
    <t>Jisan Flex Tube – Blue (Pu Tubing 6mm x 4mm) 100Mtr /Roll</t>
  </si>
  <si>
    <t>6MM TUBING BLACK</t>
  </si>
  <si>
    <t>JISAN FLEX TUBE 10X6.5MM (BLUE)</t>
  </si>
  <si>
    <t>4X2MM</t>
  </si>
  <si>
    <t>TUBING 4MM BLUE</t>
  </si>
  <si>
    <t xml:space="preserve">12X8 MM </t>
  </si>
  <si>
    <t>JISAN FLEX TUBE 12X8MM (BLACK)</t>
  </si>
  <si>
    <t>6.0mm (black)</t>
  </si>
  <si>
    <t>heat shrink tube - 1 roll = 100 meter (IE : 000509)</t>
  </si>
  <si>
    <t>PO1911-53233-LRT</t>
  </si>
  <si>
    <t>H-2(Z) 7/3.5</t>
  </si>
  <si>
    <t>Heat Shrink Tubing Black ID 7mm 100M Roll</t>
  </si>
  <si>
    <t>PO1911-53177-LRT</t>
  </si>
  <si>
    <t>13MM</t>
  </si>
  <si>
    <t>13MM SLEEVING RED</t>
  </si>
  <si>
    <t>20MM SLEEVING RED</t>
  </si>
  <si>
    <t>J-PU-6M-LB</t>
  </si>
  <si>
    <t>6MM TUBING BLUE</t>
  </si>
  <si>
    <t>PUJ0850-B</t>
  </si>
  <si>
    <t>8mm x 5mm PU Tubing 100M/Roll Blue</t>
  </si>
  <si>
    <t>PO1911-52970-LRT</t>
  </si>
  <si>
    <t>PUJ640-BLK</t>
  </si>
  <si>
    <t>6mm x 4mm PU Tubing 100M/Roll Black</t>
  </si>
  <si>
    <t>PUJ0850-A</t>
  </si>
  <si>
    <t>8mm x 5mm PU Tubing 100M/Roll Black</t>
  </si>
  <si>
    <t>UB0850-100B</t>
  </si>
  <si>
    <t>PISCO TUBE 8MM BLACK - (1 roll / 100 meter)</t>
  </si>
  <si>
    <t>PO1512-21251-LRT</t>
  </si>
  <si>
    <t>UB0640-BK</t>
  </si>
  <si>
    <t>PISCO TUBING 6MM BLACK (1 ROLL = 100 METER)</t>
  </si>
  <si>
    <t>PO1705-32555-LRT</t>
  </si>
  <si>
    <t>UB0640-100-BU</t>
  </si>
  <si>
    <t>PISCO TUBING 6MM BLUE</t>
  </si>
  <si>
    <t>HNT-10</t>
  </si>
  <si>
    <t>Hot Marker Tube 10mm</t>
  </si>
  <si>
    <t>PO1612-29550-LRT</t>
  </si>
  <si>
    <t>J-PU-4M-BLK</t>
  </si>
  <si>
    <t>4MM PU TUBING (BLACK)</t>
  </si>
  <si>
    <t>UB0425-BK</t>
  </si>
  <si>
    <t>PISCO TUBING M4-BLACK</t>
  </si>
  <si>
    <t>UB0425-BL</t>
  </si>
  <si>
    <t>PISCO TUBING 4MM BLUE ((1 ROLL = 100 METER)</t>
  </si>
  <si>
    <t>J-PU-12M-BLK</t>
  </si>
  <si>
    <t>JISAN FLEX TUBE – BLACK (PU TUBING 12 X 8MM) 100MTR/ROLL</t>
  </si>
  <si>
    <t>UB0425-100BU</t>
  </si>
  <si>
    <t>PISCO TUBING(BLUE) (1 roll = meter)</t>
  </si>
  <si>
    <t>PO1607-26169-LRT</t>
  </si>
  <si>
    <t>JP-0425</t>
  </si>
  <si>
    <t>4mm x 2.5mm PU Tubing 100M Roll Black</t>
  </si>
  <si>
    <t>PO2005-57259-LRT</t>
  </si>
  <si>
    <t>83007 0011000</t>
  </si>
  <si>
    <t>BELDEN WIRE AWG #20 (COLOUR: BROWN) (1000 FT)</t>
  </si>
  <si>
    <t>PO1804-40038-LRT</t>
  </si>
  <si>
    <t>83007 0021000</t>
  </si>
  <si>
    <t>20 AWG BELDEN WIRE(RED) 1000FT 305MTR</t>
  </si>
  <si>
    <t>83007 0031000</t>
  </si>
  <si>
    <t>BELDEN WIRE AWG #20 (COLOUR: ORANGE) (1000 FT)</t>
  </si>
  <si>
    <t>83007 0041000</t>
  </si>
  <si>
    <t>20 AWG BELDEN WIRE(YELLOW) 1000FT 305MTR</t>
  </si>
  <si>
    <t>83007 0051000</t>
  </si>
  <si>
    <t>20 AWG BELDEN WIRE(GREEN) 1000FT 305MTR</t>
  </si>
  <si>
    <t>83007 0061000</t>
  </si>
  <si>
    <t>BELDEN  AWG 20  WIRE - (BLUE) - 1000FT / RL</t>
  </si>
  <si>
    <t>PO1604-23752-LRT</t>
  </si>
  <si>
    <t>VOILET</t>
  </si>
  <si>
    <t>Belden Awg20 UL1213 305 Meter 1 Roll (1000ft)</t>
  </si>
  <si>
    <t>83007 0081000</t>
  </si>
  <si>
    <t>20 AWG BELDEN WIRE(GREY) 1000FT 305MTR</t>
  </si>
  <si>
    <t>83007 0091000</t>
  </si>
  <si>
    <t>20 AWG BELDEN WIRE(WHITE) 1000FT 305MTR</t>
  </si>
  <si>
    <t>83007 0101000</t>
  </si>
  <si>
    <t>20 AWG BELDEN WIRE(BLACK) 1000FT 305MTR</t>
  </si>
  <si>
    <t>26AWG BROWN BELDEN CABLE</t>
  </si>
  <si>
    <t>830020021000</t>
  </si>
  <si>
    <t>26AWG RED BELDEN CABLE</t>
  </si>
  <si>
    <t>26AWG ORANGE BELDEN CABLE</t>
  </si>
  <si>
    <t>26AWG YELLOW BELDEN CABLE</t>
  </si>
  <si>
    <t>26AWG GREEN BELDEN CABLE</t>
  </si>
  <si>
    <t>Z) 1/0.5</t>
  </si>
  <si>
    <t>26AWG BLUE BELDEN CABLE</t>
  </si>
  <si>
    <t>83007 0071000</t>
  </si>
  <si>
    <t>BELDEN WIRE AWG #26 (COLOUR VIOLET) (1000FT)</t>
  </si>
  <si>
    <t>830020071000</t>
  </si>
  <si>
    <t>26AWG VIOLET BELDEN CABLE</t>
  </si>
  <si>
    <t>830020081000</t>
  </si>
  <si>
    <t>26AWG GREY BELDEN CABLE</t>
  </si>
  <si>
    <t>830020091000</t>
  </si>
  <si>
    <t>26AWG WHITE BELDEN CABLE</t>
  </si>
  <si>
    <t>830020101000</t>
  </si>
  <si>
    <t>26AWG BLACK BELDEN CABLE</t>
  </si>
  <si>
    <t>BELDEN CABLE 705 BLK FOR RF CABLE</t>
  </si>
  <si>
    <t>9462 060100</t>
  </si>
  <si>
    <t>DOUBLE CORES CABLE; TWISTED; SHIELDED; SIZE: AWG 22 (BELDEN 9462)</t>
  </si>
  <si>
    <t>PO1810-43190-LRT</t>
  </si>
  <si>
    <t>BELDEN 2 CORE (GREY)</t>
  </si>
  <si>
    <t>1583A008</t>
  </si>
  <si>
    <t xml:space="preserve">BELDEN CABLE 1583A (GREY) </t>
  </si>
  <si>
    <t>1673A - (Belden 1673A RoHS RG-492)</t>
  </si>
  <si>
    <t>BELDEN 1673A ROHS RG-492 - ( 2 ROLLS X 500 FT = 1000 FT)</t>
  </si>
  <si>
    <t>Belden 1673A RoHS RG-492 - ( 2 rolls x 500 ft = 1000 ft)</t>
  </si>
  <si>
    <t>PO1808-42088-LRT</t>
  </si>
  <si>
    <t>RG223</t>
  </si>
  <si>
    <t>RG223 CABLE  BLACK-100MTR</t>
  </si>
  <si>
    <t>PO1609-27853-LRT</t>
  </si>
  <si>
    <t>83284 0091000</t>
  </si>
  <si>
    <t>BELDEN COAXIAL CABLE 26 AWG 1C SHIELD SPOOL WHITE  - (RG316) - 305M / ROLL</t>
  </si>
  <si>
    <t>PO1512-21078-LRT</t>
  </si>
  <si>
    <t>UL1569-20-10_30-9 Or Equivalent (UL1569-White)</t>
  </si>
  <si>
    <t>WIRE UL1569 20AWG WHT - 20 AWG WHITE WIRE UL1015, 600V - 1 ROLL = 100 METER)</t>
  </si>
  <si>
    <t>PO1808-42350-LRT</t>
  </si>
  <si>
    <t>3239-18-1-0500-006-1-TS</t>
  </si>
  <si>
    <t>HOOK-UP STRND 18AWG BROWN 500'</t>
  </si>
  <si>
    <t>PO1902-46278-LRT</t>
  </si>
  <si>
    <t>3239-22-1-0500-008-1-TS</t>
  </si>
  <si>
    <t>HOOK-UP STRND 22AWG ORANGE 500'</t>
  </si>
  <si>
    <t>3239-22-1-0500-010-1-TS</t>
  </si>
  <si>
    <t>HOOK-UP STRND 22AWG VIOLET 500'</t>
  </si>
  <si>
    <t>UL 1015</t>
  </si>
  <si>
    <t>20 AWG WHITE WIRE UL1015, 600V (1 ROLL X 100 METER)</t>
  </si>
  <si>
    <t>PO1810-43115-LRT</t>
  </si>
  <si>
    <t>G01--20-BR-00</t>
  </si>
  <si>
    <t>Single Core Cable:PVC Insulated;Size:20AWG;Brown;170 meter - (AWG 20 - (0.519MM) Cable Offer 24/0.2 (0.75mm SG) (LOCAL,SIRIM,100% PURE COPPER))</t>
  </si>
  <si>
    <t>PO1906-49803-LRT</t>
  </si>
  <si>
    <t>20 AWG - Yellow</t>
  </si>
  <si>
    <t>SINGLE CORE CABLE; PVC INSULATED; SIZE: 20 AWG; YELLOW COLOUR; 100 METER</t>
  </si>
  <si>
    <t>SINGLE CORE 20AWG (YELLOW)</t>
  </si>
  <si>
    <t>PO1801-37564-LRT</t>
  </si>
  <si>
    <t>Belden 8723</t>
  </si>
  <si>
    <t>V Belden 8723M PR22 2 Pair 22 awg</t>
  </si>
  <si>
    <t>PO1608-27166-LRT</t>
  </si>
  <si>
    <t>10-07-3225-1215</t>
  </si>
  <si>
    <t>Rect Strip H.062 W.125 - (200FT = 1 ROLL)</t>
  </si>
  <si>
    <t>PO1706-33175-LRT</t>
  </si>
  <si>
    <t>17 CORE CABLE (BLACK)</t>
  </si>
  <si>
    <t>RJ45-100m</t>
  </si>
  <si>
    <t>Flex RJ45 Cable 100m</t>
  </si>
  <si>
    <t>PO1912-53600-LRT</t>
  </si>
  <si>
    <t>RC-8-100m</t>
  </si>
  <si>
    <t>Flex 8wire Robot Cable</t>
  </si>
  <si>
    <t>Communication Cable (Grey) 1000ft 305MTR</t>
  </si>
  <si>
    <t>7808A 0101000</t>
  </si>
  <si>
    <t>BELDEN 7808A 010500 COAXIAL CABLE, RF240 WIRELESS, BLACK, 15 AWG, SOLID, 500 FT, 152.4 M</t>
  </si>
  <si>
    <t>PO1611-28825-LRT</t>
  </si>
  <si>
    <t>A1D3-41-400-900-065N</t>
  </si>
  <si>
    <t>GAS SPRINGS</t>
  </si>
  <si>
    <t>PO1905-48243-LRT</t>
  </si>
  <si>
    <t>H07RN-F</t>
  </si>
  <si>
    <t xml:space="preserve">Wire 3 Conductor 10 Awg Min 300V -(H07RN-F 3G6mm2 450/750V  - JJ Lapp : 3807144)-color is Green/Yellow, Brown &amp; Blue. </t>
  </si>
  <si>
    <t>PO1906-49664-LRT</t>
  </si>
  <si>
    <t>1.5mm X 3 Core</t>
  </si>
  <si>
    <t>TRS RUBBER INSULATION CABLE - (6 ROLLS X 100 METER/PER ROLL)</t>
  </si>
  <si>
    <t xml:space="preserve"> L</t>
  </si>
  <si>
    <t>PO1911-52667-LRT</t>
  </si>
  <si>
    <t>2.5mm X 3 Core</t>
  </si>
  <si>
    <t>TRS RUBBER INSULATION CABLE - ( 16 ROLLS X 100 METER)</t>
  </si>
  <si>
    <t>PO1802-38097-LRT</t>
  </si>
  <si>
    <t>G01-14-RE-00</t>
  </si>
  <si>
    <t>Single Core Cable; PVC Insulated; Size: 14 AWG (0.75mm²); Red Colour</t>
  </si>
  <si>
    <t>PO1901-45825-LRT</t>
  </si>
  <si>
    <t>LRT/PCB1510-0025</t>
  </si>
  <si>
    <t>DOCKING BOARD LEFT</t>
  </si>
  <si>
    <t>12 AWG (4.0mm²) - Yellow</t>
  </si>
  <si>
    <t>Single Core Cable; PVC Insulated; Size: 12 AWG (4.0mm²); Yellow Colour; 100 meter</t>
  </si>
  <si>
    <t>12 AWG (4.0mm²) - Blue</t>
  </si>
  <si>
    <t>Single Core Cable; PVC Insulated; Size: 12 AWG (4.0mm²); Blue Colour; 100 meter</t>
  </si>
  <si>
    <t>12 AWG (4.0mm²) - Brown</t>
  </si>
  <si>
    <t>Single Core Cable; PVC Insulated; Size: 12 AWG (4.0mm²); Brown Colour; 100 meter</t>
  </si>
  <si>
    <t>12 AWG (4.0mm²) - Green</t>
  </si>
  <si>
    <t>Single Core Cable; PVC Insulated; Size: 12 AWG (4.0mm²); Green Colour; 100 meter</t>
  </si>
  <si>
    <t>12 AWG (4.0mm²) - Black</t>
  </si>
  <si>
    <t>Single Core Cable; PVC Insulated; Size: 12 AWG (4.0mm²); Black Colour; 100 meter</t>
  </si>
  <si>
    <t>14 AWG (2.5mm²) - Light Blue</t>
  </si>
  <si>
    <t xml:space="preserve">Cable Light Blue - Light Blue 50/0.25 (2.5mm) </t>
  </si>
  <si>
    <t>Cable Light Blue - Light Blue 50/0.25 (2.5mm)</t>
  </si>
  <si>
    <t>PO1705-32563-LRT</t>
  </si>
  <si>
    <t>14 AWG (2.5mm²) - Green</t>
  </si>
  <si>
    <t>Cable Green - Cable Green 50/0.25 (2.5mm)</t>
  </si>
  <si>
    <t>14 AWG (2.5mm²) - Pink</t>
  </si>
  <si>
    <t>Cable Pink - Cable Pink 50/0.25 (2.5mm)</t>
  </si>
  <si>
    <t>G01-14-BK-00</t>
  </si>
  <si>
    <t>Single Core Cable PVC Insulated Size 14 AWG 2.5mm Black Colour 100 meter - (AWG 14 (2.08mm sq) Cable Offer 50/0.2 (2.5mm sq) (LOCAL,SIRM,100% PURE COPPER .100m /roll)</t>
  </si>
  <si>
    <t>PO1910-52192-LRT</t>
  </si>
  <si>
    <t>14 AWG (2.5mm²) - Yellow</t>
  </si>
  <si>
    <t xml:space="preserve">Cable Yellow - Cable Yellow 50/0.25 (2.5mm) </t>
  </si>
  <si>
    <t xml:space="preserve">14 AWG (2.5mm²) - Dark Blue </t>
  </si>
  <si>
    <t xml:space="preserve">Cable Dark Blue - Dark Blue 50/0.25 (2.5mm) </t>
  </si>
  <si>
    <t>14 AWG (2.5mm²) - Red</t>
  </si>
  <si>
    <t>Cable Red - Cable Red 50/0.25 (2.5mm)</t>
  </si>
  <si>
    <t>1.5MM-30/0.25x1C-O</t>
  </si>
  <si>
    <t>16 AWG (1.5mm²) - Orange</t>
  </si>
  <si>
    <t>Cable Orange - UL1007 80C 300V - (100mtr/RL)</t>
  </si>
  <si>
    <t>PO1701-29770-LRT</t>
  </si>
  <si>
    <t>1.5MM-30/0.25X1C-BL</t>
  </si>
  <si>
    <t>16AWG CABLE LIGHT BLUE</t>
  </si>
  <si>
    <t>Cable Light Blue - Cable Light Blue 30/0.25 (1.5mm)</t>
  </si>
  <si>
    <t>1.5MM-30/0.25X1C-Y</t>
  </si>
  <si>
    <t>16AWG CABLE YELLOW</t>
  </si>
  <si>
    <t>Cable Yellow - Cable Yellow 30/0.25 (1.5mm)</t>
  </si>
  <si>
    <t>G01-16-YE-00</t>
  </si>
  <si>
    <t>Single Core Cable PVC Insulated Size 16 AWG 1.5mm Yellow Colour 100 meter -  (1.31mm) Cable Offer 30/0.25 (1.5mm SG) (LOCAL,SIRIM 100% PURE COPPER)</t>
  </si>
  <si>
    <t>1.5MM-30/0.25X1C-R</t>
  </si>
  <si>
    <t>16AWG CABLE RED</t>
  </si>
  <si>
    <t>AWG 16 Cable  (Red) Offer 30/0.25 (1.5mm SG) 100m/RL(Local,Sirim,100%Pure Copper)</t>
  </si>
  <si>
    <t>PO1609-27913-LRT</t>
  </si>
  <si>
    <t>G01-16-RE-00</t>
  </si>
  <si>
    <t>Single Core Cable PVC Insulated Size 16 AWG 1.5mm Red Colour 100 meter- AWG 16 Red CABLE OFFER 30/0.25 (1.5MM SG)100M/RL (LOCAL SIRIM,100% PURE OCPPER)</t>
  </si>
  <si>
    <t>1.5MM-30/0.25X1C-BK</t>
  </si>
  <si>
    <t>16AWG CABLE BLACK</t>
  </si>
  <si>
    <t>Black Wire, AWG 16 - Cable Brown 30/0.25 (1.5mm) 1 roll = 100 meter</t>
  </si>
  <si>
    <t>PO1712-36768-LRT</t>
  </si>
  <si>
    <t>G01-16-BK-00</t>
  </si>
  <si>
    <t>SINGLE CORE CABLE PVC INSULATED SIZE 16 AWG 1.5MM BLACK COLOUR 100 METER -AWG 16 (1.31MM) CABLE OFFER 30/.025 (1.5MM SG) (LOCAL,SIRIM,100% PURE COPPER)</t>
  </si>
  <si>
    <t>1.5MM-30/0.25x1C-G</t>
  </si>
  <si>
    <t>16AWG CABLE GREEN</t>
  </si>
  <si>
    <t>Single Core Cable; PVC Insulated; Size: 16 AWG (1.5mm²); Green Colour; 100 meter</t>
  </si>
  <si>
    <t>1.5MM-30/0.25X1C-BR</t>
  </si>
  <si>
    <t>16AWG CABLE BROWN</t>
  </si>
  <si>
    <t>Cable Brown - Cable Brown 30/0.25 (1.5mm)</t>
  </si>
  <si>
    <t>16 AWG</t>
  </si>
  <si>
    <t>PO2007-58729-LRT</t>
  </si>
  <si>
    <t>16 AWG (1.5mm²) - Dark Blue</t>
  </si>
  <si>
    <t xml:space="preserve">16 AWG (1.5mm²) - Dark Blue </t>
  </si>
  <si>
    <t>Cable Dark Blue - Cable Dark Blue 30/0.25 (1.5mm)</t>
  </si>
  <si>
    <t>1.0MM -32X0.20X1C-BR</t>
  </si>
  <si>
    <t>18AWG CABLE BROWN</t>
  </si>
  <si>
    <t>PO1702-30301-LRT</t>
  </si>
  <si>
    <t>G01-18-BR-00</t>
  </si>
  <si>
    <t>SINGLE CORE CABLE; PVC INSULATED; SIZE: 18 AWG (1.0MM²); BROWN COLOUR; 100 METER</t>
  </si>
  <si>
    <t>PO2003-55902-LRT</t>
  </si>
  <si>
    <t>G01-18-RE-00</t>
  </si>
  <si>
    <t>Single Core Cable; PVC Insulated; Size: 18 AWG (0.75mm²); Red Colour; 100 meter</t>
  </si>
  <si>
    <t>1.0MM -32X0.20X1C-R</t>
  </si>
  <si>
    <t>18AWG CABLE RED</t>
  </si>
  <si>
    <t>PO1808-42074-LRT</t>
  </si>
  <si>
    <t>G01-18-YE-00</t>
  </si>
  <si>
    <t>Single Core Cable; PVC Insulated; Size: 18 AWG (0.75mm²); Yellow Colour; 100 meter</t>
  </si>
  <si>
    <t>1.0MM 32X0.20X1C</t>
  </si>
  <si>
    <t>18AWG CABLE YELLOW</t>
  </si>
  <si>
    <t>G01-18-BL-00</t>
  </si>
  <si>
    <t xml:space="preserve">18 AWG PVC SINGLE CORE WIRE- (BLUE) </t>
  </si>
  <si>
    <t>Single Core Cable; PVC Insulated; Size: 18 AWG ; Blue Colour</t>
  </si>
  <si>
    <t>1.0MM-32/0.20X1C</t>
  </si>
  <si>
    <t>18AWG CABLE BLUE</t>
  </si>
  <si>
    <t>1.0MM -32X0.20X1C</t>
  </si>
  <si>
    <t>18AWG CABLE BLACK</t>
  </si>
  <si>
    <t>G01-18-GR-00</t>
  </si>
  <si>
    <t>SINGLE CORE CABLE PVC INSULATED 18AWG GREEN COLOUR 100 METER</t>
  </si>
  <si>
    <t>PO2006-57514-LRT</t>
  </si>
  <si>
    <t>1.0MM (32X0.20X1C)</t>
  </si>
  <si>
    <t>18AWG CABLE GREEN</t>
  </si>
  <si>
    <t xml:space="preserve">Cable Green - AWG 18 (0.823MM) Cable Offer 32/0.2 (1.0mm SG) (LOCAL,SIRIM,100% PURE COPPER ) </t>
  </si>
  <si>
    <t>PO1612-29275-LRT</t>
  </si>
  <si>
    <t>0.75MM 24/0.20X1C-R</t>
  </si>
  <si>
    <t>20AWG CABLE RED</t>
  </si>
  <si>
    <t>20 AWG cable offer 24/02(0.75mm SG) 100m/RL (Local ,Sirim,100% Pure Copper)</t>
  </si>
  <si>
    <t>PO1708-34566-LRT</t>
  </si>
  <si>
    <t>0.75MM 24/0.20X1C-BLK</t>
  </si>
  <si>
    <t>20AWG CABLE BLACK</t>
  </si>
  <si>
    <t>Single Core Cable; PVC Insulated; Size: 20 AWG (0.75mm²); Black Colour; 100 meter</t>
  </si>
  <si>
    <t>208-5592</t>
  </si>
  <si>
    <t>Black Wire, AWG 20 - (0.519MM) Cable Offer 24/0.2 (0.75mm SG) (LOCAL,SIRIM,100% PURE COPPER)</t>
  </si>
  <si>
    <t xml:space="preserve">0.75MM 24/0.20X1C - White </t>
  </si>
  <si>
    <t>20AWG CABLE WHITE</t>
  </si>
  <si>
    <t>0.75MM 24/0.20X1C</t>
  </si>
  <si>
    <t>20AWG CABLE BLUE</t>
  </si>
  <si>
    <t>G01-20-GR-00</t>
  </si>
  <si>
    <t>Single Core Cable; PVC Insulated; Size: 20 AWG ; Green Colour</t>
  </si>
  <si>
    <t>PO1812-45153-LRT</t>
  </si>
  <si>
    <t>0.75MM 24/0.20X1C-G</t>
  </si>
  <si>
    <t>20AWG CABLE GREEN</t>
  </si>
  <si>
    <t>Single Core Cable; PVC Insulated; Size: 20 AWG; Green Colour; 100 meter</t>
  </si>
  <si>
    <t>PO1801-37625-LRT</t>
  </si>
  <si>
    <t>0.75MM 24/0.20X1C-BROWN</t>
  </si>
  <si>
    <t>20AWG CABLE BROWN</t>
  </si>
  <si>
    <t>0.5MM 16/0.20-BLK</t>
  </si>
  <si>
    <t>22AWG CABLE BLACK-SINGLE CORE CABLE</t>
  </si>
  <si>
    <t>Single Core Cable; PVC Insulated; 16/0.20 mm; Size: 0.5 millimeter square; Black Colour; 300/500V; 1 meter</t>
  </si>
  <si>
    <t>0.5MM 16/0.20-R</t>
  </si>
  <si>
    <t>22AWG CABLE RED-SINGLE CORE CABLE</t>
  </si>
  <si>
    <t>Single Core Cable; PVC Insulated; 16/0.20 mm; Size: 0.5 millimeter square; Red  Colour; 300/500V; 1 meter</t>
  </si>
  <si>
    <t>0.5MM 16/0.20 GRY</t>
  </si>
  <si>
    <t>22AWG CABLE GREY-SINGLE CORE CABLE</t>
  </si>
  <si>
    <t>22AWG CABLE GREY-SINGLE CORE</t>
  </si>
  <si>
    <t>0.5MM 16/0.20-Y</t>
  </si>
  <si>
    <t>22AWG CABLE YELLOW-SINGLE CORE CABLE</t>
  </si>
  <si>
    <t>Single Core Cable; PVC Insulated; 16/0.20 mm; Size: 0.5 millimeter square; Yellow Colour; 300/500V; 1 meter</t>
  </si>
  <si>
    <t>PO1708-34441-LRT</t>
  </si>
  <si>
    <t>0.5MM 16/0.20-G</t>
  </si>
  <si>
    <t>22AWG CABLE GREEN-SINGLE CORE CABLE</t>
  </si>
  <si>
    <t>Single Core Cable; PVC Insulated; 16/0.20 mm; Size: 0.5 millimeter square; Green Colour; 300/500V; 1 meter</t>
  </si>
  <si>
    <t>PO1807-41497-LRT</t>
  </si>
  <si>
    <t>0.5MM 16/0.20</t>
  </si>
  <si>
    <t>22AWG CABLE BLUE-SINGLE CORE</t>
  </si>
  <si>
    <t>22 awg (blue)</t>
  </si>
  <si>
    <t>0.5MM 16/0.20-BRN</t>
  </si>
  <si>
    <t>22AWG CABLE BROWN-SINGLE CORE</t>
  </si>
  <si>
    <t>Cable Brown -AWG 22 CABLE OFFER 16/0.2 (0.5MMSG)100M/RL (LOCAL SIRIM,100% PURE COPPER)</t>
  </si>
  <si>
    <t>PO1701-29760-LRT</t>
  </si>
  <si>
    <t>0.5MM 16/0.20-ORG</t>
  </si>
  <si>
    <t>22AWG CABLE ORANGE-SINGLE CORE</t>
  </si>
  <si>
    <t>Cable Orange -AWG 22 CABLE OFFER 16/0.2 (0.5MMSG)100M/RL (LOCAL SIRIM,100% PURE COPPER)</t>
  </si>
  <si>
    <t>N30-36T673-1UC2G Or Equivalent</t>
  </si>
  <si>
    <t>10 AWG WHITE CABLE (40 METER) (40/280/280)</t>
  </si>
  <si>
    <t>10 AWG White Extra Flexi Cable 1050 - (alternative : Cable multi-standard SC 2.1 1x6mm2 wht</t>
  </si>
  <si>
    <t>UL3239-80841</t>
  </si>
  <si>
    <t>24AWG 150C CABLE RED</t>
  </si>
  <si>
    <t>24AWG 150C RED</t>
  </si>
  <si>
    <t>UL3239 (80840)</t>
  </si>
  <si>
    <t>24AWG 150C CABLE BLACK</t>
  </si>
  <si>
    <t>24AWG 150C BLACK</t>
  </si>
  <si>
    <t xml:space="preserve">18 AWG PVC SINGLE CORE WIRE- (VIOLET) </t>
  </si>
  <si>
    <t>1/0.73MM</t>
  </si>
  <si>
    <t>PVC Insulated Cable - Black 300/500V</t>
  </si>
  <si>
    <t>RG316</t>
  </si>
  <si>
    <t>RG316 BROWN CABLE (LOOSE CABLE)</t>
  </si>
  <si>
    <t>H07V-K (BLACK)</t>
  </si>
  <si>
    <t>H07V-K 1 X 6 FLEX CABLE - BLACK -(1 ROLL = 100 METER)</t>
  </si>
  <si>
    <t>H07V-K (RED)</t>
  </si>
  <si>
    <t>H07V-K Awg 10,6mm Power Cable Red</t>
  </si>
  <si>
    <t>H07V-K 1 X 6 FLEX CABLE - RED -(1 ROLL = 100 METER)</t>
  </si>
  <si>
    <t>2.5 Meter</t>
  </si>
  <si>
    <t>3 Conductor 10 awg H07RN-F</t>
  </si>
  <si>
    <t>PO1312-04766-LRT</t>
  </si>
  <si>
    <t>1311-04509</t>
  </si>
  <si>
    <t>2C x23015 jein fdloo cable inside bluebrown (1 roll = 80 mtr)</t>
  </si>
  <si>
    <t>PO1609-27934-LRT</t>
  </si>
  <si>
    <t xml:space="preserve">10WAY </t>
  </si>
  <si>
    <t xml:space="preserve">	304-28-10-MC-0100F</t>
  </si>
  <si>
    <t>CNC TECH</t>
  </si>
  <si>
    <t>Flat Rbn Cbl Multi 10 Cond 100'</t>
  </si>
  <si>
    <t>10WAY RIBBON CABLE</t>
  </si>
  <si>
    <t>26WAY</t>
  </si>
  <si>
    <t>RIBBON CABLE 26WAY</t>
  </si>
  <si>
    <t>3302/50 100</t>
  </si>
  <si>
    <t>Cbl Ribn 50Cond 0.050 Multi 100'</t>
  </si>
  <si>
    <t>PO1908-50542-LRT</t>
  </si>
  <si>
    <t>3302/50 100 - (ie : 0000705)</t>
  </si>
  <si>
    <t>Update part name</t>
  </si>
  <si>
    <t>Ribbon Cable 50 Ways</t>
  </si>
  <si>
    <t>po1902-46225-lrt</t>
  </si>
  <si>
    <t>304-28-40-MC-0100F</t>
  </si>
  <si>
    <t>RIBBON CABLE 40 WAY - 1 ROLL = 61 METER (IE : 000704)</t>
  </si>
  <si>
    <t>40WAY RAINBOW CABLE</t>
  </si>
  <si>
    <t>PO1805-40331-LRT</t>
  </si>
  <si>
    <t>H07V-K</t>
  </si>
  <si>
    <t>H07V-K 1 X 6 FLEX CABLE - GREY -(1 ROLL = 100 METER)</t>
  </si>
  <si>
    <t>PO1603-22796-LRT</t>
  </si>
  <si>
    <t>CABLE H05V-K 1 X 0.5 MM2 VIO (CODE : 119133) 2 ROLL X 100 METER = 200 METER</t>
  </si>
  <si>
    <t>PO1811-44652-LRT</t>
  </si>
  <si>
    <t>CABLE H05V-K 1X0.5 MM2 ORG - (CODE : 109826) 2 ROLL X 100METER = 200 METER</t>
  </si>
  <si>
    <t xml:space="preserve">H07V-K 1X1.5VT -(sap# 99809) - 16 AWG - Violet </t>
  </si>
  <si>
    <t>PO1906-49442-LRT</t>
  </si>
  <si>
    <t>10 AWG WIRE GREEN - - H07V-K 1 X 6 GNYE - (1 ROLL = 100 METER)</t>
  </si>
  <si>
    <t>10 AWG WIRE (BLACK) - H07V-K 1 X 6 BK - (1 ROLL = 100 METER)</t>
  </si>
  <si>
    <t>10 AWG  WIRE BROWN - - HO7V-K 1X 6 BN - (1 ROLL = 100 METER)</t>
  </si>
  <si>
    <t>14 AWG WIRE ORANGE - H07V-K 1 X 2.5 OG - (1 ROLL = 100 METER)</t>
  </si>
  <si>
    <t>10 AWG WIRE (GREY) - H07V-K 1 X 6 GY (1 ROLL = 100 METER)</t>
  </si>
  <si>
    <t>CABLE H07V-K 1 X 6 VDE RK RAL 9005 - 309048 - COLOUR BLACK -(1 ROLL = 100METER)</t>
  </si>
  <si>
    <t>PO1603-22791-LRT</t>
  </si>
  <si>
    <t>CABLE H07V-K 1 X 6 VDE BU RAL 5010 - 372507 - COLOUR BLUE (1 ROLL = 100 METER)</t>
  </si>
  <si>
    <t xml:space="preserve">6 WAY </t>
  </si>
  <si>
    <t xml:space="preserve">6WAY RIBBON CABLE </t>
  </si>
  <si>
    <t>6WAY RIBBON CABLE</t>
  </si>
  <si>
    <t xml:space="preserve">1 CORE CABLE GREY </t>
  </si>
  <si>
    <t>I CORE CABLE GREY</t>
  </si>
  <si>
    <t>2 CORE CABLE GREY</t>
  </si>
  <si>
    <t xml:space="preserve">2 CORE CABLE GREY </t>
  </si>
  <si>
    <t>Grey (1 Roll x 90 Mtr)</t>
  </si>
  <si>
    <t>3 Core Cable x 1.5mm Square</t>
  </si>
  <si>
    <t xml:space="preserve">3 CORE CABLE GREY </t>
  </si>
  <si>
    <t>4CORE</t>
  </si>
  <si>
    <t xml:space="preserve">4 CORE CABLE GREY </t>
  </si>
  <si>
    <t>5 CORE CABLE GREY</t>
  </si>
  <si>
    <t xml:space="preserve">5 CORE CABLE GREY </t>
  </si>
  <si>
    <t>GREY</t>
  </si>
  <si>
    <t xml:space="preserve">6 CORE CABLE </t>
  </si>
  <si>
    <t>7CORE</t>
  </si>
  <si>
    <t>7 CORE CABLE GREY</t>
  </si>
  <si>
    <t>UL 2464</t>
  </si>
  <si>
    <t>10 Core Cable Grey (100M/RL)</t>
  </si>
  <si>
    <t>PO1808-41950-LRT</t>
  </si>
  <si>
    <t>00100644 (JJ-Lapp - 328019)</t>
  </si>
  <si>
    <t>LAPP OLFLEX CLASSIC 100 300/500V 3 CORE YY CONTROL CABLE, 1.5 MM², 50M, UNSCREENED - (1 ROLL = 50 METER )</t>
  </si>
  <si>
    <t>PO1812-44792-LRT</t>
  </si>
  <si>
    <t>COPPER BRAID 12-24MM</t>
  </si>
  <si>
    <t>COOPER BRAID 5-15MM</t>
  </si>
  <si>
    <t>CABLE UNITR FD 14X0.25 MM2 - PART NO : 27861 / SAP NO : 21439 (1 ROLL= 100 METER) (14 CORE)</t>
  </si>
  <si>
    <t>PO1701-29759-LRT</t>
  </si>
  <si>
    <t>0027861</t>
  </si>
  <si>
    <t>Highly flexible data transmission cable,14 x 0.25,14 Cores,100 meter</t>
  </si>
  <si>
    <t>PO1908-50531-LRT</t>
  </si>
  <si>
    <t>COPPER BRAIDED 9MM</t>
  </si>
  <si>
    <t>0.8 mm ( 1 box =15kgs/pcs)</t>
  </si>
  <si>
    <t>MIG CO2 WIRE</t>
  </si>
  <si>
    <t>MIG CO2 WIRE (WELDING WIRE</t>
  </si>
  <si>
    <t>PO1807-41552-LRT</t>
  </si>
  <si>
    <t>Ø0.8mm (1 BOX = 15 KG)</t>
  </si>
  <si>
    <t>MILD STEEL MIG WIRE</t>
  </si>
  <si>
    <t>PO1912-53689-LRT</t>
  </si>
  <si>
    <t>1.0mm ( 1 box =15kgs/pcs)</t>
  </si>
  <si>
    <t>PO1808-42210-LRT</t>
  </si>
  <si>
    <t>Ø1.0mm (1 BOX = 15 KG)</t>
  </si>
  <si>
    <t>1.2mm ( 1 box =15kgs/pcs )</t>
  </si>
  <si>
    <t>PO1808-42276-LRT</t>
  </si>
  <si>
    <t>Ø1.2mm (1 BOX = 15 KG)</t>
  </si>
  <si>
    <t>6-219507-4</t>
  </si>
  <si>
    <t>AMP PRECISION CABLE (24 AWG) SOLID BARE COPPER</t>
  </si>
  <si>
    <t>DIA 2.4MM</t>
  </si>
  <si>
    <t>ALUMINIUM TIGROD 5356</t>
  </si>
  <si>
    <t>PO1903-46923-LRT</t>
  </si>
  <si>
    <t>LM-TU464-i (6.4mm)</t>
  </si>
  <si>
    <t>glossy tube box type w/bobbin</t>
  </si>
  <si>
    <t>ON TOP OF L14</t>
  </si>
  <si>
    <t>PO1702-30303-LRT</t>
  </si>
  <si>
    <t>LM-TU452-i (5.2mm)</t>
  </si>
  <si>
    <t>GLOSSY TUUBE BOX TYPE W/BOBBIN</t>
  </si>
  <si>
    <t>LM-TU452i</t>
  </si>
  <si>
    <t>5.2mm Glossy Tubing w bobbin 100 Meter</t>
  </si>
  <si>
    <t>PO1701-29862-LRT</t>
  </si>
  <si>
    <t>LM-TU442-i</t>
  </si>
  <si>
    <t>MARKING TUBE 4.2MM</t>
  </si>
  <si>
    <t>PO1804-40130-LRT</t>
  </si>
  <si>
    <t>LM-TU425-i</t>
  </si>
  <si>
    <t>HOT MARKING TUBE - 2.5MM (LENGTH : 200 METER)</t>
  </si>
  <si>
    <t>ON TOP OF L18</t>
  </si>
  <si>
    <t>LM-TU436i</t>
  </si>
  <si>
    <t>3.6mm GLOSSY TUBE, BOX,TYPE W/BOBBIN (200 METER)</t>
  </si>
  <si>
    <t>PO1804-39909-LRT</t>
  </si>
  <si>
    <t>LM-TU432i</t>
  </si>
  <si>
    <t>3.2mm Glossy Tubing w bobbin 200 Meter</t>
  </si>
  <si>
    <t>All-link cat6 outdoor cable 300m</t>
  </si>
  <si>
    <t>PO1808-41996-LRT</t>
  </si>
  <si>
    <t>UB0850-BK</t>
  </si>
  <si>
    <t>PISCO TUBING (BLACK)</t>
  </si>
  <si>
    <t>16 AWG (Black)</t>
  </si>
  <si>
    <t>Skin Snake Cable 0.5mm (Black)</t>
  </si>
  <si>
    <t>All-link cat6 outdoor cable 305m</t>
  </si>
  <si>
    <t>TNA0005647  BOARD</t>
  </si>
  <si>
    <t>TNA BOARD</t>
  </si>
  <si>
    <t>M</t>
  </si>
  <si>
    <t>TS-190107001</t>
  </si>
  <si>
    <t>PO1901-45335-LRT</t>
  </si>
  <si>
    <t>22-27-2031 ELEMENT14 9731156</t>
  </si>
  <si>
    <t>3POSITION HEADER CONNECTOR 2.54MM</t>
  </si>
  <si>
    <t>PO1901-45786-LRT</t>
  </si>
  <si>
    <t>D15P24A4GV00LF</t>
  </si>
  <si>
    <t>15 POSITION D-SUB PLUG MALE CONNECTOR</t>
  </si>
  <si>
    <t>2 X 4</t>
  </si>
  <si>
    <t>N</t>
  </si>
  <si>
    <t>M2 X 4</t>
  </si>
  <si>
    <t>PO1903-46643-LRT</t>
  </si>
  <si>
    <t>PO1606-25923-LRT</t>
  </si>
  <si>
    <t>M2 X6</t>
  </si>
  <si>
    <t>PO1907-50198-LRT</t>
  </si>
  <si>
    <t>M2 X8</t>
  </si>
  <si>
    <t xml:space="preserve">M2 X 10 </t>
  </si>
  <si>
    <t>PO1908-50855-LRT</t>
  </si>
  <si>
    <t>M2 X12</t>
  </si>
  <si>
    <t>M2 X 14</t>
  </si>
  <si>
    <t>BUTTON HEAD CAP SCREW - M2 X 16</t>
  </si>
  <si>
    <t>M2.5 x 0.45 x 3</t>
  </si>
  <si>
    <t>PO2008-59023-LRT</t>
  </si>
  <si>
    <t>M2.5 X4</t>
  </si>
  <si>
    <t>M2.5 X5</t>
  </si>
  <si>
    <t>M2.5 X8</t>
  </si>
  <si>
    <t>M2.5 X10</t>
  </si>
  <si>
    <t>PO1605-24666-LRT</t>
  </si>
  <si>
    <t>M2.5 X 30</t>
  </si>
  <si>
    <t>PO1912-53912-LRT</t>
  </si>
  <si>
    <t>PO1805-40392-LRT</t>
  </si>
  <si>
    <t>PO1901-45674-LRT</t>
  </si>
  <si>
    <t>PO1912-53568-LRT</t>
  </si>
  <si>
    <t>PO1805-40635-LRT</t>
  </si>
  <si>
    <t>PO1811-44172-LRT</t>
  </si>
  <si>
    <t>M3 X12</t>
  </si>
  <si>
    <t>M3 X 15</t>
  </si>
  <si>
    <t>PO2004-56316-LRT</t>
  </si>
  <si>
    <t>M3 X 0.5 X 16</t>
  </si>
  <si>
    <t>PO2003-55741-LRT</t>
  </si>
  <si>
    <t>PO2002-55379-LRT</t>
  </si>
  <si>
    <t>PO1810-43965-LRT</t>
  </si>
  <si>
    <t>M3 X35</t>
  </si>
  <si>
    <t>M3 X40</t>
  </si>
  <si>
    <t>M3 X50</t>
  </si>
  <si>
    <t>PO1812-44943-LRT</t>
  </si>
  <si>
    <t>PO1810-43486-LRT</t>
  </si>
  <si>
    <t>M4X10</t>
  </si>
  <si>
    <t>PO1811-44070-LRT</t>
  </si>
  <si>
    <t>M4 X16</t>
  </si>
  <si>
    <t>M4 x 0.7 x 25</t>
  </si>
  <si>
    <t>PO1510-19191-LRT</t>
  </si>
  <si>
    <t>PO1912-53803-LRT</t>
  </si>
  <si>
    <t>M4 X 0.7 X 35</t>
  </si>
  <si>
    <t>PO1911-53169-LRT</t>
  </si>
  <si>
    <t>M4 X 45</t>
  </si>
  <si>
    <t>PO2002-55187-LRT</t>
  </si>
  <si>
    <t>M5 X 6</t>
  </si>
  <si>
    <t>PO1802-38017-LRT</t>
  </si>
  <si>
    <t>M5 X 0.8 X 10</t>
  </si>
  <si>
    <t>PO1807-41447-LRT</t>
  </si>
  <si>
    <t>PO1905-48936-LRT</t>
  </si>
  <si>
    <t>M5 x16</t>
  </si>
  <si>
    <t>5 X 20</t>
  </si>
  <si>
    <t>PO1905-48622-LRT</t>
  </si>
  <si>
    <t>M5X25</t>
  </si>
  <si>
    <t>PO1905-48632-LRT</t>
  </si>
  <si>
    <t>M5 X35</t>
  </si>
  <si>
    <t>M5 X40</t>
  </si>
  <si>
    <t>M5 X 0.8 X 40</t>
  </si>
  <si>
    <t>PO1912-53848-LRT</t>
  </si>
  <si>
    <t>M5 X45</t>
  </si>
  <si>
    <t>M5 X50</t>
  </si>
  <si>
    <t>M5 X70</t>
  </si>
  <si>
    <t>M6 X6</t>
  </si>
  <si>
    <t>M6 X 1.0 X 8</t>
  </si>
  <si>
    <t>PO1806-41031-LRT</t>
  </si>
  <si>
    <t>M6X12</t>
  </si>
  <si>
    <t>PO1912-53804-LRT</t>
  </si>
  <si>
    <t>M6 X 15</t>
  </si>
  <si>
    <t>M6X16</t>
  </si>
  <si>
    <t>PO1905-48443-LRT</t>
  </si>
  <si>
    <t>M6 X25</t>
  </si>
  <si>
    <t>M6 X30</t>
  </si>
  <si>
    <t>M6 X35</t>
  </si>
  <si>
    <t>M6 X40</t>
  </si>
  <si>
    <t>M6 X60</t>
  </si>
  <si>
    <t>M8 X10</t>
  </si>
  <si>
    <t>M8 X 12</t>
  </si>
  <si>
    <t>PO2003-55938-LRT</t>
  </si>
  <si>
    <t>M8 X 1.25 X 16</t>
  </si>
  <si>
    <t>PO1710-35575-LRT</t>
  </si>
  <si>
    <t>PO2002-55354-LRT</t>
  </si>
  <si>
    <t>M8 X 18</t>
  </si>
  <si>
    <t>PO1810-43887-LRT</t>
  </si>
  <si>
    <t>PO1906-49374-LRT</t>
  </si>
  <si>
    <t>M8 X25</t>
  </si>
  <si>
    <t>M8 X30</t>
  </si>
  <si>
    <t>M8 X35</t>
  </si>
  <si>
    <t>M8 X40</t>
  </si>
  <si>
    <t>M8 X45</t>
  </si>
  <si>
    <t>M8 X 50</t>
  </si>
  <si>
    <t>M8 X60</t>
  </si>
  <si>
    <t>M10 X16</t>
  </si>
  <si>
    <t>M10 X18</t>
  </si>
  <si>
    <t>M10 X20</t>
  </si>
  <si>
    <t>M10 X25</t>
  </si>
  <si>
    <t>M10 X30</t>
  </si>
  <si>
    <t>M10 X35</t>
  </si>
  <si>
    <t>M10 X40</t>
  </si>
  <si>
    <t>M10 X45</t>
  </si>
  <si>
    <t>M10 X50</t>
  </si>
  <si>
    <t>M10 X55</t>
  </si>
  <si>
    <t>M10 X60</t>
  </si>
  <si>
    <t>M10 X65</t>
  </si>
  <si>
    <t>M10 X70</t>
  </si>
  <si>
    <t>M12 X16</t>
  </si>
  <si>
    <t>M12 X20</t>
  </si>
  <si>
    <t>M12 X25</t>
  </si>
  <si>
    <t>M12 X30</t>
  </si>
  <si>
    <t>M12 X35</t>
  </si>
  <si>
    <t>M12 X40</t>
  </si>
  <si>
    <t>M12 X45</t>
  </si>
  <si>
    <t>M12 X50</t>
  </si>
  <si>
    <t>1/4 X 1</t>
  </si>
  <si>
    <t>DOWEL PIN(1 )</t>
  </si>
  <si>
    <t>-1 DOWEL PIN</t>
  </si>
  <si>
    <t>M1.0 X 4</t>
  </si>
  <si>
    <t>-2 DOWEL PIN</t>
  </si>
  <si>
    <t>M1 X 5</t>
  </si>
  <si>
    <t>DOWEL PIN(3 )</t>
  </si>
  <si>
    <t>-3 DOWEL PIN</t>
  </si>
  <si>
    <t>M1.0 X 6</t>
  </si>
  <si>
    <t>DOWEL PIN(4 )</t>
  </si>
  <si>
    <t>-4 DOWEL PIN</t>
  </si>
  <si>
    <t>M1 X 6</t>
  </si>
  <si>
    <t>DOWEL PIN(5 )</t>
  </si>
  <si>
    <t>-5 DOWEL PIN</t>
  </si>
  <si>
    <t>PO1908-51044-LRT</t>
  </si>
  <si>
    <t>M1.0 X 8</t>
  </si>
  <si>
    <t>-6 DOWEL PIN</t>
  </si>
  <si>
    <t>M1 X 10</t>
  </si>
  <si>
    <t>-7 DOWEL PIN</t>
  </si>
  <si>
    <t>M1 X 12</t>
  </si>
  <si>
    <t>-8 DOWEL PIN</t>
  </si>
  <si>
    <t>M1.2 X 15.8</t>
  </si>
  <si>
    <t>DOWEL PIN(9 )</t>
  </si>
  <si>
    <t>-9 DOWEL PIN</t>
  </si>
  <si>
    <t>PO1912-53830-LRT</t>
  </si>
  <si>
    <t>M1.5 X 4</t>
  </si>
  <si>
    <t>-10 DOWEL PIN</t>
  </si>
  <si>
    <t>M1.5 X 6</t>
  </si>
  <si>
    <t>-11 DOWEL PIN</t>
  </si>
  <si>
    <t>M1.5 X 8</t>
  </si>
  <si>
    <t>-12 DOWEL PIN</t>
  </si>
  <si>
    <t>M1.5 X 10</t>
  </si>
  <si>
    <t>-13 DOWEL PIN</t>
  </si>
  <si>
    <t>M1.5 X 12</t>
  </si>
  <si>
    <t>-14 DOWEL PIN</t>
  </si>
  <si>
    <t>PO1907-49999-LRT</t>
  </si>
  <si>
    <t>M1.5 X 16</t>
  </si>
  <si>
    <t>-15 DOWEL PIN</t>
  </si>
  <si>
    <t>M1.5 X 20</t>
  </si>
  <si>
    <t>-16 DOWEL PIN</t>
  </si>
  <si>
    <t>M1.6 X 6</t>
  </si>
  <si>
    <t>-17 DOWEL PIN</t>
  </si>
  <si>
    <t>M2.5 X 4</t>
  </si>
  <si>
    <t>DOWEL PIN( 20)</t>
  </si>
  <si>
    <t>-18 DOWEL PIN</t>
  </si>
  <si>
    <t>DOWEL PIN( 21)</t>
  </si>
  <si>
    <t>-19 DOWEL PIN</t>
  </si>
  <si>
    <t>DOWEL PIN( 22)</t>
  </si>
  <si>
    <t>-20 DOWEL PIN</t>
  </si>
  <si>
    <t>DOWEL PIN( 23)</t>
  </si>
  <si>
    <t>-21 DOWEL PIN</t>
  </si>
  <si>
    <t>DOWEL PIN( 24)</t>
  </si>
  <si>
    <t>DOWEL PIN( 25)</t>
  </si>
  <si>
    <t>-22 DOWEL PIN</t>
  </si>
  <si>
    <t>M2.5 X 20</t>
  </si>
  <si>
    <t>DOWEL PIN( 26)</t>
  </si>
  <si>
    <t>-23 DOWEL PIN</t>
  </si>
  <si>
    <t>PO2002-54802</t>
  </si>
  <si>
    <t>DOWEL PIN( 15)</t>
  </si>
  <si>
    <t>DOWEL PIN(17 )</t>
  </si>
  <si>
    <t>M2 x 8</t>
  </si>
  <si>
    <t>Dowel Pin</t>
  </si>
  <si>
    <t>M2 X 15</t>
  </si>
  <si>
    <t>M2 X16</t>
  </si>
  <si>
    <t>M2 X20</t>
  </si>
  <si>
    <t>M2 X 25</t>
  </si>
  <si>
    <t>DOWEL PIN(18 )</t>
  </si>
  <si>
    <t>M2 X 35</t>
  </si>
  <si>
    <t>DOWEL PIN( 19)</t>
  </si>
  <si>
    <t>M6 X 45</t>
  </si>
  <si>
    <t>Dowel Pin S/steel</t>
  </si>
  <si>
    <t>PO2001-54409-LRT</t>
  </si>
  <si>
    <t>M10 X 45</t>
  </si>
  <si>
    <t>M10 X 50</t>
  </si>
  <si>
    <t>M10 X 70</t>
  </si>
  <si>
    <t>PO1911-53240-LRT</t>
  </si>
  <si>
    <t>COUNTERSUNK HEAD SCREW</t>
  </si>
  <si>
    <t>PO1912-53570-LRT</t>
  </si>
  <si>
    <t>M2.5X12</t>
  </si>
  <si>
    <t>M2.5X 4</t>
  </si>
  <si>
    <t>M2.5X 5</t>
  </si>
  <si>
    <t>M2 X 16</t>
  </si>
  <si>
    <t>COUNTERSUNK/FLAT HEAD CAP (NK)</t>
  </si>
  <si>
    <t>PO1907-50345-LRT</t>
  </si>
  <si>
    <t>PO1912-53571-LRT</t>
  </si>
  <si>
    <t>M2X 8</t>
  </si>
  <si>
    <t>M2X 6</t>
  </si>
  <si>
    <t>M2 x 0.4 x 6</t>
  </si>
  <si>
    <t>M2 x 5</t>
  </si>
  <si>
    <t>M3 X 0.5 X 12</t>
  </si>
  <si>
    <t>Counter Sunk Screw</t>
  </si>
  <si>
    <t>PO1912-53566-LRT</t>
  </si>
  <si>
    <t>M3 X 0.5 X 8</t>
  </si>
  <si>
    <t>M3 x 10</t>
  </si>
  <si>
    <t>M3X 20</t>
  </si>
  <si>
    <t>M3X25</t>
  </si>
  <si>
    <t>M3X30</t>
  </si>
  <si>
    <t>M3X35</t>
  </si>
  <si>
    <t>M3X40</t>
  </si>
  <si>
    <t>M3X50</t>
  </si>
  <si>
    <t>M5 X 0.8 X 12</t>
  </si>
  <si>
    <t>M5 X6</t>
  </si>
  <si>
    <t>M4X50</t>
  </si>
  <si>
    <t>M4X45</t>
  </si>
  <si>
    <t>M4X35</t>
  </si>
  <si>
    <t>M4X30</t>
  </si>
  <si>
    <t>M4X25</t>
  </si>
  <si>
    <t>M4X20</t>
  </si>
  <si>
    <t>M4 X 0.7 X 16</t>
  </si>
  <si>
    <t>125 &amp; 126</t>
  </si>
  <si>
    <t>M6X35</t>
  </si>
  <si>
    <t>M6 X20</t>
  </si>
  <si>
    <t>6X10</t>
  </si>
  <si>
    <t>M6X8</t>
  </si>
  <si>
    <t>M5X40</t>
  </si>
  <si>
    <t>M5X35</t>
  </si>
  <si>
    <t>M5X30</t>
  </si>
  <si>
    <t>M5X20</t>
  </si>
  <si>
    <t>M8X60</t>
  </si>
  <si>
    <t>8X50</t>
  </si>
  <si>
    <t>M8X40</t>
  </si>
  <si>
    <t>8X35</t>
  </si>
  <si>
    <t>8X30</t>
  </si>
  <si>
    <t>M8 X20</t>
  </si>
  <si>
    <t>8X16</t>
  </si>
  <si>
    <t>M8 X 1.25 X 15</t>
  </si>
  <si>
    <t>8X12</t>
  </si>
  <si>
    <t>M6X65</t>
  </si>
  <si>
    <t>M12X35</t>
  </si>
  <si>
    <t>M12X25</t>
  </si>
  <si>
    <t>M12X20</t>
  </si>
  <si>
    <t>M10X40</t>
  </si>
  <si>
    <t>M10X35</t>
  </si>
  <si>
    <t>M10X30</t>
  </si>
  <si>
    <t>M10X25</t>
  </si>
  <si>
    <t>M10X20</t>
  </si>
  <si>
    <t>SHOULDER SCREW</t>
  </si>
  <si>
    <t>M6 X8</t>
  </si>
  <si>
    <t>Shoulder Screw</t>
  </si>
  <si>
    <t>SOCKET HEAD SHOULDER SCREW_AM 1 (BIG SCREW)</t>
  </si>
  <si>
    <t xml:space="preserve">SOCKET HEAD SHOULDER SCREW_AM </t>
  </si>
  <si>
    <t>SOCKET HEAD SHOULDER SCREW - S/STEEL (SMALL SCREW)</t>
  </si>
  <si>
    <t>PO2007-58557-LRT</t>
  </si>
  <si>
    <t>SHOULDER SCREW - S/STEEL</t>
  </si>
  <si>
    <t>PO1912-53798-LRT</t>
  </si>
  <si>
    <t>M5 X8</t>
  </si>
  <si>
    <t>SHOULDER SCREW (WHITE)</t>
  </si>
  <si>
    <t>Shoulder Screw S/Steel</t>
  </si>
  <si>
    <t>SOCKET HEAD SHOULDER SCREW (BLACK SCREW)</t>
  </si>
  <si>
    <t>M12X45</t>
  </si>
  <si>
    <t>M5 X5</t>
  </si>
  <si>
    <t>M8 X 70</t>
  </si>
  <si>
    <t>M8 X 40</t>
  </si>
  <si>
    <t>SHOULDER SCREW (BLACK)</t>
  </si>
  <si>
    <t>M8 X16</t>
  </si>
  <si>
    <t>M6 X18</t>
  </si>
  <si>
    <t>M10 X 20</t>
  </si>
  <si>
    <t>SHOULDER SCREW S/STEEL</t>
  </si>
  <si>
    <t>M2 X 0.4 X 3</t>
  </si>
  <si>
    <t>M2 x 0.4 x 10</t>
  </si>
  <si>
    <t>M2 X 0.4 X 12</t>
  </si>
  <si>
    <t>M2 X 0.4 X 16</t>
  </si>
  <si>
    <t>M2 X 18</t>
  </si>
  <si>
    <t>M2 X 20</t>
  </si>
  <si>
    <t>M2 X 30</t>
  </si>
  <si>
    <t>M2.5 X 5</t>
  </si>
  <si>
    <t xml:space="preserve">.6MM PITCH </t>
  </si>
  <si>
    <t>NK SOCKET HEAD CAP SCREW</t>
  </si>
  <si>
    <t>Socket Head Cap Screw (N/K)</t>
  </si>
  <si>
    <t>M2.5 X 0.45 X 12</t>
  </si>
  <si>
    <t>M2.5 X 0.45 X 14</t>
  </si>
  <si>
    <t>M2.5 X 16</t>
  </si>
  <si>
    <t>CAP SCREW (NK)</t>
  </si>
  <si>
    <t>M2.5 X 0.45 X 16</t>
  </si>
  <si>
    <t>M2.5 X 0.45 X 20</t>
  </si>
  <si>
    <t>M2.5 X 25</t>
  </si>
  <si>
    <t>M2.5 x 35</t>
  </si>
  <si>
    <t>SOCKET HEAD CAP SCREW (NK)</t>
  </si>
  <si>
    <t>CAP SCREW</t>
  </si>
  <si>
    <t>PO1910-51954-LRT</t>
  </si>
  <si>
    <t>PARTS FROM ASSEMBLY</t>
  </si>
  <si>
    <t>M3 X 0.5 X 25</t>
  </si>
  <si>
    <t>M3 X 0.5 X 35</t>
  </si>
  <si>
    <t>M3 X 55</t>
  </si>
  <si>
    <t>M3 X 70</t>
  </si>
  <si>
    <t>M3 X 75</t>
  </si>
  <si>
    <t>25cr</t>
  </si>
  <si>
    <t>PO2004-56222-LRT</t>
  </si>
  <si>
    <t>PO1911-53243-LRT</t>
  </si>
  <si>
    <t>M4 X 0.7 X 20</t>
  </si>
  <si>
    <t>PO1908-50854-LRT</t>
  </si>
  <si>
    <t>M4 X 0.7 X 45</t>
  </si>
  <si>
    <t>M4 X 53</t>
  </si>
  <si>
    <t>M4 X 55</t>
  </si>
  <si>
    <t>M4 X 65</t>
  </si>
  <si>
    <t>M4 X 75</t>
  </si>
  <si>
    <t>M4 X 80</t>
  </si>
  <si>
    <t>M4 X 100</t>
  </si>
  <si>
    <t>SOCKET HEAD CAP SCREW (N/K)</t>
  </si>
  <si>
    <t>M5 X 18</t>
  </si>
  <si>
    <t>M5 X 0.8 X 25</t>
  </si>
  <si>
    <t>M5 X 30</t>
  </si>
  <si>
    <t>PO1907-50346-LRT</t>
  </si>
  <si>
    <t>M5 X 45</t>
  </si>
  <si>
    <t>M5 X 50</t>
  </si>
  <si>
    <t>M5 X 55</t>
  </si>
  <si>
    <t>M5 X 0.8 X 60</t>
  </si>
  <si>
    <t>PO1807-41372-LRT</t>
  </si>
  <si>
    <t>M5 X 65</t>
  </si>
  <si>
    <t>M5 X 70</t>
  </si>
  <si>
    <t>M5 X 75</t>
  </si>
  <si>
    <t>M5 X 80</t>
  </si>
  <si>
    <t>M5 X 90</t>
  </si>
  <si>
    <t>M6 X 1.0 X 18</t>
  </si>
  <si>
    <t>M6X22</t>
  </si>
  <si>
    <t>FORMED HEX SCREW</t>
  </si>
  <si>
    <t>PO1910-51989-LRT</t>
  </si>
  <si>
    <t>M6 X 1.0 X 35</t>
  </si>
  <si>
    <t>M6 X 40</t>
  </si>
  <si>
    <t>M6 X 1.0 X 50</t>
  </si>
  <si>
    <t>M6 X 1.0 X 55</t>
  </si>
  <si>
    <t xml:space="preserve">M6 X 60 </t>
  </si>
  <si>
    <t>232/233</t>
  </si>
  <si>
    <t>PO2005-56937-LRT</t>
  </si>
  <si>
    <t>M6 X 70</t>
  </si>
  <si>
    <t>5/16 -18 x 1</t>
  </si>
  <si>
    <t>M8 x 1.25 x 25</t>
  </si>
  <si>
    <t>M6X22 / DIN 912 ZINC</t>
  </si>
  <si>
    <t>SOCKET CAP SCREW - (S/STEEL)</t>
  </si>
  <si>
    <t>M8X45 / DIN 912 BLUE</t>
  </si>
  <si>
    <t>SOCKET CAP / 8.8 - (NK)</t>
  </si>
  <si>
    <t>M10X25 / DIN 912 NICKEL</t>
  </si>
  <si>
    <t>SOCKET CAP / 12.9 - (NK)</t>
  </si>
  <si>
    <t>M10X35 / DIN 912 NICKEL</t>
  </si>
  <si>
    <t>NYLON PAN CROSS HEAH SCREW</t>
  </si>
  <si>
    <t>NYLON FLAT HEAD CROSS TYPE</t>
  </si>
  <si>
    <t>LRT/PCB 0803-0877</t>
  </si>
  <si>
    <t>DOUBLE SIDE PCB~MODEL : POGO II REV 10.1-CONTROL CARD -BARE BOARD</t>
  </si>
  <si>
    <t>DOUBLE SIDE PCB~MODEL : POGO II REV 10.1-CONTROL CARD</t>
  </si>
  <si>
    <t>P</t>
  </si>
  <si>
    <t>1611-28822-LRT</t>
  </si>
  <si>
    <t>PCB0068-0003</t>
  </si>
  <si>
    <t>BACKPLANE PCB</t>
  </si>
  <si>
    <t>PCB0068-0001</t>
  </si>
  <si>
    <t>DISTRIBUTION CARD BARE BOARD</t>
  </si>
  <si>
    <t>DISTRIBUTION CARD</t>
  </si>
  <si>
    <t>LRT/PCB1507-0027</t>
  </si>
  <si>
    <t>RF CAPACITOR BOARD</t>
  </si>
  <si>
    <t>LRT/PCB 1509-0021</t>
  </si>
  <si>
    <t>PN:USB3_SIGNALPLANE_BOARD_1509_0021_GERBER 2-LAYER,FR4 TG140,0.25+/-0.1MM,35UM,ENIG，UNIT SIZE:11MM X 4MM SUGGEST PANEL:37.7X47.9MM 12-UPGREEN SOLDER MASK,WHITE SILK SCREEN，EDGE PLATING</t>
  </si>
  <si>
    <t>PO1604-24244-LRT</t>
  </si>
  <si>
    <t>MAX3380EEUP+T</t>
  </si>
  <si>
    <t>IC, DUAL RS-232 TRANCEIVERS, 15KV ESD PROTECTION, TSSOP-20, 6.5X4.4X1.1MM</t>
  </si>
  <si>
    <t>PO1512-20972-LRT</t>
  </si>
  <si>
    <t>MBRX0540</t>
  </si>
  <si>
    <t>CONN, 17 PIN, RJ45, 10DIO, SCHOTTKY, 40V, 400MA, IR=40UA @ 30V, SOD323/SC76, 1.7X1.25X1.15MM</t>
  </si>
  <si>
    <t>STPS340U (ELEMENT 14:  9803548RL)</t>
  </si>
  <si>
    <t>STMICROELECTRONICS STPS340U  RECTIFIER DIODE, SINGLE, 40 V, 3 A, DO-214AA, 2, 570 MV</t>
  </si>
  <si>
    <t>GRM1887U1H103JA01D</t>
  </si>
  <si>
    <t>Multilayer Ceramic Capacitors MLCC- SMD/SMT 0603 0.01uF 50volts 5%</t>
  </si>
  <si>
    <t>C0603C220J5GACTU - (Element : 1414622RL)</t>
  </si>
  <si>
    <t>CAP CER 22PF 50V 5% NP0 0603</t>
  </si>
  <si>
    <t>SML-LX1206SRW-TR - (Element : 2062242)</t>
  </si>
  <si>
    <t>LED RED DIFFUSED 1206 SMD</t>
  </si>
  <si>
    <t>171857-3002</t>
  </si>
  <si>
    <t>CONN HEADER 2POS .100 RA</t>
  </si>
  <si>
    <t>PO1808-42036-LRT</t>
  </si>
  <si>
    <t>AVLC5S02050</t>
  </si>
  <si>
    <t>VARISTOR, ESD PROTECTION, 30kV, 50pF, 0402</t>
  </si>
  <si>
    <t>SEMICONDUCTOR</t>
  </si>
  <si>
    <t>PO1604-24023-LRT</t>
  </si>
  <si>
    <t>RC0603FR-073K9L</t>
  </si>
  <si>
    <t>YAGEO AMERICA CORPORATION 0603, 1% 3.9K OHMS (RC0603FR-073K9L)</t>
  </si>
  <si>
    <t>PO1505-15906-LRT</t>
  </si>
  <si>
    <t>MHQ1005P12NJT</t>
  </si>
  <si>
    <t>INDUCTOR 12 NH 0.45A +/- 5% 2.8GHZ</t>
  </si>
  <si>
    <t>INDUCTOR</t>
  </si>
  <si>
    <t>TPS71730DCKT (element : 1755490RL)</t>
  </si>
  <si>
    <t>TPS71730DCKT  FIXED LDO VOLTAGE REGULATOR</t>
  </si>
  <si>
    <t>INTERGRATED</t>
  </si>
  <si>
    <t>ERJ-2RKF1003X</t>
  </si>
  <si>
    <t>RES SMD 100K OHM 1% 1/10W 0402</t>
  </si>
  <si>
    <t>GRM155R71H102KA01D (element : 1828882RL)</t>
  </si>
  <si>
    <t>GRM155R71H102KA01D  SMD Multilayer Ceramic Capacitor, GRM Series</t>
  </si>
  <si>
    <t>1606-25134-LRT</t>
  </si>
  <si>
    <t>LXES15AAA1-117</t>
  </si>
  <si>
    <t>TVS DIODE 15VWM 1005 - (EQUIVALENT : LXES15AAA1-153)</t>
  </si>
  <si>
    <t>SINGLE LAYER</t>
  </si>
  <si>
    <t>1804-39935-LRT</t>
  </si>
  <si>
    <t>0402ESDA-MLP1</t>
  </si>
  <si>
    <t>ESD SUPPRESSORS POLYSURG 0402 35V .05PF</t>
  </si>
  <si>
    <t xml:space="preserve">SEMICONDUCTOR </t>
  </si>
  <si>
    <t>RC0603FR-072K2</t>
  </si>
  <si>
    <t>YAGEO AMERICA CORPORATION 0603,1% 2.2K OHMS (RC0603FR-072K2L)</t>
  </si>
  <si>
    <t>MC14067BDWG</t>
  </si>
  <si>
    <t>Multiplexer Switch ICs 3-18V ANLG Mux/Demux -55 to 125deg C</t>
  </si>
  <si>
    <t>C0603C225K4PACTU - (Element : 1288203RL)</t>
  </si>
  <si>
    <t>CAP - CER 2.2UF 16V X7R 0603</t>
  </si>
  <si>
    <t>1707-33612-LRT</t>
  </si>
  <si>
    <t>XC6221A182MR-G</t>
  </si>
  <si>
    <t>IC REG LDO 1.8V 0.2A SOT2</t>
  </si>
  <si>
    <t>1610-28158-LRT</t>
  </si>
  <si>
    <t>ERJ-3EKF1000V</t>
  </si>
  <si>
    <t>RESISTOR THICK 100R 1%</t>
  </si>
  <si>
    <t xml:space="preserve">1903-46707-LRT </t>
  </si>
  <si>
    <t>ERJ-3EKF2400V - (Element : 2059297RL)</t>
  </si>
  <si>
    <t>SURFACE MOUNT CHIP RESISTOR, THICK FILM, AEC-Q200 ERJ SERIES, 240 OHM, 100 MW, ± 1%, 75 V</t>
  </si>
  <si>
    <t>ERJ-3GEY0R00V</t>
  </si>
  <si>
    <t>RESISTOR THICK 0R 0603</t>
  </si>
  <si>
    <t>NCS2001SQ212G</t>
  </si>
  <si>
    <t>0.9V SINGLE RAIL</t>
  </si>
  <si>
    <t>T491A105K016AT (ELEMENT : 1457406RL)</t>
  </si>
  <si>
    <t>KEMET T491A105K016AT  Surface Mount Tantalum Capacitor, T491 Series, 1 µF, ± 10%, 16 V, 1206 [3216 Metric], A</t>
  </si>
  <si>
    <t>T491A105K016AT  Surface Mount Tantalum Capacitor, T491 Series, 1 µF, ± 10%, 16 V, 1206 [3216 Metric], A</t>
  </si>
  <si>
    <t>PO1512-20814-LRT</t>
  </si>
  <si>
    <t>LTC1983ES6-5#TRMPBF</t>
  </si>
  <si>
    <t>IC REG SWTCHD CAP INV -5V SOT23 - (Element : 1663871)</t>
  </si>
  <si>
    <t>IC</t>
  </si>
  <si>
    <t>DMN2075U-7</t>
  </si>
  <si>
    <t>DIODES INCORPORATED MOSFET</t>
  </si>
  <si>
    <t>DIODE</t>
  </si>
  <si>
    <t>08055C104KATJ2A</t>
  </si>
  <si>
    <t>CAPACITOR 50V 100nF 0805 X7R</t>
  </si>
  <si>
    <t>ERJ-8ENF3000V</t>
  </si>
  <si>
    <t>RES 300 OHM 1/4W 1% 1206 SMD - (digikey : P300FCT-ND)</t>
  </si>
  <si>
    <t>PO1907-49964-LRT</t>
  </si>
  <si>
    <t>TPS74701DRCR</t>
  </si>
  <si>
    <t>IC REG LDO ADJ 0.5A 10SON - - (Element : 1575361)</t>
  </si>
  <si>
    <t>PO1808-42031-LRT</t>
  </si>
  <si>
    <t>LMK212BJ105KG-T</t>
  </si>
  <si>
    <t>Cap Ceramic 1uF 10V X7R 10% Pad SMD 0805 125 C T/R</t>
  </si>
  <si>
    <t>ERJ-3EKF2202V - (Element : 2303201)</t>
  </si>
  <si>
    <t>THICK FILM RESISTORS-SMD 0603 22KOHMS 1% TOL</t>
  </si>
  <si>
    <t>11AA010T-I/TT</t>
  </si>
  <si>
    <t>IC EEPROM 1KBIT 100KHZ SOT23-3</t>
  </si>
  <si>
    <t>PO1712-36643-LRT</t>
  </si>
  <si>
    <t>NMC0402X7R104K16TRPF</t>
  </si>
  <si>
    <t>NIC 1210 SIZE 22UF/16V X5R</t>
  </si>
  <si>
    <t>LAN9730I-ABZJ (MOUSER : 886-LAN9730I-ABZJ)</t>
  </si>
  <si>
    <t>Ethernet ICs USB 2.0 TO 10/100 ETHERNET CONTROLLER</t>
  </si>
  <si>
    <t>PO1512-20941-LRT</t>
  </si>
  <si>
    <t>VLF5014ST-100M1R2 - (Digikey : 445-4242-1-ND)</t>
  </si>
  <si>
    <t>FIXED IND 10UH 1.2A 250 MOHM SMD</t>
  </si>
  <si>
    <t>PO1802-37968-LRT</t>
  </si>
  <si>
    <t>609-3375-ND</t>
  </si>
  <si>
    <t>CONN HEADER 20POS .100 STR 15AU</t>
  </si>
  <si>
    <t>PO1507-17286-LRT</t>
  </si>
  <si>
    <t>ERJ3GEYJ913V  (element 14 code : 2059653)</t>
  </si>
  <si>
    <t>PANASONIC ELECTRONIC COMPONENTS  ERJ3GEYJ913V  Surface Mount Chip Resistor, Thick Film, AEC-Q200 ERJ Series, 91 kohm, 100 mW, ± 5%, 75 V</t>
  </si>
  <si>
    <t>PO1510-19697-LRT</t>
  </si>
  <si>
    <t>FAN4931IP5X</t>
  </si>
  <si>
    <t>FAN4931IP5X  OP AMP, RRIO, 2.7/5V, 3.7MHZ, 5SC</t>
  </si>
  <si>
    <t>SEMICONDUCTOR DEVICES</t>
  </si>
  <si>
    <t>ERJ-6GEY0R00V (digikey code : P0.0ATR-ND)</t>
  </si>
  <si>
    <t>RES SMD 0.0 OHM JUMPER 1/8W 0805</t>
  </si>
  <si>
    <t>PO1511-20449-LRT</t>
  </si>
  <si>
    <t>MPC506AU - (Digikey : MPC506AU-ND)</t>
  </si>
  <si>
    <t>IC MULTIPLEXER 1X16 28SOIC</t>
  </si>
  <si>
    <t>1802-37968-LRT</t>
  </si>
  <si>
    <t>ERJ-3EKF5902V (digikey code : P59.0KHTR-ND)</t>
  </si>
  <si>
    <t>RES SMD 59K OHM 1% 1/10W 0603</t>
  </si>
  <si>
    <t>SI-00077311</t>
  </si>
  <si>
    <t>ERJ-3EKF8252V (digikey code : P82.5KHTR-ND)</t>
  </si>
  <si>
    <t>RES SMD 82.5K OHM 1% 1/10W 0603</t>
  </si>
  <si>
    <t>1511-20449-LRT</t>
  </si>
  <si>
    <t>ERJ-3EKF1022V (digikey code : P10.2KHTR-ND)</t>
  </si>
  <si>
    <t>RES SMD 10.2K OHM 1% 1/10W 0603</t>
  </si>
  <si>
    <t>ERA-3AEB223V (digikey code : P22KDBCT-ND)</t>
  </si>
  <si>
    <t>RES SMD 22K OHM 0.1% 1/10W 0603</t>
  </si>
  <si>
    <t>UMK212BJ105KG</t>
  </si>
  <si>
    <t>CAP CER 1UF 50V X5R 0805</t>
  </si>
  <si>
    <t>1802-38101-LRT</t>
  </si>
  <si>
    <t>MBR0520LT1G</t>
  </si>
  <si>
    <t>DIODE SCHOTTKY 20V 500MA SOD123</t>
  </si>
  <si>
    <t>08056C106KAT2A (element 14 : 1657936)</t>
  </si>
  <si>
    <t>AVX 08056C106KAT2A SMD Multilayer Ceramic Capacitor,</t>
  </si>
  <si>
    <t>1702-30148-LRT</t>
  </si>
  <si>
    <t>LM27313</t>
  </si>
  <si>
    <t>IC REG BOOST ADJ 0.8A SOT23-5</t>
  </si>
  <si>
    <t>MCR100JZHJ000</t>
  </si>
  <si>
    <t>RES SMD 0.0 OHM JUMPER 1W 2512 - (Equivalent : RMCF2512ZT0R00</t>
  </si>
  <si>
    <t>1802-38130-LRT</t>
  </si>
  <si>
    <t>DMN3065LW-13</t>
  </si>
  <si>
    <t>MOSFET N-CH 30V 4A SOT323 (DIGIKEY CODE: DMN3065LW-13DICT-ND)</t>
  </si>
  <si>
    <t>1802-38300-LRT</t>
  </si>
  <si>
    <t>C0603C221K3RACTU - (Element : 2773141)</t>
  </si>
  <si>
    <t>CAP CER 220PF 25V X7R 0603 - (EQ : C0603C221K3RAC7867)</t>
  </si>
  <si>
    <t>1802-37997-LRT</t>
  </si>
  <si>
    <t xml:space="preserve">F931C226KAA </t>
  </si>
  <si>
    <t>CAP TANT 22UF 16V 10% 1206</t>
  </si>
  <si>
    <t>GRM21BR61C106KE15L</t>
  </si>
  <si>
    <t>CAP CER 10UF 16V 10% X5R 0805</t>
  </si>
  <si>
    <t>LT1611CS5#TRMPBF - (Element : 1663760)</t>
  </si>
  <si>
    <t>IC REG MULTI CONFG INV ADJ SOT23</t>
  </si>
  <si>
    <t>res</t>
  </si>
  <si>
    <t>ERA-3AEB223V - (Element : 1577624)</t>
  </si>
  <si>
    <t>1802-38460-LRT</t>
  </si>
  <si>
    <t>ERJ6GEYJ102V</t>
  </si>
  <si>
    <t>PANASONIC-ERJ6GEYJ102V-RESISTOR,0805,1K 5%,0.125W</t>
  </si>
  <si>
    <t>LRT/PCB1704-0002</t>
  </si>
  <si>
    <t>PCB FOR MOTOR DRIVE MODULE BOARD - (HIGGS - 1704-0002)</t>
  </si>
  <si>
    <t>LRT/PCA1704-0002-1111</t>
  </si>
  <si>
    <t>MOTOR DRIVE MODULE BOARD - COMPONENTS COST</t>
  </si>
  <si>
    <t>BC33725TA</t>
  </si>
  <si>
    <t>TRANSISTOR BC337</t>
  </si>
  <si>
    <t>C322C474M5U5TA</t>
  </si>
  <si>
    <t>CAP CERAMIC 47NF-551009</t>
  </si>
  <si>
    <t>C32725</t>
  </si>
  <si>
    <t>TRANSISTOR</t>
  </si>
  <si>
    <t>IN4002</t>
  </si>
  <si>
    <t>DIODE IN4002</t>
  </si>
  <si>
    <t>ECAIHM101 CAPACITOR, 100UF, 50V</t>
  </si>
  <si>
    <t>E-CAP</t>
  </si>
  <si>
    <t>1412-13123-LRT</t>
  </si>
  <si>
    <t>DIODE IN4148 HIGH SPEED DO-35</t>
  </si>
  <si>
    <t>1311-04614-LRT</t>
  </si>
  <si>
    <t>1N4148 DO-35</t>
  </si>
  <si>
    <t>Small Signal Diode 100V 150mA 1V 4ns 2A</t>
  </si>
  <si>
    <t>9843817 (MPN914)</t>
  </si>
  <si>
    <t>DIODE SMALL SIGNAL</t>
  </si>
  <si>
    <t>FSM4JSMA -  (element : 3801305)</t>
  </si>
  <si>
    <t>SWITCH PUSHBUTTON TACTILE, .6SQUARE FSMJSMA SERIES, SURFACE MOUNT</t>
  </si>
  <si>
    <t>1712-37115-LRT</t>
  </si>
  <si>
    <t>CD74HC4067SM96</t>
  </si>
  <si>
    <t>IC MUX/DEMUX 1X16 24SSOP</t>
  </si>
  <si>
    <t>1510-19565-LRT</t>
  </si>
  <si>
    <t>61300311121-Element : 2356154)</t>
  </si>
  <si>
    <t>BOARD-TO-BOARD CONNECTOR, VERTICAL.</t>
  </si>
  <si>
    <t>1409-09975-LRT</t>
  </si>
  <si>
    <t>1N4728ATA</t>
  </si>
  <si>
    <t>DIODE ZENER 3.3V 1W DO41</t>
  </si>
  <si>
    <t>1-1825910-4</t>
  </si>
  <si>
    <t>Switch Tactile SPST-NO 0.05A 24V</t>
  </si>
  <si>
    <t>switch</t>
  </si>
  <si>
    <t>S22F355</t>
  </si>
  <si>
    <t>SAMSUNG 22" MONITOR</t>
  </si>
  <si>
    <t>PO1807-41337-LRT</t>
  </si>
  <si>
    <t>LRT/PCB 1510-0006 (4V041037A0)</t>
  </si>
  <si>
    <t>Airlink_Docking_LRTPCB1510_0006_15OCT2015_gerber_A ,4 layer,FR4 TG140,1.6+/- 0.16mm,35um,ENIG Unit Size : 118mm x 76.48mm Green solder mask, White silk screen Impedance</t>
  </si>
  <si>
    <t>DT100G3/16GB</t>
  </si>
  <si>
    <t>KINGSTON DATATRAVELER DT100 G3 16GB USB 3.0 PEN DRIVE</t>
  </si>
  <si>
    <t>LRT/PCB 1504-0026 R2</t>
  </si>
  <si>
    <t>6-Layer,EM BFT Board Fab REV4-8_EM_BFT_LRT-PCB1504-0026R2_Gerber PCB Size : 145.5mm x 265.5mm FR4 HTG175,0.8mm(+/-10%)thickness,Gpld Plating HARD GOLD,2-side solder mask,2-side silkscreen,1 Oz Copper. *Please control the width of gold finger to be in 0.32mm - 0.35mm (from spec is 0.35mm +/-0.4)*</t>
  </si>
  <si>
    <t>KVR400X64C347/512</t>
  </si>
  <si>
    <t>KINGSTONE ELECTRIC-REM</t>
  </si>
  <si>
    <t>ADEPTER</t>
  </si>
  <si>
    <t>M392B5273CHO-YH9</t>
  </si>
  <si>
    <t>HP</t>
  </si>
  <si>
    <t>HP 16Gb 2R x 4 PC3L 10600R DDR3 1333MHz ECC Registered Memory</t>
  </si>
  <si>
    <t>SAMSUNG ELECTRIC-REM</t>
  </si>
  <si>
    <t>57B3</t>
  </si>
  <si>
    <t>IBM HOLLEY CONVERSION BOARD</t>
  </si>
  <si>
    <t>PN0000029803</t>
  </si>
  <si>
    <t>AIRLINK DOCKING SIGNAL BOARD (AV0410337A0)</t>
  </si>
  <si>
    <t>AIRLINK DOCKING SIGNAL BOARD / LRT/PCB1510-0006</t>
  </si>
  <si>
    <t>1704-31578</t>
  </si>
  <si>
    <t>RK73H1ETTP2400F (MOUSER : 660-RK73H1ETTP2400F)</t>
  </si>
  <si>
    <t>Thick Film Resistors - SMD 1/16watts 240ohms 1%</t>
  </si>
  <si>
    <t>ERJ-3EKF2002V -(Elemeent : 2059432RL)</t>
  </si>
  <si>
    <t>PANASONIC ELECTRONIC COMPONENTS ERJ3EKF2002V Surface Mount Chip Resistor</t>
  </si>
  <si>
    <t>HVCB2512FDD60K0 - (Digikey : HVCB2512FDD60K0CT-ND</t>
  </si>
  <si>
    <t>RES SMD 60K OHM 1% 2W 2512</t>
  </si>
  <si>
    <t>PO1810-43313-LRT</t>
  </si>
  <si>
    <t>ERJ-3EKF1003V</t>
  </si>
  <si>
    <t>RES SMD 100K OHM 1% 1/10W 0603 (DIGIKEY : P100KHTR-ND)</t>
  </si>
  <si>
    <t>PO1607-26346-LRT</t>
  </si>
  <si>
    <t>C1608X5RIA106K080AC</t>
  </si>
  <si>
    <t>CAP,MLCC,X5R,10UF,10V,0603</t>
  </si>
  <si>
    <t>MMBT3904-7-F  (element 14 : 1773602RL)</t>
  </si>
  <si>
    <t>MMBT3904-7-F  BIPOLAR (BJT) SINGLE TRANSISTOR</t>
  </si>
  <si>
    <t xml:space="preserve">CD4051BM96 </t>
  </si>
  <si>
    <t>IC MUX/DEMUX 8X1 16SOIC</t>
  </si>
  <si>
    <t>PO1810-43314-LRT</t>
  </si>
  <si>
    <t>CD4051BM96 - ( Element : 2114003)</t>
  </si>
  <si>
    <t xml:space="preserve">UMK212BJ105KG-T </t>
  </si>
  <si>
    <t>ERJ-3EKF1372V (digikey code : P13.7KHTR-ND)</t>
  </si>
  <si>
    <t>RES SMD 13.7K OHM 1% 1/10W 0603</t>
  </si>
  <si>
    <t>TCTP1C106M8R - (Digikey : 511-1683-1-ND)</t>
  </si>
  <si>
    <t>CAP TANT 10UF 16V 20% 0805</t>
  </si>
  <si>
    <t>AOZ1021AI - (digikey : 785-1155-1-ND)</t>
  </si>
  <si>
    <t>IC REG BUCK ADJ 3A SYNC 8SOIC</t>
  </si>
  <si>
    <t xml:space="preserve">INTERGRATED CIRCUIT </t>
  </si>
  <si>
    <t>CDMC6D28NP-4R7MC</t>
  </si>
  <si>
    <t>Fixed Inductors 4.7uH 5.4A SHLD</t>
  </si>
  <si>
    <t>LTF4022T-150M-D - (Digikey : 445-16203-1-ND)</t>
  </si>
  <si>
    <t>FIXED IND 15UH 1A 260 MOHM SMD</t>
  </si>
  <si>
    <t>FIXED IND 15UH 1A 260 MOHM SMD (DIGIKEY CODE :445-16203-1-ND)</t>
  </si>
  <si>
    <t>PO1810-43232-LRT</t>
  </si>
  <si>
    <t>C1206C685K4RACTU - (Element : 2522525)</t>
  </si>
  <si>
    <t>CAP CER 6.8UF 16V X7R 1206</t>
  </si>
  <si>
    <t>TCTP1A226M8R</t>
  </si>
  <si>
    <t>CAP TANT 22UF 10V 20% 0805</t>
  </si>
  <si>
    <t>ERJ-1TNF1001U</t>
  </si>
  <si>
    <t>RES SMD 1K OHM 1% 1W 2512 (ELEMENT : 2324099RL)</t>
  </si>
  <si>
    <t>PO1807-41774-LRT</t>
  </si>
  <si>
    <t>RES SMD 1K OHM 1% 1W 2512 - (Digikey : PT1.00KAFCT-ND)</t>
  </si>
  <si>
    <t>PO1808-42062-LRT</t>
  </si>
  <si>
    <t>ERJ-S1T0R00U / RC2512JK-070RL</t>
  </si>
  <si>
    <t>RES SMD 0.0 OHM JUMPER 1W 2512</t>
  </si>
  <si>
    <t>PO1804-39935-LRT</t>
  </si>
  <si>
    <t>GRM155R71C104JA88D</t>
  </si>
  <si>
    <t>CAP CER 0.1UF 16V 5% X7R 0402</t>
  </si>
  <si>
    <t>1803-38711-LRT</t>
  </si>
  <si>
    <t>TS-160608017</t>
  </si>
  <si>
    <t>24V POWER MODULE WITH 4 USB PORT</t>
  </si>
  <si>
    <t>1606-25412-LRT</t>
  </si>
  <si>
    <t>LM27313XMF/NOPB</t>
  </si>
  <si>
    <t>VOLTAGE REGULATORS - SWITCHING REGULATORS  1.6 MHZ BOOST CONVERTER</t>
  </si>
  <si>
    <t>1512-20522-LRT</t>
  </si>
  <si>
    <t>SMBJ5-0A-E3/52 (6287</t>
  </si>
  <si>
    <t>TVS DIODES TRANSIENT</t>
  </si>
  <si>
    <t>RESISTOR THICK FILM</t>
  </si>
  <si>
    <t>RESISTOR THICK FILM OR 5% 0.125W</t>
  </si>
  <si>
    <t>CERAMIC DIELECTRI</t>
  </si>
  <si>
    <t>PO1512-20940-LRT</t>
  </si>
  <si>
    <t>5920158X06R3R2T20H</t>
  </si>
  <si>
    <t>RESISTOR 1500UF 6.3V 20%</t>
  </si>
  <si>
    <t>1500uf 6.3V 20%</t>
  </si>
  <si>
    <t>SML-310MTT86 (MOUSER : 755-SML-310MTT86)</t>
  </si>
  <si>
    <t>SML-310MTT86</t>
  </si>
  <si>
    <t>ROHM Semiconductor</t>
  </si>
  <si>
    <t>Standard LED-SMD Green SMD Transparent Lens</t>
  </si>
  <si>
    <t>LED GREEN 10MCD 2MM</t>
  </si>
  <si>
    <t>8531 20 0000</t>
  </si>
  <si>
    <t>ERJ8GEY473V</t>
  </si>
  <si>
    <t>RESISTOR 1206 47K F% 1.25W</t>
  </si>
  <si>
    <t>TPD6E004RSER (digikey : 296-23619-6-ND)</t>
  </si>
  <si>
    <t>TVS DIODE</t>
  </si>
  <si>
    <t>TVS DIODE 80 FN</t>
  </si>
  <si>
    <t>PO1512-20853-LRT</t>
  </si>
  <si>
    <t>RK73H1ETTP10R0F (MOUSER : 660-RK73H1ETTP10R0F)</t>
  </si>
  <si>
    <t>1/16W 10 OHM 1%</t>
  </si>
  <si>
    <t>LRT/PCB0806-1009 REV02</t>
  </si>
  <si>
    <t>PCIEXI/MPCIE PRJ5</t>
  </si>
  <si>
    <t>CONN ISDC SKT 34 POS, 15 GOLD</t>
  </si>
  <si>
    <t>CONN HEADER 34 POS, 100 VERT GOLD</t>
  </si>
  <si>
    <t>CONN HEADER 16 POS, 100 VERT GOLD</t>
  </si>
  <si>
    <t>571-1-282834-0</t>
  </si>
  <si>
    <t>FIXED TERMINAL BLOCK 10P S/E 2.54MM GRN (1-282834-0)</t>
  </si>
  <si>
    <t>1412-13051-LRT</t>
  </si>
  <si>
    <t>649-68021-412HLF</t>
  </si>
  <si>
    <t>HEADERS &amp; WIRE HOUSINGS 12P SR UNSHRD HRD TIN OVER NI (68021-412HLF)</t>
  </si>
  <si>
    <t>PBC20DFCN</t>
  </si>
  <si>
    <t>CONN HEADER .100 DUAL STR 40POS</t>
  </si>
  <si>
    <t>1510-19706-LRT</t>
  </si>
  <si>
    <t>WM4115-ND</t>
  </si>
  <si>
    <t>CONN HEADER 6POS .100 VERT TIN</t>
  </si>
  <si>
    <t>1510-14409-LRT</t>
  </si>
  <si>
    <t>571-647676-4</t>
  </si>
  <si>
    <t>HEADER &amp; WIRE HOUSING 032 EURO TYP B REC AP ASSY (647676-4)</t>
  </si>
  <si>
    <t>08-50-0032</t>
  </si>
  <si>
    <t>KK® CAT EAR CRIMP TERMINAL 4809, 22-30 AWG, HOT TIN, BAG</t>
  </si>
  <si>
    <t>JUMPER</t>
  </si>
  <si>
    <t>JUMPER OPEN YELLOW</t>
  </si>
  <si>
    <t>LRT/PCB1108-3104 REV</t>
  </si>
  <si>
    <t>EDGE MINI CARD-PRJ1-2</t>
  </si>
  <si>
    <t>LRT/PCB0806-1007 REV03</t>
  </si>
  <si>
    <t>POGO BLOCK TOP &amp; BOTTOM PRJ3-4</t>
  </si>
  <si>
    <t>CRCW060310K0FKE</t>
  </si>
  <si>
    <t>CHIP RESISTOR 0603 10K OHM</t>
  </si>
  <si>
    <t>SN74LVC32APWR</t>
  </si>
  <si>
    <t>OR GATE, 74LVC32, 2 INPUT, 24 MA, 1.65 V TO 3.6 V, TSSOP-14</t>
  </si>
  <si>
    <t>SIERRA WIRELESS</t>
  </si>
  <si>
    <t>LRT/PCA1507-0016R2-1111</t>
  </si>
  <si>
    <t>REV4.8 TRANSFER BOARD MODEL MC XC/CONFLY</t>
  </si>
  <si>
    <t>po1810-43781lrt</t>
  </si>
  <si>
    <t>LRT/PCA1504-0027R2-1111</t>
  </si>
  <si>
    <t>Rev4.8 model : EM XC/Confly Transfer Board</t>
  </si>
  <si>
    <t>PO1810-43776LRT</t>
  </si>
  <si>
    <t>LRT/PCA1504-0026R2-1111</t>
  </si>
  <si>
    <t>EM BFT Transfer Board Rev2.0</t>
  </si>
  <si>
    <t>PO1810-43717LRT</t>
  </si>
  <si>
    <t>LRT/PCA1804-0032-1111</t>
  </si>
  <si>
    <t>HL RF Transfer Board Rev 3</t>
  </si>
  <si>
    <t>HL RF Transfer Board Rev 3 (RED)</t>
  </si>
  <si>
    <t>PO1808-41960LRT</t>
  </si>
  <si>
    <t>0402</t>
  </si>
  <si>
    <t>Resister</t>
  </si>
  <si>
    <t>Respon2</t>
  </si>
  <si>
    <t>GRM1555C1H1R0CA01D (element code : 2218842 RL)</t>
  </si>
  <si>
    <t>MURATA GRM1555C1H1R0CA01D SMD Multilayer Ceramic Capacitor, GRM Series, 1 pF, ± 0.25pF, C0G / NP0, 50 V, 0402 [1005 Metric]</t>
  </si>
  <si>
    <t>PO1604-24011LRT</t>
  </si>
  <si>
    <t>0805ZC225MAT2A (mouser : 581-0805ZC225MAT2A)</t>
  </si>
  <si>
    <t>Multilayer Ceramic Capacitors MLCC - SMD/SMT 2.2UF 10V 20%</t>
  </si>
  <si>
    <t>660-RK73B1ETTP104J</t>
  </si>
  <si>
    <t>Thick Film Resistors-SMD 1/16watt 100Kohms 5% (RK73B1ETTP104J)</t>
  </si>
  <si>
    <t>PO1505-15795-LRT</t>
  </si>
  <si>
    <t>GRM188R61A475KE15D (element 14 : 2362098)</t>
  </si>
  <si>
    <t>MURATA GRM188R61A475KE15D SMD Multilayer Ceramic Capacitor, GRM Series, 4.7 µF, ± 10%, X5R, 10 V, 0603 [1608 Metric]</t>
  </si>
  <si>
    <t>PO1512-20611-LRT</t>
  </si>
  <si>
    <t>DMN2075U-7 (MOUSER : 621-DMN2075U-7)</t>
  </si>
  <si>
    <t>MOSFET N-Ch -20V VDSS Enchanced Mosfet</t>
  </si>
  <si>
    <t>RC0603FR-071ML</t>
  </si>
  <si>
    <t>YAGEO AMERICA CORPORATION 0603, 1% 1 MEG (RC0603FR-071ML)</t>
  </si>
  <si>
    <t>GRM1555C1H270JA01D (mouser code : 81-GRM1555C1H270JA1D)</t>
  </si>
  <si>
    <t>Multilayer Ceramic Capacitors MLCC - SMD/SMT 0402 27pF 50volts C0G 5%</t>
  </si>
  <si>
    <t>GRM1885C1H101JA01JD</t>
  </si>
  <si>
    <t>Capacitor 100pf 50v 0603</t>
  </si>
  <si>
    <t>GRM155R61A105KE15D (element : 1735523RL)</t>
  </si>
  <si>
    <t>MURATA GRM155R61A105KE15D SMD Multilayer Ceramic Capacitor, GRM Series, 1 µF, ± 10%, X5R, 10 V, 0402 [1005 Metric]</t>
  </si>
  <si>
    <t>RK73H1JTTD4024F (mouser : 660-RK73H1JTTD4024F )</t>
  </si>
  <si>
    <t>Thick Film Resistors - SMD 1/10watts 4.02Mohms</t>
  </si>
  <si>
    <t>PO1601-21696-LRT</t>
  </si>
  <si>
    <t>BLM15AX601SN1D (MOUSER CODE : 81-BLM15AX601SN1D )</t>
  </si>
  <si>
    <t>EMI Filter Beads, Chips &amp; Arrays 0402 600ohms</t>
  </si>
  <si>
    <t>660-RK73H1ETTP1500F</t>
  </si>
  <si>
    <t>Thick Film Resistors-SMD 1/16watts 150ohms 1% (RK73H1ETTP1500F)</t>
  </si>
  <si>
    <t>XC6221A282MR-G</t>
  </si>
  <si>
    <t>IC REG LDO 2.8V 0.2A SOT25</t>
  </si>
  <si>
    <t>XC61HC1612MR-G</t>
  </si>
  <si>
    <t>IC, VOLTAGE DETECTOR, CMOS, LOW POWER, 1.6-6V, 2%, SOT23-3, 2.9x1.6x1.3mm</t>
  </si>
  <si>
    <t>PO1510-19315-LRT</t>
  </si>
  <si>
    <t>C0603C104K5RACTU (RS : 801-5347P)</t>
  </si>
  <si>
    <t>Kemet 0603 C 100nF Ceramic Multilayer Capacitor, 50 V, +125°C, X7R Dielectric, ±10%</t>
  </si>
  <si>
    <t>PO1512-20982-LRT</t>
  </si>
  <si>
    <t>SN74LVC1G07DCKR (mouser code : 595-SN74LVC1G07DCKR )</t>
  </si>
  <si>
    <t>Buffers &amp; Line Drivers Single w/ OD</t>
  </si>
  <si>
    <t>C0402C101J5GACTU</t>
  </si>
  <si>
    <t>GRM188R60J106ME47D</t>
  </si>
  <si>
    <t>MURATA GRM188R60J106ME47D</t>
  </si>
  <si>
    <t>PO1511-19964-LRT</t>
  </si>
  <si>
    <t>RC0402FR-0736RL (ELEMENT 14 CODE : 1458785RL)</t>
  </si>
  <si>
    <t>YAGEO (PHYCOMP)  RC0402FR-0736RL  Surface Mount Chip Resistor</t>
  </si>
  <si>
    <t>PO1510-19343-LRT</t>
  </si>
  <si>
    <t>660-RK73H1ETTP36R0F</t>
  </si>
  <si>
    <t>THICK FILM RESISTORS</t>
  </si>
  <si>
    <t>RC0603JR-071K5L</t>
  </si>
  <si>
    <t>YAGEO AMERICA CORPARATION</t>
  </si>
  <si>
    <t>LRT-PCB1512-0009RB</t>
  </si>
  <si>
    <t>6-Layer,AR_Digital_1512_0009_REVB</t>
  </si>
  <si>
    <t>LRT/PCB1507-0019R2</t>
  </si>
  <si>
    <t>MC BFT BOARD</t>
  </si>
  <si>
    <t>1608-0021</t>
  </si>
  <si>
    <t>6 LAYER REV48-AR8652-DIGITAL</t>
  </si>
  <si>
    <t>INSULATOR</t>
  </si>
  <si>
    <t>1610-28546-LRT</t>
  </si>
  <si>
    <t>LRT/PCB 1509-0011</t>
  </si>
  <si>
    <t>HL RF/CONFLG SOCKET BOARD - OLD CODE : LRT/PCB 1505-0005 REV 2</t>
  </si>
  <si>
    <t>HL RF/CONFLG SOCKET BOARD - OLD CODE : LRT/PCB 1505-0005 REV 2 4-LAYER FR4 TG170,1.6+/-0.16MM,18UMM,ENIG PANEL SIZE : 265.5 X 140MM GREEN SOLDER MASK,WHITE SILK SCREEN  IMPEDANCE CONTROL NORMAL MODE : 10EDS</t>
  </si>
  <si>
    <t>1603-23559-LRT</t>
  </si>
  <si>
    <t>LRT/PCB1506-0047</t>
  </si>
  <si>
    <t>USB 3.0 CARD</t>
  </si>
  <si>
    <t>USB3.0 STRAIGHT</t>
  </si>
  <si>
    <t>LRT/PCB1507-0016 REV 0</t>
  </si>
  <si>
    <t>REV3.8 MC RF CONFIG REV 0</t>
  </si>
  <si>
    <t>LRT-PCB1504-0027R2</t>
  </si>
  <si>
    <t>4-Layer REV4.8_Transfer_EM_XC-Conflg_LRT-PCB1504-0027R2_</t>
  </si>
  <si>
    <t>1701-30079-LRT</t>
  </si>
  <si>
    <t>LRT/PCB1604-0002 REV B</t>
  </si>
  <si>
    <t>AIRLINK CAYANNE (MP70) BFT</t>
  </si>
  <si>
    <t>LRT/PCB1509-0012R2</t>
  </si>
  <si>
    <t>REV 4.8 HL  DIGITAL (BFT) REV2.0 TRANSFER BOARD</t>
  </si>
  <si>
    <t>1712-36921-LRT</t>
  </si>
  <si>
    <t>PN-0000029184</t>
  </si>
  <si>
    <t>PCB for Rev4.8 Model : HL XC/Conflg Transfer Board Rev2.0</t>
  </si>
  <si>
    <t>1712-36996-LRT</t>
  </si>
  <si>
    <t>JLC6305</t>
  </si>
  <si>
    <t>DB15 INTERFACE BOARD</t>
  </si>
  <si>
    <t>PN-0000028831</t>
  </si>
  <si>
    <t>PCB for DB15 IO BOARD - 2 Layer,FR4 TG140,1.6mm,35UM,ENIG Unit Size : 60x45mm , Blue solder mask,white silk screen</t>
  </si>
  <si>
    <t>LRT/PCB1704-0205</t>
  </si>
  <si>
    <t>INTERFACE BOARD RS232</t>
  </si>
  <si>
    <t>LRT/PCB1803-0877</t>
  </si>
  <si>
    <t>DOUBLE SIDE PCB~MODEL : POGO II REV 10.1-CONTROL CARD-COMLETE SOLDER)</t>
  </si>
  <si>
    <t>DOUBLE SIDE PCB~MODEL : POGO II REV 10.1-CONTROL CARD COMPLETE SOLDER</t>
  </si>
  <si>
    <t>PCB1803-0877-LRT</t>
  </si>
  <si>
    <t>LRT/PCB1707-0016</t>
  </si>
  <si>
    <t>CASSETTE LOADER I/O BOARD</t>
  </si>
  <si>
    <t>LRT/PCB1707-0019</t>
  </si>
  <si>
    <t>CHAMBER CONTROLLER I/O BOARD</t>
  </si>
  <si>
    <t>LRT/PCB1707-0015</t>
  </si>
  <si>
    <t>CASSETTE LOADER CONTROLLER BOARD</t>
  </si>
  <si>
    <t>LRT/PCB1707-0017</t>
  </si>
  <si>
    <t>FAILURE OUTPUT MODULE CONTROLLER BOARD</t>
  </si>
  <si>
    <t>TS-18111030</t>
  </si>
  <si>
    <t>DB9 FEMALE BOARD TERMINAL WITH HOUSING</t>
  </si>
  <si>
    <t>DB9 FEMALE TERMINAL WITH HOUSING</t>
  </si>
  <si>
    <t>TS-17297029</t>
  </si>
  <si>
    <t>DB15 FEMALE BOARD TERMINAL WITH HOUSING</t>
  </si>
  <si>
    <t>VERO BOARD 64MM X 145MM</t>
  </si>
  <si>
    <t>VERO BOARD 64MM X 145MM -BARE BOARD</t>
  </si>
  <si>
    <t>0068-0001</t>
  </si>
  <si>
    <t>PS2 CONN 6 PIN</t>
  </si>
  <si>
    <t>PS2 CONN 6 PIN-4850-260</t>
  </si>
  <si>
    <t>1606-257740-LRT</t>
  </si>
  <si>
    <t>WP3A8HD</t>
  </si>
  <si>
    <t>LED RED 3MM</t>
  </si>
  <si>
    <t>LED RED 3MM-660542</t>
  </si>
  <si>
    <t>1708-34625-LRT</t>
  </si>
  <si>
    <t>9B-6.000MAAJ-B</t>
  </si>
  <si>
    <t>CRYSTAL OSCILATOR 6MHZ</t>
  </si>
  <si>
    <t>CRYSTAL OSCILATOR 6MHZ-330504</t>
  </si>
  <si>
    <t>1702-30245-LRT</t>
  </si>
  <si>
    <t>WP3A8GD</t>
  </si>
  <si>
    <t>LED GREEN 3MM</t>
  </si>
  <si>
    <t>LED GREEN 3MM-660543</t>
  </si>
  <si>
    <t>RC0805-JR-070RL</t>
  </si>
  <si>
    <t>SMD CHIP RESISTOR 0805 0 OHM</t>
  </si>
  <si>
    <t>SMD CHIP RESISTOR 0805 0 OHM IE: 990666</t>
  </si>
  <si>
    <t>9B-8.000MAAJ-B</t>
  </si>
  <si>
    <t>CRYSTAL OSCILATOR 8MHZ</t>
  </si>
  <si>
    <t>Crystal Oscilator 8Mhz - (IE : 330506)</t>
  </si>
  <si>
    <t>25PX100MRFC5X11</t>
  </si>
  <si>
    <t>E-CAP 100UF 25V</t>
  </si>
  <si>
    <t>E-CAP 100UF 25V -551230</t>
  </si>
  <si>
    <t>1705-32235-LRT</t>
  </si>
  <si>
    <t>C320C104K5R5TA7301</t>
  </si>
  <si>
    <t>MULTILAYER CAPACITOR 104NF</t>
  </si>
  <si>
    <t>MULTILAYER CAP 0.1UF 50V-551004</t>
  </si>
  <si>
    <t>CERAMIC DIELECTRIC</t>
  </si>
  <si>
    <t>1611-28787-LRT</t>
  </si>
  <si>
    <t>MULTILAYER CAP 0.1UF 50V</t>
  </si>
  <si>
    <t>DISTRIBUTION CARD COMPLETE SOLDER</t>
  </si>
  <si>
    <t>LRT/PCB 1504-0011 (P/N : 4V041022A0)</t>
  </si>
  <si>
    <t>INNER POWER BOARD FOR EM/MC</t>
  </si>
  <si>
    <t>PO1702-30371-LRT</t>
  </si>
  <si>
    <t>LRT/PCB1504-0011</t>
  </si>
  <si>
    <t>LRT/PCB 1504-0010 Rev B</t>
  </si>
  <si>
    <t>REV 3.8 INNER USB 3.0 BOARD REV B</t>
  </si>
  <si>
    <t>LRT/PCB1507-0016R2</t>
  </si>
  <si>
    <t>REV4.8 MODEL : MC XC/CONFLG TRANFER</t>
  </si>
  <si>
    <t>PO1803-38842-LRT</t>
  </si>
  <si>
    <t>LRT/PCB1512-0008R2</t>
  </si>
  <si>
    <t>WP BFT Transfer Board Rev2.0</t>
  </si>
  <si>
    <t>PO1712-36959-LRT</t>
  </si>
  <si>
    <t>LRT/PCA1512-0008R2-1111</t>
  </si>
  <si>
    <t>WP BFT TRANSFER BOARD REV2.0</t>
  </si>
  <si>
    <t>PO1903-46675-LRT</t>
  </si>
  <si>
    <t>LRT/PCB 1510-0042R2</t>
  </si>
  <si>
    <t>1510-0042R-LRT</t>
  </si>
  <si>
    <t>LRT/PCB1512-0008</t>
  </si>
  <si>
    <t>WP BFT BOARD REV 1</t>
  </si>
  <si>
    <t>1512-0008-LRT</t>
  </si>
  <si>
    <t>LRT/PCB1507-0019 REV-A</t>
  </si>
  <si>
    <t>MC BFT TRANSFER BOARD</t>
  </si>
  <si>
    <t>LRT/PCB1507-0019 REV A</t>
  </si>
  <si>
    <t>LRT/PCB1504-0027 REV 0</t>
  </si>
  <si>
    <t>EM RF CONFIG REV 0</t>
  </si>
  <si>
    <t>LRT/PCB1504-0026 REVB</t>
  </si>
  <si>
    <t>REV3.8 EM BFT TRANSFER BOARD-OLD PCB NO LOGO</t>
  </si>
  <si>
    <t>LRT/PCB1504-0026 REV B</t>
  </si>
  <si>
    <t>LRT/PCB 1504-0027 REV0</t>
  </si>
  <si>
    <t>i/o connector</t>
  </si>
  <si>
    <t>I/O CONNECTOR BOARD FOR CHAMBER CONTROLLER</t>
  </si>
  <si>
    <t>8WAY R/A</t>
  </si>
  <si>
    <t>8WAY CONN R/A FOR AIRLINK DOCKING</t>
  </si>
  <si>
    <t>USB CONNECTOR</t>
  </si>
  <si>
    <t xml:space="preserve">USB CONNECTOR TYPR A </t>
  </si>
  <si>
    <t>FSM4JSMA (element : 3801305)</t>
  </si>
  <si>
    <t>TSM-107-01-T-DV</t>
  </si>
  <si>
    <t>SAMTEK - TSM SERIES SMT DV - HEADER 2.54</t>
  </si>
  <si>
    <t>61300311121 - (Element : 2356154)</t>
  </si>
  <si>
    <t>BOARD-TO-BOARD CONNECTOR, VERTICAL, 2.54 MM</t>
  </si>
  <si>
    <t>LRT/PCB1202-0048</t>
  </si>
  <si>
    <t>8 CHANNEL RELAY BOARD</t>
  </si>
  <si>
    <t>LRT/PCB1308-0061</t>
  </si>
  <si>
    <t>NGFF BOARD</t>
  </si>
  <si>
    <t>INCHES</t>
  </si>
  <si>
    <t>LRT_PCB1407-0079</t>
  </si>
  <si>
    <t>CAM FOR LRT_PCB1407-0079</t>
  </si>
  <si>
    <t>LRT/PCB1407-0079</t>
  </si>
  <si>
    <t>BLUE CABLE BRIDGE CARD</t>
  </si>
  <si>
    <t>2V023015A0 (LRT/PCB</t>
  </si>
  <si>
    <t>20 WAY PCB</t>
  </si>
  <si>
    <t>LRT/PCB1308-0003</t>
  </si>
  <si>
    <t>MESSI NGFF</t>
  </si>
  <si>
    <t>REV3.8 MC BFT TRANSFER CARD</t>
  </si>
  <si>
    <t>CONYROLLER CARD</t>
  </si>
  <si>
    <t>CAM FOR MODULE 220212</t>
  </si>
  <si>
    <t>PO 2012-04-14</t>
  </si>
  <si>
    <t>MODULE 230312</t>
  </si>
  <si>
    <t>PO2102-04-14</t>
  </si>
  <si>
    <t>MAIN PO312</t>
  </si>
  <si>
    <t>LRT-PCB 1507-0012R2</t>
  </si>
  <si>
    <t>PCB ASSEMBLY SERVICE ,REV3.8 WP RF/CONFLG TRANSFER REV2</t>
  </si>
  <si>
    <t>PCB Assembly Service ,Rev3.8 WP RF/Conflg Transfer</t>
  </si>
  <si>
    <t>1704-31192-LRT</t>
  </si>
  <si>
    <t>AV041014OA</t>
  </si>
  <si>
    <t>LRT/PCB1504-0011-HL ONLY</t>
  </si>
  <si>
    <t>1712-36955-LRT</t>
  </si>
  <si>
    <t>LRT/PCB 1507-0010R3</t>
  </si>
  <si>
    <t>WP RF /CONFLG TRANSFER BOARD REV3</t>
  </si>
  <si>
    <t>LRT/PCB 1512-0019 ( P/N : 4V041014A0)</t>
  </si>
  <si>
    <t>FWP_RF_1507_0010_05Jan2016_FabB_gbr 4-layer,FR4 TG140,1.6+/-0.16mm35UM</t>
  </si>
  <si>
    <t>1701-29894-LRT</t>
  </si>
  <si>
    <t>LRT/PCB1510-0026</t>
  </si>
  <si>
    <t>REV4.5 CONTROLLER TO VERTICAL LINK BOARD STACKER LEFT</t>
  </si>
  <si>
    <t>LRT/PCB1510-0036</t>
  </si>
  <si>
    <t>REV4.8 AIRLINK DOCKING BOARD STACKER RIGHT 4</t>
  </si>
  <si>
    <t>LRT/PCB 1508-0052</t>
  </si>
  <si>
    <t xml:space="preserve">PN:REV4.0 Vertical Link Board (Stacker/Left-4) </t>
  </si>
  <si>
    <t>1704-31191-LRT</t>
  </si>
  <si>
    <t>LRT/PCB 1508-0049</t>
  </si>
  <si>
    <t>LRT/PCB 1508-0051</t>
  </si>
  <si>
    <t>PN:REV4.0 Vertical Link Board (Stacker/Left-3),2 layer</t>
  </si>
  <si>
    <t>LRT/PCB 1508-0050</t>
  </si>
  <si>
    <t>PN:REV4.0 Vertical Link Board (Stacker/Left-2), 2 layer</t>
  </si>
  <si>
    <t>LRT/PCB1510-0035</t>
  </si>
  <si>
    <t>REV4.8 AIRLINK DOCKING BOARD STACKER RIGHT 3</t>
  </si>
  <si>
    <t>CONN, 12 PIN, SD -  500998-0900 - (MOUSER : 538-500998-0900_</t>
  </si>
  <si>
    <t>1707-33663-LRT</t>
  </si>
  <si>
    <t>503960-0694 (element : 2291157)</t>
  </si>
  <si>
    <t>503960-0694  CONNECTOR, MICRO SIM, PUSH PUSH MOLEX</t>
  </si>
  <si>
    <t>1512-20942-LRT</t>
  </si>
  <si>
    <t>SCDAAA0100 (mouser : 688-SCDAAA0100</t>
  </si>
  <si>
    <t>MEMORY CARD CONNECTORS PUSH-PUSH CARD CONNECTORS SD</t>
  </si>
  <si>
    <t>1512-20941-LRT</t>
  </si>
  <si>
    <t>SIM2070-6-0-30-00-A</t>
  </si>
  <si>
    <t>SIM RETAINER, 6P, SMT, 3.44MM PROF, NO PEG, W/NC SWITCH, T&amp;R</t>
  </si>
  <si>
    <t>1504-15417-LRT</t>
  </si>
  <si>
    <t>FMS008-6000-0</t>
  </si>
  <si>
    <t>CONN, 10 PIN, SIM CARD SOCKET, PUSH/PUSH, DETECT SWITCH, 27.9x18.7x1.5mm</t>
  </si>
  <si>
    <t>1605-25236-LRT</t>
  </si>
  <si>
    <t>CCM03-3013LFT R102 (DIGIKEY : 401-1722-6-ND)</t>
  </si>
  <si>
    <t>CONN SIM/SAM CARD HINGED TYPE</t>
  </si>
  <si>
    <t>1512-20944-LRT</t>
  </si>
  <si>
    <t>STPS34Ou</t>
  </si>
  <si>
    <t>DIODE, SCHOTTKY-3A-40V-SMB</t>
  </si>
  <si>
    <t>ERJ-3EKF1001V</t>
  </si>
  <si>
    <t>Thick Film-SMD 0603 1Kohms 1% Tol (ERJ-3EKF1001V)</t>
  </si>
  <si>
    <t>GCM188R7IC104KAA37D</t>
  </si>
  <si>
    <t>MULTILAYER CERAMIC CAPACITOR MLCC-SMD/SMT</t>
  </si>
  <si>
    <t xml:space="preserve"> SINGLE LAYER</t>
  </si>
  <si>
    <t>C0603C104K8RACTU</t>
  </si>
  <si>
    <t>Kemet</t>
  </si>
  <si>
    <t>Capacitor Ceramic 0.1uF 10V X7R 0603</t>
  </si>
  <si>
    <t>SMD MULTILAYER CERAMIC CAPACITOR, C SERIES,</t>
  </si>
  <si>
    <t>LRT/FIX1408-0010</t>
  </si>
  <si>
    <t>RJ45 CONNECTOR BOARD-LAN PCB</t>
  </si>
  <si>
    <t>DC JACK BOARD</t>
  </si>
  <si>
    <t>PCB-DC LEFT&amp;RIGHT</t>
  </si>
  <si>
    <t>PCB1408-0010</t>
  </si>
  <si>
    <t>USB BOARD ( USE CONN 292303-1)</t>
  </si>
  <si>
    <t>DB9 BOARD LEFT /RIGHT</t>
  </si>
  <si>
    <t>VERO</t>
  </si>
  <si>
    <t>VERO BOARD</t>
  </si>
  <si>
    <t>VER 7.0</t>
  </si>
  <si>
    <t>DOUBLE SIDE PCB MANUAL CONSULE</t>
  </si>
  <si>
    <t>LRT/PCB0904-1279 REV 1</t>
  </si>
  <si>
    <t>TOQM EDGE CARD REV 1-SOCKET SAVER</t>
  </si>
  <si>
    <t>34mm x 55mm</t>
  </si>
  <si>
    <t>MALTA BOARD MTL RE4,2-LAYER,1.6MM,1/1OZ &amp; ENIG (SIZE : 34 X 55MM)</t>
  </si>
  <si>
    <t>1605-25238-LRT</t>
  </si>
  <si>
    <t>LRT/PCB0904-1279</t>
  </si>
  <si>
    <t>MC TOQM EDGE CARD</t>
  </si>
  <si>
    <t>MC TOQM EDGE CARD-OLD REV</t>
  </si>
  <si>
    <t>1309-03707-LRT</t>
  </si>
  <si>
    <t>PN-0000029040</t>
  </si>
  <si>
    <t>GEMSTONE PCB / INTERFACE CARD (PN-0000029040)</t>
  </si>
  <si>
    <t>PCB FOR UNIVERSAL INTERFACE BOARD (GEMSTONE BACKPLANE)</t>
  </si>
  <si>
    <t>65mmx70mm</t>
  </si>
  <si>
    <t>VISA CARD BOARD</t>
  </si>
  <si>
    <t>LRT/PCB1001-1817</t>
  </si>
  <si>
    <t>MODEM 4X RELAY BOARD</t>
  </si>
  <si>
    <t>101-0004</t>
  </si>
  <si>
    <t>MAIN INTERFACE BOARD BCUII SAC MAIN</t>
  </si>
  <si>
    <t>AAA-PCI-049-K01</t>
  </si>
  <si>
    <t>MPCIE LOTUS CONNECTOR FOR HALF MINICARD SOCKET SAVER( PCB1278)</t>
  </si>
  <si>
    <t>MPCIE LOTUS CONNECTOR</t>
  </si>
  <si>
    <t>PO1809-42992-LRT</t>
  </si>
  <si>
    <t>LRT/PCA0904-1278-1111</t>
  </si>
  <si>
    <t>HALF MINI CARD SPCKET SAVER</t>
  </si>
  <si>
    <t>PO1810-43427-LRT</t>
  </si>
  <si>
    <t>LRT/PCB1511-0020-B</t>
  </si>
  <si>
    <t>ep-0516b</t>
  </si>
  <si>
    <t>POWER BOARD</t>
  </si>
  <si>
    <t>TST-035FP-01A-P</t>
  </si>
  <si>
    <t>11402AP23-18</t>
  </si>
  <si>
    <t>RJ45 BOARD CONNECTOR BLACK</t>
  </si>
  <si>
    <t>JLC6076-1</t>
  </si>
  <si>
    <t>RJ45 BOARD</t>
  </si>
  <si>
    <t>PN-0000028751</t>
  </si>
  <si>
    <t>PCB FOR STACKER SENSOR BOARD - (RICHLYTON : PCBA 1504-0009)</t>
  </si>
  <si>
    <t>PCB for Stacker Sensor Board - (Richlyton : PCBA 1504-0009)</t>
  </si>
  <si>
    <t>1803-38705-LRT</t>
  </si>
  <si>
    <t>G2RL-2 5DC</t>
  </si>
  <si>
    <t>RIES, POWER, NON LATCHING, DPDT, 5 VDC, 8 A (ELEMENT CODE: 9950168)</t>
  </si>
  <si>
    <t>PO1810-43345-LRT</t>
  </si>
  <si>
    <t>ERJ-3EKF3571V - (Element : 2059364RL)</t>
  </si>
  <si>
    <t>SMD CHIP RESISTOR, 3.57 KOHM, ERJ3E SERIES, 75 V, THICK FILM, 0603 [1608 METRIC], 100 MW</t>
  </si>
  <si>
    <t>ERJ-3EKF1301V - (Digikey : P1.30KHCT-ND)</t>
  </si>
  <si>
    <t>RES SMD 1.3K OHM 1% 1/10W 0603</t>
  </si>
  <si>
    <t>MPC506AU (digikey code : MPC506AU-ND)</t>
  </si>
  <si>
    <t>571-1-5747871-4</t>
  </si>
  <si>
    <t xml:space="preserve">D-SUB STANDARD CONNECTORS PLUG FRNT MTL SHL 9P FEMALE SCREWLOCKS </t>
  </si>
  <si>
    <t>RESISTORS</t>
  </si>
  <si>
    <t>1412-13037-LRT</t>
  </si>
  <si>
    <t>571-2-5747704-0</t>
  </si>
  <si>
    <t>D-Sub Standard Connectors DSUS B25P V/MNT (2-5747704-0)</t>
  </si>
  <si>
    <t>571-5747150-7</t>
  </si>
  <si>
    <t>D-SUB STANDARD CONNECTORS RECP FRNT MTL SHL 9P THREADED INSERT</t>
  </si>
  <si>
    <t>G2RL-2 DC5 (digikey code : Z3087-ND)</t>
  </si>
  <si>
    <t>RELAY GENERAL PURPOSE DPDT 8A 5V</t>
  </si>
  <si>
    <t>G2RL-2 DC5 - (Digikey  : Z3087-ND)</t>
  </si>
  <si>
    <t>2 WAY SPST SIP SWITCH</t>
  </si>
  <si>
    <t>1505-15792-LRT</t>
  </si>
  <si>
    <t>DDTD122LU-7- F - (Digikey : DDTD122LU-FDICT-ND)</t>
  </si>
  <si>
    <t>TRANS PREBIAS NPN 200MW SOT323</t>
  </si>
  <si>
    <t>INTERGRATED CIRCUIT</t>
  </si>
  <si>
    <t>68602-220HLF (element 14 code : 1918028 )</t>
  </si>
  <si>
    <t>FCI 68602-220HLF BOARD TO BOARD, HEADER, 20 POSITION, 2ROW</t>
  </si>
  <si>
    <t>1709-35092-LRT</t>
  </si>
  <si>
    <t>571-2-5747708-0</t>
  </si>
  <si>
    <t>D-SUB STANDARD CONNECTORS RECP FRNT MTL SHL 25 RETENTION INSERTS (2-5747708-0)</t>
  </si>
  <si>
    <t>TN2 5V</t>
  </si>
  <si>
    <t>SIGNAL RELAY DPDT 5V</t>
  </si>
  <si>
    <t>1311-04687-LRT</t>
  </si>
  <si>
    <t>TS-170202090</t>
  </si>
  <si>
    <t>LED BOARD 12-24V</t>
  </si>
  <si>
    <t>1706-33056-LRT</t>
  </si>
  <si>
    <t>G2RL-14 DC5 (digikey code : Z142-ND)</t>
  </si>
  <si>
    <t>RELAY GEN PURPOSE SPDT 12A 5V</t>
  </si>
  <si>
    <t>1510-19705-LRT</t>
  </si>
  <si>
    <t>LRT/PCB1604-0014</t>
  </si>
  <si>
    <t>FAILURE OUTPUT CONTROLLER BOARD</t>
  </si>
  <si>
    <t>SA-16-600(75)</t>
  </si>
  <si>
    <t>SHAFT SUPPORT RAIL_SA 16-600(75)</t>
  </si>
  <si>
    <t>ALUMINIUM PROFILE</t>
  </si>
  <si>
    <t xml:space="preserve">              </t>
  </si>
  <si>
    <t>1604-23573-LRT</t>
  </si>
  <si>
    <t>SA-16-400(50)</t>
  </si>
  <si>
    <t>SHAFT SUPPORT RAIL_SA 16-600(50)</t>
  </si>
  <si>
    <t>BC 337</t>
  </si>
  <si>
    <t>TRANSISTOR 2 PIN</t>
  </si>
  <si>
    <t>G2RL-1 DC5 - (Digikey : G2RL-1DC5-ND)</t>
  </si>
  <si>
    <t>MPC506AU</t>
  </si>
  <si>
    <t>68602-220HLF</t>
  </si>
  <si>
    <t>EFB1470</t>
  </si>
  <si>
    <t>Deli</t>
  </si>
  <si>
    <t>Micro Waterproof 12V Piezo Buzzer 120dB</t>
  </si>
  <si>
    <t>BUZZER</t>
  </si>
  <si>
    <t>BUZZEER</t>
  </si>
  <si>
    <t>1702-300237-LRT</t>
  </si>
  <si>
    <t>1606-25976-LRT</t>
  </si>
  <si>
    <t>D-SUB STANDARD CONNECTORS RECP FRNT MTL SHL 9P THREADED INSERT (5747150-7)</t>
  </si>
  <si>
    <t>1701-30010-LRT</t>
  </si>
  <si>
    <t>G2RL-2 DC5</t>
  </si>
  <si>
    <t>G2RL-14 DC5</t>
  </si>
  <si>
    <t>MCRM04X2201FTL</t>
  </si>
  <si>
    <t>RESISTOR MF 2200OHM 5%</t>
  </si>
  <si>
    <t>PO1811-44453-LRT</t>
  </si>
  <si>
    <t>USB INTERFACE</t>
  </si>
  <si>
    <t>USB INTERFACE FOR MALTA BOARD</t>
  </si>
  <si>
    <t>ET080401-1</t>
  </si>
  <si>
    <t>BOTTOM COOPER BOARD</t>
  </si>
  <si>
    <t>MODULE 6</t>
  </si>
  <si>
    <t>MODULE 6 PCB</t>
  </si>
  <si>
    <t>DB25 BOARD</t>
  </si>
  <si>
    <t>DB25 EXTENDER BOARD</t>
  </si>
  <si>
    <t>101-0069A</t>
  </si>
  <si>
    <t>4S VHDM BOARD-MOT0069A</t>
  </si>
  <si>
    <t>4S VHDM BOARD</t>
  </si>
  <si>
    <t>MOT0010-1010010</t>
  </si>
  <si>
    <t>DMIC LVDS BOARD</t>
  </si>
  <si>
    <t>LRT/PCB 1001-1818</t>
  </si>
  <si>
    <t>DONGLE BOARD</t>
  </si>
  <si>
    <t>DONGLE INTERPOSER BOARD</t>
  </si>
  <si>
    <t>101-0063 REVB</t>
  </si>
  <si>
    <t>BCUII SAC I/O CARD</t>
  </si>
  <si>
    <t>LRT/PCB1010-2283</t>
  </si>
  <si>
    <t>O9 MAIN BOARD LIGHT BAR CONTROL BOARD</t>
  </si>
  <si>
    <t>LRT/PCB1010-2284</t>
  </si>
  <si>
    <t>O9 MAIN BOARD</t>
  </si>
  <si>
    <t>RS232 BOARD</t>
  </si>
  <si>
    <t>TSM-110-02-S-DV</t>
  </si>
  <si>
    <t>DOUBLE ROW GULLWING ASM</t>
  </si>
  <si>
    <t>1707-33292-LRT</t>
  </si>
  <si>
    <t>61002021121 - (Mouser : 710-61002021121)</t>
  </si>
  <si>
    <t>61002021121 -  BOARD-TO-BOARD CONNECTOR, 2.54 MM</t>
  </si>
  <si>
    <t>1709-35147-LRT</t>
  </si>
  <si>
    <t>1N5822 (DIGIKEY : 497-11370-1-ND)</t>
  </si>
  <si>
    <t>DIODE SCHOTTKY 40V 3A DO201AD</t>
  </si>
  <si>
    <t>TST-110-01-L-D</t>
  </si>
  <si>
    <t>SAMTEC CONN SHROUDED HEADER HDR 20 P</t>
  </si>
  <si>
    <t>1505-16087-LRT</t>
  </si>
  <si>
    <t xml:space="preserve">CL10B203KB8NNNC </t>
  </si>
  <si>
    <t>CAP CER 0.02UF 50V X7R 0603</t>
  </si>
  <si>
    <t>PO1512-20823-LRT</t>
  </si>
  <si>
    <t>04025A101FAT2A</t>
  </si>
  <si>
    <t>CAP,CERAMIC CHIP,100PF,+1%,-1%,50V-DC,0402,C0G,CAP, CERAMIC,</t>
  </si>
  <si>
    <t>FIXED CAPACITORS</t>
  </si>
  <si>
    <t>PO1811-44182-LRT</t>
  </si>
  <si>
    <t>2-84981-0 - (digikey : A100312CT-ND)</t>
  </si>
  <si>
    <t>CONN FFC FPC TOP 20POS 1MM R/A</t>
  </si>
  <si>
    <t>PO1709-35168-LRT</t>
  </si>
  <si>
    <t>SN74AVC4T245RGYR - (element : 2145006)</t>
  </si>
  <si>
    <t>IC,XCVR,0PER PKG,PQFP,PQFP16,IC, 4- BIT BUS XCVR</t>
  </si>
  <si>
    <t>PO1708-34546-LRT</t>
  </si>
  <si>
    <t xml:space="preserve">SN74LVC1G32DCKR </t>
  </si>
  <si>
    <t>IC,OR,SN74LVC1G32,4000PER PKG,SM,TI 2-INPUT OR GATE</t>
  </si>
  <si>
    <t>RK73B1ETTP-203J</t>
  </si>
  <si>
    <t>MCROIMZPJ203 20K OHM 5%</t>
  </si>
  <si>
    <t>Pieces</t>
  </si>
  <si>
    <t>DLP0NSN900HL2L</t>
  </si>
  <si>
    <t>Common Mode Filters / Chokes 90Ohm 20% 100MHz</t>
  </si>
  <si>
    <t>GRM155R7IE103KA01D</t>
  </si>
  <si>
    <t>CAPACITOR MLCC X7R 10NF 25V0402</t>
  </si>
  <si>
    <t>RK73BIETTP271J</t>
  </si>
  <si>
    <t>RESISTOR 1/16W 27OHM 5%</t>
  </si>
  <si>
    <t>C0603C47IJ5GAC</t>
  </si>
  <si>
    <t>GRM1885C1H471JA01D</t>
  </si>
  <si>
    <t>NC7SZ04M5X</t>
  </si>
  <si>
    <t>FAIRCHILD SEMICONDUCTOR NC7SZ04M5XIC</t>
  </si>
  <si>
    <t>CRCW06038MO6FKEA</t>
  </si>
  <si>
    <t>RESISTOR 0603 8MO6, 1%</t>
  </si>
  <si>
    <t>RK73BIETTP221J</t>
  </si>
  <si>
    <t>1/16W 220OHM 5%</t>
  </si>
  <si>
    <t>CAP CERAMIC</t>
  </si>
  <si>
    <t>CAP CERAMIC 2.2UF 6.3v X5R 0603</t>
  </si>
  <si>
    <t>XC6221A302-MR</t>
  </si>
  <si>
    <t>HL DIGITAL/BFI</t>
  </si>
  <si>
    <t>GRM-188R60J105KA01D</t>
  </si>
  <si>
    <t>CAPACITOR 0603 1uf 6.3V</t>
  </si>
  <si>
    <t>RCLAMP0521PDKR-ND</t>
  </si>
  <si>
    <t>TVS DIODE 5IWM 25VC</t>
  </si>
  <si>
    <t>RK73Z1JTTD (element</t>
  </si>
  <si>
    <t>KOA SPEER ELECTRONICS</t>
  </si>
  <si>
    <t>KOA SPEER ELECTRONICS RK73Z1JTTD Surface Mount Chip Resistor</t>
  </si>
  <si>
    <t>FDN306P (FDN1471047)</t>
  </si>
  <si>
    <t>MOSFET P SMD SSOT-3</t>
  </si>
  <si>
    <t>MOSFET P SMD SSOT-MOSFET P SMD SSOT-33</t>
  </si>
  <si>
    <t>CMPT3906G TR</t>
  </si>
  <si>
    <t>TRANS PNP</t>
  </si>
  <si>
    <t>TRANS PNP 40V 0.2A S</t>
  </si>
  <si>
    <t>RK73B1JTTD-103J</t>
  </si>
  <si>
    <t>RESISTOR, THICKFILM,1608, 0.1W, 10K OHM</t>
  </si>
  <si>
    <t>RK73B1ETTP183J</t>
  </si>
  <si>
    <t>1/16 WATTS 18K OHMS 5% KOA SPEER THICK RESISTORS-SMD</t>
  </si>
  <si>
    <t>RK73H1ETTP-1002F</t>
  </si>
  <si>
    <t>1/16W 10K OHM 1%</t>
  </si>
  <si>
    <t>EMK107BJ105MAT</t>
  </si>
  <si>
    <t>X5R0603</t>
  </si>
  <si>
    <t>RCO6037JR-073RL</t>
  </si>
  <si>
    <t>MCRO3EZPJ330</t>
  </si>
  <si>
    <t>AIO6050TR-ND</t>
  </si>
  <si>
    <t>RESISTOR 4.7K OHM 1/10W, 1% 0603</t>
  </si>
  <si>
    <t>SWIF3600036</t>
  </si>
  <si>
    <t>VARISTOR, ESD PROTECTION 30 KV</t>
  </si>
  <si>
    <t>RK73B1ETTP821J</t>
  </si>
  <si>
    <t>1/16 WATTS 820 OHMS 5%</t>
  </si>
  <si>
    <t>MMBT3906LTIG</t>
  </si>
  <si>
    <t>TRANSISTOR PNP</t>
  </si>
  <si>
    <t>TRANSISTOR PNP, SOT-23</t>
  </si>
  <si>
    <t>RK73B1ETTP123</t>
  </si>
  <si>
    <t>RESISTOR 1/16W 12K OHM 5%</t>
  </si>
  <si>
    <t>GRM1555C1H330JA01D</t>
  </si>
  <si>
    <t>CAPACITOR 50V</t>
  </si>
  <si>
    <t>CAPACITOR 50V COG 33pf 5%</t>
  </si>
  <si>
    <t>GRM31CR614A76ME1.5L</t>
  </si>
  <si>
    <t>CAPACITOR CERAMIC</t>
  </si>
  <si>
    <t>CAPACITOR CERAMIC 47UF 10V 5R 1206</t>
  </si>
  <si>
    <t>FDN306P</t>
  </si>
  <si>
    <t>MOSFET P-CHANNEL 12V 5-1A</t>
  </si>
  <si>
    <t>81-GCM1555C1H220JA6D</t>
  </si>
  <si>
    <t>PDTC144EE115</t>
  </si>
  <si>
    <t>XSTR NPN 50V 100MA SC89-3</t>
  </si>
  <si>
    <t>RC0402FR-07100RL</t>
  </si>
  <si>
    <t>MCROLMZPF9000</t>
  </si>
  <si>
    <t>RK73Z1JTTD-</t>
  </si>
  <si>
    <t>RESISTOR 0603 O OHM</t>
  </si>
  <si>
    <t>GRM155R60J22ME15D</t>
  </si>
  <si>
    <t>CAPACITOR MLCC X5R</t>
  </si>
  <si>
    <t>RC0402FR07300RL</t>
  </si>
  <si>
    <t>RESISTOR 0402 0.063W 1% 300R</t>
  </si>
  <si>
    <t>DLPONSN900HL2L</t>
  </si>
  <si>
    <t>90OHM 20% 100MHZ</t>
  </si>
  <si>
    <t>XC6221A302MR</t>
  </si>
  <si>
    <t>IC REG LDO 3V 0.2A SOT25</t>
  </si>
  <si>
    <t>RC0603FR-074K7L</t>
  </si>
  <si>
    <t>RESISTOR 4.7K 0603</t>
  </si>
  <si>
    <t>GRM188R105KA6</t>
  </si>
  <si>
    <t>CAPMLCCX76.LUF,CAPMLCCX76.LUF,16V,0603</t>
  </si>
  <si>
    <t>CAPMLCCX76.luf,16V,0603</t>
  </si>
  <si>
    <t>RC0805JR 070RL</t>
  </si>
  <si>
    <t>CRCW08050004ZOEAC</t>
  </si>
  <si>
    <t>GRM1555CIH100JA01DSM</t>
  </si>
  <si>
    <t>MURATA GRM1553CIH100JAOIDSMD</t>
  </si>
  <si>
    <t>C1210C102KGR</t>
  </si>
  <si>
    <t>1210 1000PF MULTILAYER CERAMIC CAPACITOR</t>
  </si>
  <si>
    <t>BLM15AX601 SNID</t>
  </si>
  <si>
    <t>FERRITE BEAD 0402 0.340NM 0.5A</t>
  </si>
  <si>
    <t>MPZ2012S101AT000</t>
  </si>
  <si>
    <t>GRM21BRJ1H104KA01L</t>
  </si>
  <si>
    <t>81-LQW15AN33NG80D</t>
  </si>
  <si>
    <t>0402 33NH 620MA FIXED INDUCTORS</t>
  </si>
  <si>
    <t>NC7WZ125K8X (1417646</t>
  </si>
  <si>
    <t>IC NC7WZ TINY SMD US-8</t>
  </si>
  <si>
    <t>771-HC4067D653</t>
  </si>
  <si>
    <t>16-CHANNEL ANALOG MULTIPLEXER</t>
  </si>
  <si>
    <t>EXS00A-CS08289</t>
  </si>
  <si>
    <t>XTAL, 25MHz, +-30ppm, 15pF, 3.2x2.5x0.6mm</t>
  </si>
  <si>
    <t>FD66330L</t>
  </si>
  <si>
    <t>XSTR LOAD SWITCH MOSFET</t>
  </si>
  <si>
    <t>RK73Z2ATTD</t>
  </si>
  <si>
    <t>RESISTOR THICK FILM OR 0.125W 5%</t>
  </si>
  <si>
    <t>GRM1555 1H150JA01D</t>
  </si>
  <si>
    <t>CAPASITOR SMD 15 PF</t>
  </si>
  <si>
    <t>GRM188R60JI06ME4710</t>
  </si>
  <si>
    <t>AR DIGITAL 10 UF 6.3V 0603</t>
  </si>
  <si>
    <t>SPX3819M5-L-33TR</t>
  </si>
  <si>
    <t>LDO VOLTAGE REGULATOR</t>
  </si>
  <si>
    <t>500MA LOW NOISE LD0 (LDO VOLTAGE REGULATOR</t>
  </si>
  <si>
    <t>GRM155CIH101JA01D</t>
  </si>
  <si>
    <t>CAPACITOR SMD 100PF 2218836</t>
  </si>
  <si>
    <t>FH19SC-30S-0.5SH(99)-(Element ; 2687454)</t>
  </si>
  <si>
    <t>FH19SC-30S-0.5SH(99) - FFC / FPC BOARD CONNECTOR, ZIF, 0.5 MM, 30 CONTACTS, RECEPTACLE, FH19SC SERIES, SURFACE MOUNT</t>
  </si>
  <si>
    <t>1811-44182-LRT</t>
  </si>
  <si>
    <t>1811-44180-LRT</t>
  </si>
  <si>
    <t>CERAMIC DIELECTRIC, SINGLE LAYER</t>
  </si>
  <si>
    <t>1708-34546-LRT</t>
  </si>
  <si>
    <t>1712-37116-LRT</t>
  </si>
  <si>
    <t>1707-33929-LRT</t>
  </si>
  <si>
    <t>BOARD-TO-BOARD CONNECTOR, VERTICAL, 2.54 MM, 3 CONTACTS, HEADER, WR-PHD SERIES, THROUGH HOLE</t>
  </si>
  <si>
    <t>ARRAY SUPR SMD 17V, .225WSOT-23</t>
  </si>
  <si>
    <t>CERAMIC DIELECTRIC, MULTI LAYER</t>
  </si>
  <si>
    <t>1409-09964-LRT</t>
  </si>
  <si>
    <t>RC0603FR-07100RL(Element : 9238360RL)</t>
  </si>
  <si>
    <t>RES,MF,100OHM,1%,.1W,SM,0603,100PPM/CEL,PB-FREE</t>
  </si>
  <si>
    <t>1811-44181-LRT</t>
  </si>
  <si>
    <t>LRT/PCB1108-3096-BARE BOARD</t>
  </si>
  <si>
    <t>LEVEL SHIFTER REV 2 ASSEMBLY SMD COMPONENT &amp; BCA PROCESS 100% X_RAY INSPECTION FOR SOLDER SHORT</t>
  </si>
  <si>
    <t>SSEM LEVEL SHITER (REVISION 2) *ASSEMBLY SMD COMPONENTS &amp; BGA PROCESS , *100% X-RAY INSPECTION FOR SOLDER SHORT (MOQ : 10PCS)</t>
  </si>
  <si>
    <t>SF-0603F300-2 - (Element : 2367286)</t>
  </si>
  <si>
    <t>FUSE,FST BLW,3A,24V,FUSE CHIP SMT TR/1608FF 3A</t>
  </si>
  <si>
    <t>SEMICONDUCTOR DEVICE</t>
  </si>
  <si>
    <t>MAX3231EEBV-T</t>
  </si>
  <si>
    <t>IC SMD MAXIM RS232 TRAN IN UCSP</t>
  </si>
  <si>
    <t>CERAMIC DIELECTRIC, MULTILAYER</t>
  </si>
  <si>
    <t>1308-03224-LRT</t>
  </si>
  <si>
    <t>C0402C220J5GACTU</t>
  </si>
  <si>
    <t>CAP,CHIP,22PF,+5%,-5%,50V-DC,0402,C0G,-55DEG CMIN,125DEG CMAX,P</t>
  </si>
  <si>
    <t>C0402C103K3RACTU - (Equivalent : 04023C103KAT2A)</t>
  </si>
  <si>
    <t>CAP,CHIP,.01UF,+10%,-10%,25V-DC,0402,X7R,-55DEG CMIN,125DEG CMA</t>
  </si>
  <si>
    <t>PO1811-44475LRT</t>
  </si>
  <si>
    <t>C0402C220J5GACTU- (Equivalent : CC0402JRNPO9BN220)</t>
  </si>
  <si>
    <t>PO1811-44475-LRT</t>
  </si>
  <si>
    <t>MMBZ5247BLT1G</t>
  </si>
  <si>
    <t>DIODE ARRAY,SUPR,SM,SOT-23,17V,.225W,ZEN,2,PB-FREE</t>
  </si>
  <si>
    <t>04025A101FAT2A - (Element : 2332493RL)</t>
  </si>
  <si>
    <t>PO1811-44453LRT</t>
  </si>
  <si>
    <t>CAP,FXD,.22UF,+80%,-20%,16V-DC,0402,Y5V,-30DEG CMIN,85DEG CMAX- (digitaal : 1276-1060-1-ND)</t>
  </si>
  <si>
    <t>PO1811-44401LRT</t>
  </si>
  <si>
    <t>304-52.3K-RC- (Equivalent : MCMR04X5232FTL)</t>
  </si>
  <si>
    <t>RES,MF,52.3KOHM,1%,.0625W,SM,0402,200PPM/CEL,PB-FREE</t>
  </si>
  <si>
    <t>ELECRTICAL</t>
  </si>
  <si>
    <t>PO1811-44469-LRT</t>
  </si>
  <si>
    <t>TSM-110-02-S-DV - (Equivalent : TSM-110-02-S-DV-P-TR)</t>
  </si>
  <si>
    <t>DOUBLE ROW GULLWING ASM.</t>
  </si>
  <si>
    <t>LRT/PCA1108-3096-1111</t>
  </si>
  <si>
    <t>LEVEL SHIFTER COMPLETE SOLDER</t>
  </si>
  <si>
    <t>Assem Level Shifter (Revision 2)</t>
  </si>
  <si>
    <t>PO-1811-44306LRT</t>
  </si>
  <si>
    <t>22500220CNG0WUT01</t>
  </si>
  <si>
    <t>2.54MM FEMALE HEADER STRAIGHT</t>
  </si>
  <si>
    <t>1601-21878-LRT</t>
  </si>
  <si>
    <t>22850220ANGORYA01</t>
  </si>
  <si>
    <t>2.54MM FEMALE HEADER H8.5 R/A</t>
  </si>
  <si>
    <t>SN74AVC4T245RGYR</t>
  </si>
  <si>
    <t>PN-0000029967</t>
  </si>
  <si>
    <t>PCB FOR HALF MINI CARD SAVER / DES09003(LRT/PCB0904-1278)-R1 ,PCB - MC TOQM EDGE CARD (REV.1)</t>
  </si>
  <si>
    <t>PN-0000029754</t>
  </si>
  <si>
    <t>PCB FOR RX POGO BOARD 2LAYER</t>
  </si>
  <si>
    <t>PO1901-45680-LRT</t>
  </si>
  <si>
    <t>LRT/PCB0804-1282 REV</t>
  </si>
  <si>
    <t>HALF MINI SOCKET SAVER</t>
  </si>
  <si>
    <t>8541 40 000</t>
  </si>
  <si>
    <t>1406-08387-LRT</t>
  </si>
  <si>
    <t>LRT/PCB1608-0007</t>
  </si>
  <si>
    <t>PCB MODULE (SMALL BOARD) 16OHM</t>
  </si>
  <si>
    <t>LRT/PCB1608-0007-20ohm</t>
  </si>
  <si>
    <t>PCB MODULE (SMALL BOARD) -20OHM</t>
  </si>
  <si>
    <t>LR8028 BIG-IV023003A0</t>
  </si>
  <si>
    <t>COMPONENT TEST FIXTURE PCB BIG</t>
  </si>
  <si>
    <t>PN-0000028844</t>
  </si>
  <si>
    <t>PCB FOR AIRLINK MACAN (REV 3.0) : BFT FIXTURE TRANSFER BOARD.</t>
  </si>
  <si>
    <t>LRT/PCB0904-1278 REV 1</t>
  </si>
  <si>
    <t>LRT/FI0603-0313</t>
  </si>
  <si>
    <t>IV2300240 SMALL</t>
  </si>
  <si>
    <t>61400416021</t>
  </si>
  <si>
    <t>USB 2.0 Type A Horizontal WR-COM - (MOQ : 100 PCS)</t>
  </si>
  <si>
    <t>1804-39769-LRT</t>
  </si>
  <si>
    <t>692122030100</t>
  </si>
  <si>
    <t>USB 3.0 Type A Horizontal SMD WR-COM - (MOQ : 200 pcs)</t>
  </si>
  <si>
    <t>692121030100</t>
  </si>
  <si>
    <t>USB 3.0 Type A Horizontal WR-COM - MOQ : 200pcs)</t>
  </si>
  <si>
    <t>PN-0000029319</t>
  </si>
  <si>
    <t>PCB FOR AIRLINK MP70 (REV 3.0) : BFT FIXTURE TRANSFER BOARD (BARE BOARD)</t>
  </si>
  <si>
    <t>PCB FOR AIRLINK MP70 (REV 3.0) : BFT FIXTURE TRANSFER BOARD</t>
  </si>
  <si>
    <t>PO1810-43180LRT</t>
  </si>
  <si>
    <t>LRT/PCA1510-0043r3-1111</t>
  </si>
  <si>
    <t>AIRLINK MACAN RV50 (REV3.0) BFT FIXTURE TRANSFER BOARD</t>
  </si>
  <si>
    <t>PO1808-41943LRT</t>
  </si>
  <si>
    <t>LRT/PCA1804-0031-1111</t>
  </si>
  <si>
    <t>HL BFT TRANSFER BOARD REV 3</t>
  </si>
  <si>
    <t>HL BFT TRANSFER BOARD REV 3 (RED)</t>
  </si>
  <si>
    <t>PO1810-43875LRT</t>
  </si>
  <si>
    <t>IBM PROCESSOR</t>
  </si>
  <si>
    <t>TSEBESSC13T</t>
  </si>
  <si>
    <t>SUMMIT BACKPLANE PCB</t>
  </si>
  <si>
    <t>LRT/PCB1002-1841</t>
  </si>
  <si>
    <t>BARTEX RELAY BOARD</t>
  </si>
  <si>
    <t>LRT/PCB1006-2056</t>
  </si>
  <si>
    <t>BARTEX CRITICAL RELAY BOARD</t>
  </si>
  <si>
    <t>LRT/PCB1006-2060</t>
  </si>
  <si>
    <t>50WAY SCSI REV 1</t>
  </si>
  <si>
    <t>FCT REFINEMENT</t>
  </si>
  <si>
    <t>DIGITAL TEST BOARD</t>
  </si>
  <si>
    <t>TDE-GED 05-006</t>
  </si>
  <si>
    <t>MOBICON PCB</t>
  </si>
  <si>
    <t>H-0508</t>
  </si>
  <si>
    <t>BMA/SMA SDIO</t>
  </si>
  <si>
    <t>LRT/PCB0806-0983</t>
  </si>
  <si>
    <t>DUMMY PCB 31X203MM</t>
  </si>
  <si>
    <t>DUMMY PCB</t>
  </si>
  <si>
    <t>LRT/PCB1309-0151-003</t>
  </si>
  <si>
    <t>TANAPA LEVEL RF TEST FIXTURE</t>
  </si>
  <si>
    <t>LRT/[CB1410-0085</t>
  </si>
  <si>
    <t>BOUNDRY SCAN XCVR TRANSCEIVER FIXTURE</t>
  </si>
  <si>
    <t>VISIO</t>
  </si>
  <si>
    <t>VISIO BOARD-LED SENSOR BOARD</t>
  </si>
  <si>
    <t>MALTA TUNE</t>
  </si>
  <si>
    <t>MALTA TUNE TEST FIXTURE</t>
  </si>
  <si>
    <t>MALTA BD MTL FR4, 2-LAYE</t>
  </si>
  <si>
    <t>1605-15138-LRT</t>
  </si>
  <si>
    <t>USB 1/0 PCB</t>
  </si>
  <si>
    <t>00915 REVA</t>
  </si>
  <si>
    <t>40WAY R/B PCB</t>
  </si>
  <si>
    <t>BOARD-TO-BOARD CONNECTOR, 2.54 MM, 30 CONTACTS</t>
  </si>
  <si>
    <t>C315C220K5G5TA</t>
  </si>
  <si>
    <t>CERAMIC CAPACITOR 22PF</t>
  </si>
  <si>
    <t>CER CAPACITOR 22PF-551116</t>
  </si>
  <si>
    <t>MULTILAYER</t>
  </si>
  <si>
    <t>1606-25739-LRT</t>
  </si>
  <si>
    <t>RELAY GEN PURPOSE DPDT,2A,12V</t>
  </si>
  <si>
    <t>ESHF-125-01-L-D-TH</t>
  </si>
  <si>
    <t>ESHF SERIES SHROUDED IDC HEADER</t>
  </si>
  <si>
    <t>1708-34520-LRT</t>
  </si>
  <si>
    <t>USB CONNECTOR TYPE A</t>
  </si>
  <si>
    <t>EACH</t>
  </si>
  <si>
    <t>50 WAY-110-43-950-41-001000</t>
  </si>
  <si>
    <t>50 WAY IC SOCKET</t>
  </si>
  <si>
    <t>50 WAY IC SOCKET FOR ELEXOL USB</t>
  </si>
  <si>
    <t>50PXIMEFC5X11</t>
  </si>
  <si>
    <t>E-CAP 1UF 50V</t>
  </si>
  <si>
    <t>E-CAP 1UF 50V-551204</t>
  </si>
  <si>
    <t>50PX10MEFC5X11</t>
  </si>
  <si>
    <t>E-CAP 10UF 50V-551215</t>
  </si>
  <si>
    <t>IC NAND7400-7PIN</t>
  </si>
  <si>
    <t>IC 4030 7PIN</t>
  </si>
  <si>
    <t>220114T</t>
  </si>
  <si>
    <t>IC SOCKET 14PIN</t>
  </si>
  <si>
    <t>220116T</t>
  </si>
  <si>
    <t>16PIN IC SOCKET TURNPIN</t>
  </si>
  <si>
    <t>RF SWITCH</t>
  </si>
  <si>
    <t>16 WAY IC SOCKET(TURN PIN)</t>
  </si>
  <si>
    <t>220118T</t>
  </si>
  <si>
    <t>IC SOCKET 18PIN</t>
  </si>
  <si>
    <t>34CVPRKE4</t>
  </si>
  <si>
    <t>16 PIN IC SOKET TURN PIN</t>
  </si>
  <si>
    <t>IC DSPIC30F4013</t>
  </si>
  <si>
    <t>DSPIC30F4013-20-IP</t>
  </si>
  <si>
    <t>1609-27823-LRT</t>
  </si>
  <si>
    <t>IC ILN 2803APG</t>
  </si>
  <si>
    <t>IC MAX232 EPE</t>
  </si>
  <si>
    <t>IC NAND7400</t>
  </si>
  <si>
    <t>220140T</t>
  </si>
  <si>
    <t>IC SOCKET 40PIN</t>
  </si>
  <si>
    <t>IC TLP521-4</t>
  </si>
  <si>
    <t>IC MAX232EPE-8PIN</t>
  </si>
  <si>
    <t>IC 4030</t>
  </si>
  <si>
    <t>ED90046-ND</t>
  </si>
  <si>
    <t>CONN IC DIP SOCKET 50POS GOLD</t>
  </si>
  <si>
    <t>BUZZER 12V</t>
  </si>
  <si>
    <t>IC CD4066BN</t>
  </si>
  <si>
    <t>CD4066BCN</t>
  </si>
  <si>
    <t>G5V-1-DC5 (element 14 : 1448169)</t>
  </si>
  <si>
    <t xml:space="preserve">OMRON ELECTRONIC COMPONENTS </t>
  </si>
  <si>
    <t>G5V-1-DC5  SIGNAL RELAY, G5V-1 SERIES, NON LATCHING, SPDT, THROUGH HOLE, 1 A, 5 VDC</t>
  </si>
  <si>
    <t>1602-22128-LRT</t>
  </si>
  <si>
    <t>TNA0048246</t>
  </si>
  <si>
    <t>TNA0048246 PCB</t>
  </si>
  <si>
    <t>TNA0048247-A</t>
  </si>
  <si>
    <t>TNA 00048247A</t>
  </si>
  <si>
    <t>TNA 0005647</t>
  </si>
  <si>
    <t>TNA0005647 PCB</t>
  </si>
  <si>
    <t>LRT/PCB1403-0200</t>
  </si>
  <si>
    <t>BOARD 2</t>
  </si>
  <si>
    <t>0207</t>
  </si>
  <si>
    <t>0207 CHIP TANAPA TEST FIXTURE BOARD</t>
  </si>
  <si>
    <t>LRT/PCB1309-0001</t>
  </si>
  <si>
    <t>MODULE 2 (BIASING)</t>
  </si>
  <si>
    <t>2V023012</t>
  </si>
  <si>
    <t>PLUG IN GERBER</t>
  </si>
  <si>
    <t>LRT/PCB0806-1004 REV02</t>
  </si>
  <si>
    <t>EDGE MINI PCI XPRESS CARD</t>
  </si>
  <si>
    <t>LRT/PCB1108-3102</t>
  </si>
  <si>
    <t>SFF POGO BLOCK TOP &amp; BOTTOM</t>
  </si>
  <si>
    <t>LRT/PCA1803-0027-1111</t>
  </si>
  <si>
    <t>CHAMBER CONTROLLER CONNECTOR BOARD (GB 1803-0027)</t>
  </si>
  <si>
    <t>PO1810-43344LRT</t>
  </si>
  <si>
    <t>1607-26693-LRT</t>
  </si>
  <si>
    <t>INNER POWER BOARD -HL ONLY</t>
  </si>
  <si>
    <t>CC108-SA</t>
  </si>
  <si>
    <t>20way header</t>
  </si>
  <si>
    <t>20WAY HEADER BOX-SMALL</t>
  </si>
  <si>
    <t>2x20</t>
  </si>
  <si>
    <t>HEADER PIN STRAIGHT</t>
  </si>
  <si>
    <t>1311-0468-LRT</t>
  </si>
  <si>
    <t>G5V-1-DC5</t>
  </si>
  <si>
    <t>LOW SIGNAL RELAYS - PCB THRUHOLE HI-SENS SPDT 5DC 150MW SEAL</t>
  </si>
  <si>
    <t>P2-19</t>
  </si>
  <si>
    <t>1804-39940-LRT</t>
  </si>
  <si>
    <t>G11 MP70</t>
  </si>
  <si>
    <t>G11 MP70 BFT</t>
  </si>
  <si>
    <t>P3</t>
  </si>
  <si>
    <t>G11 RV50</t>
  </si>
  <si>
    <t>ltr</t>
  </si>
  <si>
    <t>PO1903-46913-LRT</t>
  </si>
  <si>
    <t>13" 208" (330mm x 5238mm )</t>
  </si>
  <si>
    <t>CONVEYOR SAND BELT ( TS-212 )</t>
  </si>
  <si>
    <t>e</t>
  </si>
  <si>
    <t>1904-47756-LRT</t>
  </si>
  <si>
    <t>1M X 100M</t>
  </si>
  <si>
    <t>BUBBLE ROLL</t>
  </si>
  <si>
    <t>10MM 1000MM X 50M</t>
  </si>
  <si>
    <t xml:space="preserve">FOAM </t>
  </si>
  <si>
    <t>M6X60</t>
  </si>
  <si>
    <t>Socket Head Cap Screw S/Steel</t>
  </si>
  <si>
    <t>No</t>
  </si>
  <si>
    <t>Part Name/Part Info</t>
  </si>
  <si>
    <t>Rack</t>
  </si>
  <si>
    <t>Rack N0</t>
  </si>
  <si>
    <t xml:space="preserve"> buttonM2 X 4</t>
  </si>
  <si>
    <t xml:space="preserve"> pin M1.5 X 4</t>
  </si>
  <si>
    <t>M2 X 14 - (M2 X 16)</t>
  </si>
  <si>
    <t>M2X 10</t>
  </si>
  <si>
    <t>M2X 5</t>
  </si>
  <si>
    <t>M2.56 X 0.1875</t>
  </si>
  <si>
    <t>Alloy Washer</t>
  </si>
  <si>
    <t>M4 X25</t>
  </si>
  <si>
    <t>M1.6 M2 M3 M4 M5</t>
  </si>
  <si>
    <t>M3 X25</t>
  </si>
  <si>
    <t>M3 X30</t>
  </si>
  <si>
    <t>M3 X15</t>
  </si>
  <si>
    <t>M4 X4</t>
  </si>
  <si>
    <t>M1.6 M2 M3</t>
  </si>
  <si>
    <t>Hex Nut Style_AM（4）</t>
  </si>
  <si>
    <t>M8 M10</t>
  </si>
  <si>
    <t>M5X12</t>
  </si>
  <si>
    <t>M5 X16</t>
  </si>
  <si>
    <t>M3 M4</t>
  </si>
  <si>
    <t xml:space="preserve"> M6 M8</t>
  </si>
  <si>
    <t xml:space="preserve">M1 M1.5 M1.6 M2 M2.5 M3 </t>
  </si>
  <si>
    <t>2 X 5</t>
  </si>
  <si>
    <t>M2 X5</t>
  </si>
  <si>
    <t>DOWEL PIN( 16)</t>
  </si>
  <si>
    <t xml:space="preserve">M4 M5 M6 </t>
  </si>
  <si>
    <t>PO1910-51872-LRT</t>
  </si>
  <si>
    <t>PAN SLOT HEAD SCREW (1）</t>
  </si>
  <si>
    <t>PO1908-50824-LRT</t>
  </si>
  <si>
    <t>PO1906-49312-LRT</t>
  </si>
  <si>
    <t>SOCKET HEAD CAP SCREW（ 5）</t>
  </si>
  <si>
    <t>SOCKET HEAD CAP SCREW（ 7）</t>
  </si>
  <si>
    <t>SOCKET HEAD CAP SCREW（12 ）</t>
  </si>
  <si>
    <t>M10 X 1.5 X 70</t>
  </si>
  <si>
    <t>Socket Head Cap Screw</t>
  </si>
  <si>
    <t>（9）THRUSSHEAD MC SCREW</t>
  </si>
  <si>
    <t>THRUSSHEAD MC SCREW</t>
  </si>
  <si>
    <t>#4.40 X 1.25 (1/4)</t>
  </si>
  <si>
    <t>#4.40 X 22.25 (7/8)</t>
  </si>
  <si>
    <t>#4.40 X 5/8 (0.625)</t>
  </si>
  <si>
    <t>#6.32 X 0.5 (1/2)</t>
  </si>
  <si>
    <t>#10.32 X (0.625)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</si>
</sst>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3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color rgb="FF39393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93939"/>
      <name val="Open Sans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rgb="FF393939"/>
      <name val="Calibri"/>
    </font>
    <font>
      <sz val="10"/>
      <color rgb="FF333333"/>
      <name val="Open Sans"/>
      <charset val="1"/>
    </font>
    <font>
      <sz val="11"/>
      <color rgb="FF333333"/>
      <name val="Calibri"/>
    </font>
    <font>
      <sz val="10"/>
      <color rgb="FF393939"/>
      <name val="Open Sans"/>
      <charset val="1"/>
    </font>
    <font>
      <sz val="11"/>
      <color rgb="FF000000"/>
      <name val="Calibri"/>
    </font>
    <font>
      <sz val="9"/>
      <color rgb="FF333333"/>
      <name val="Segoe UI"/>
      <charset val="1"/>
    </font>
    <font>
      <sz val="9"/>
      <color rgb="FFFF0000"/>
      <name val="Segoe UI"/>
      <charset val="1"/>
    </font>
    <font>
      <sz val="10"/>
      <color rgb="FF000000"/>
      <name val="Calibri"/>
    </font>
    <font>
      <sz val="10"/>
      <color rgb="FF000000"/>
      <name val="Open Sans"/>
      <charset val="1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rgb="FF333333"/>
      <name val="Calibri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Calibri"/>
    </font>
    <font>
      <b/>
      <sz val="11"/>
      <color rgb="FF0070C0"/>
      <name val="Calibri"/>
      <family val="2"/>
      <scheme val="minor"/>
    </font>
    <font>
      <b/>
      <sz val="11"/>
      <color rgb="FF0070C0"/>
      <name val="Calibri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</font>
    <font>
      <b/>
      <sz val="10"/>
      <color rgb="FF000000"/>
      <name val="Open Sans"/>
      <charset val="1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rgb="FFEFF3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2CC"/>
        <bgColor indexed="64"/>
      </patternFill>
    </fill>
  </fills>
  <borders count="3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E5E5E5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E5E5E5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19">
    <xf numFmtId="0" fontId="0" fillId="0" borderId="0" xfId="0"/>
    <xf numFmtId="0" fontId="2" fillId="3" borderId="0" xfId="1" applyFont="1" applyFill="1"/>
    <xf numFmtId="0" fontId="2" fillId="3" borderId="0" xfId="1" applyFont="1" applyFill="1" applyAlignment="1">
      <alignment horizontal="center"/>
    </xf>
    <xf numFmtId="0" fontId="2" fillId="3" borderId="0" xfId="1" applyFont="1" applyFill="1" applyAlignment="1">
      <alignment horizontal="left"/>
    </xf>
    <xf numFmtId="0" fontId="3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center"/>
    </xf>
    <xf numFmtId="0" fontId="5" fillId="0" borderId="0" xfId="0" quotePrefix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1" applyFont="1" applyFill="1" applyAlignment="1">
      <alignment horizontal="left"/>
    </xf>
    <xf numFmtId="0" fontId="6" fillId="0" borderId="0" xfId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top" wrapText="1"/>
    </xf>
    <xf numFmtId="16" fontId="0" fillId="0" borderId="0" xfId="0" applyNumberFormat="1" applyAlignment="1">
      <alignment horizontal="center"/>
    </xf>
    <xf numFmtId="0" fontId="7" fillId="5" borderId="0" xfId="0" applyFont="1" applyFill="1" applyBorder="1" applyAlignment="1">
      <alignment vertical="top" wrapText="1"/>
    </xf>
    <xf numFmtId="164" fontId="0" fillId="0" borderId="0" xfId="0" applyNumberFormat="1" applyAlignment="1">
      <alignment horizontal="left"/>
    </xf>
    <xf numFmtId="164" fontId="0" fillId="0" borderId="0" xfId="1" applyNumberFormat="1" applyFont="1" applyFill="1" applyAlignment="1">
      <alignment horizontal="left"/>
    </xf>
    <xf numFmtId="164" fontId="0" fillId="0" borderId="0" xfId="0" quotePrefix="1" applyNumberFormat="1" applyAlignment="1">
      <alignment horizontal="left"/>
    </xf>
    <xf numFmtId="164" fontId="0" fillId="0" borderId="0" xfId="0" applyNumberFormat="1"/>
    <xf numFmtId="164" fontId="7" fillId="5" borderId="0" xfId="0" applyNumberFormat="1" applyFont="1" applyFill="1" applyBorder="1" applyAlignment="1">
      <alignment vertical="top" wrapText="1"/>
    </xf>
    <xf numFmtId="164" fontId="0" fillId="0" borderId="0" xfId="0" applyNumberFormat="1" applyAlignment="1">
      <alignment horizontal="left" vertical="top"/>
    </xf>
    <xf numFmtId="0" fontId="2" fillId="6" borderId="0" xfId="1" applyFont="1" applyFill="1" applyAlignment="1">
      <alignment horizontal="left"/>
    </xf>
    <xf numFmtId="164" fontId="2" fillId="6" borderId="0" xfId="1" applyNumberFormat="1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7" xfId="0" applyBorder="1" applyAlignment="1">
      <alignment horizontal="center" wrapText="1"/>
    </xf>
    <xf numFmtId="0" fontId="0" fillId="6" borderId="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/>
    <xf numFmtId="0" fontId="0" fillId="5" borderId="0" xfId="0" applyFill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0" fillId="0" borderId="0" xfId="0" applyFill="1"/>
    <xf numFmtId="0" fontId="0" fillId="0" borderId="3" xfId="0" applyFill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7" xfId="0" quotePrefix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0" fillId="0" borderId="7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wrapText="1"/>
    </xf>
    <xf numFmtId="0" fontId="13" fillId="0" borderId="3" xfId="0" applyFont="1" applyBorder="1" applyAlignment="1">
      <alignment wrapText="1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3" xfId="0" applyFont="1" applyBorder="1" applyAlignment="1">
      <alignment wrapText="1"/>
    </xf>
    <xf numFmtId="0" fontId="15" fillId="5" borderId="3" xfId="0" applyFont="1" applyFill="1" applyBorder="1" applyAlignment="1"/>
    <xf numFmtId="0" fontId="13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8" fillId="0" borderId="3" xfId="0" applyFont="1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0" borderId="22" xfId="0" applyFont="1" applyBorder="1" applyAlignment="1">
      <alignment horizontal="center" wrapText="1"/>
    </xf>
    <xf numFmtId="0" fontId="15" fillId="0" borderId="3" xfId="0" applyFont="1" applyBorder="1"/>
    <xf numFmtId="0" fontId="8" fillId="6" borderId="0" xfId="0" applyFont="1" applyFill="1"/>
    <xf numFmtId="0" fontId="15" fillId="5" borderId="23" xfId="0" applyFont="1" applyFill="1" applyBorder="1" applyAlignment="1">
      <alignment wrapText="1"/>
    </xf>
    <xf numFmtId="0" fontId="9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15" fillId="0" borderId="24" xfId="0" applyFont="1" applyBorder="1" applyAlignment="1">
      <alignment wrapText="1"/>
    </xf>
    <xf numFmtId="0" fontId="0" fillId="0" borderId="5" xfId="0" applyBorder="1" applyAlignment="1">
      <alignment horizontal="center" wrapText="1"/>
    </xf>
    <xf numFmtId="14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17" fillId="0" borderId="3" xfId="0" applyFont="1" applyBorder="1"/>
    <xf numFmtId="0" fontId="16" fillId="0" borderId="0" xfId="0" applyFont="1" applyAlignment="1"/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0" borderId="0" xfId="0" quotePrefix="1" applyAlignment="1"/>
    <xf numFmtId="0" fontId="20" fillId="0" borderId="0" xfId="0" applyFont="1"/>
    <xf numFmtId="0" fontId="21" fillId="0" borderId="0" xfId="0" applyFont="1" applyAlignment="1">
      <alignment horizontal="left"/>
    </xf>
    <xf numFmtId="164" fontId="21" fillId="0" borderId="0" xfId="0" applyNumberFormat="1" applyFont="1" applyAlignment="1">
      <alignment horizontal="left"/>
    </xf>
    <xf numFmtId="0" fontId="21" fillId="0" borderId="0" xfId="0" applyFont="1" applyAlignment="1">
      <alignment horizontal="center"/>
    </xf>
    <xf numFmtId="43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/>
    <xf numFmtId="0" fontId="23" fillId="0" borderId="0" xfId="0" applyFont="1"/>
    <xf numFmtId="0" fontId="23" fillId="0" borderId="0" xfId="0" applyFont="1" applyAlignment="1"/>
    <xf numFmtId="0" fontId="24" fillId="0" borderId="0" xfId="0" applyFont="1"/>
    <xf numFmtId="0" fontId="6" fillId="0" borderId="0" xfId="0" quotePrefix="1" applyFont="1" applyAlignment="1">
      <alignment horizontal="left"/>
    </xf>
    <xf numFmtId="0" fontId="16" fillId="0" borderId="0" xfId="0" applyFont="1" applyAlignment="1">
      <alignment horizontal="center" vertical="center"/>
    </xf>
    <xf numFmtId="0" fontId="22" fillId="0" borderId="0" xfId="2"/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NumberFormat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left"/>
    </xf>
    <xf numFmtId="0" fontId="0" fillId="8" borderId="0" xfId="0" applyFill="1"/>
    <xf numFmtId="0" fontId="16" fillId="8" borderId="0" xfId="0" applyFont="1" applyFill="1" applyAlignment="1">
      <alignment horizontal="center"/>
    </xf>
    <xf numFmtId="164" fontId="0" fillId="6" borderId="0" xfId="0" applyNumberFormat="1" applyFill="1" applyAlignment="1">
      <alignment horizontal="left"/>
    </xf>
    <xf numFmtId="0" fontId="16" fillId="6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27" fillId="0" borderId="0" xfId="0" applyFont="1" applyAlignment="1">
      <alignment horizontal="center"/>
    </xf>
    <xf numFmtId="0" fontId="26" fillId="0" borderId="0" xfId="0" applyFont="1"/>
    <xf numFmtId="0" fontId="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6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28" fillId="0" borderId="0" xfId="0" applyFont="1"/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32" fillId="0" borderId="0" xfId="0" applyFont="1"/>
    <xf numFmtId="164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6" borderId="0" xfId="0" applyFill="1" applyAlignment="1"/>
    <xf numFmtId="164" fontId="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top"/>
    </xf>
    <xf numFmtId="0" fontId="13" fillId="5" borderId="27" xfId="0" applyFont="1" applyFill="1" applyBorder="1"/>
    <xf numFmtId="1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3" fillId="5" borderId="0" xfId="0" applyFont="1" applyFill="1" applyBorder="1"/>
    <xf numFmtId="0" fontId="13" fillId="4" borderId="27" xfId="0" applyFont="1" applyFill="1" applyBorder="1"/>
    <xf numFmtId="0" fontId="13" fillId="0" borderId="0" xfId="0" applyFont="1" applyAlignment="1">
      <alignment horizontal="left"/>
    </xf>
    <xf numFmtId="0" fontId="16" fillId="5" borderId="28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13" fillId="4" borderId="29" xfId="0" applyFont="1" applyFill="1" applyBorder="1" applyAlignment="1">
      <alignment wrapText="1"/>
    </xf>
    <xf numFmtId="0" fontId="13" fillId="4" borderId="29" xfId="0" quotePrefix="1" applyFont="1" applyFill="1" applyBorder="1" applyAlignment="1">
      <alignment wrapText="1"/>
    </xf>
    <xf numFmtId="0" fontId="13" fillId="0" borderId="27" xfId="0" applyFont="1" applyFill="1" applyBorder="1"/>
    <xf numFmtId="0" fontId="34" fillId="0" borderId="0" xfId="0" applyFont="1" applyAlignment="1">
      <alignment horizontal="left"/>
    </xf>
    <xf numFmtId="0" fontId="6" fillId="0" borderId="23" xfId="0" applyFont="1" applyBorder="1"/>
    <xf numFmtId="0" fontId="3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5" borderId="27" xfId="0" applyFont="1" applyFill="1" applyBorder="1"/>
    <xf numFmtId="0" fontId="8" fillId="0" borderId="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s://leaderrange.com/Warehouse/Parts_Details.aspx?Part_ID=c949ad53-0466-4c61-b0ab-c64076a3e499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201-B70D-4A64-9CC4-DEEFE37FF4E0}">
  <dimension ref="A1:CG796"/>
  <sheetViews>
    <sheetView topLeftCell="B728" workbookViewId="0">
      <selection activeCell="C702" sqref="C702"/>
    </sheetView>
  </sheetViews>
  <sheetFormatPr defaultRowHeight="15" x14ac:dyDescent="0.2"/>
  <cols>
    <col min="2" max="2" width="27.3046875" style="5" customWidth="1"/>
    <col min="3" max="3" width="20.4453125" style="5" customWidth="1"/>
    <col min="4" max="4" width="9.55078125" style="5" customWidth="1"/>
    <col min="5" max="5" width="14.2578125" style="5" customWidth="1"/>
    <col min="6" max="6" width="16.94921875" style="5" customWidth="1"/>
    <col min="7" max="7" width="18.0234375" style="5" customWidth="1"/>
    <col min="8" max="8" width="9.81640625" style="5" customWidth="1"/>
    <col min="9" max="9" width="9.14453125" style="5"/>
    <col min="10" max="10" width="10.76171875" style="5" bestFit="1" customWidth="1"/>
    <col min="11" max="11" width="15.73828125" style="5" customWidth="1"/>
    <col min="12" max="13" width="9.14453125" style="5"/>
    <col min="14" max="14" width="9.14453125" style="56" customWidth="1"/>
    <col min="15" max="15" width="11.02734375" style="5" customWidth="1"/>
    <col min="16" max="16" width="22.05859375" style="5" customWidth="1"/>
    <col min="17" max="17" width="18.83203125" style="5" customWidth="1"/>
    <col min="18" max="18" width="11.97265625" style="73" customWidth="1"/>
    <col min="19" max="85" width="9.14453125" style="73"/>
  </cols>
  <sheetData>
    <row r="1" spans="2:85" x14ac:dyDescent="0.2">
      <c r="B1" s="42" t="s">
        <v>0</v>
      </c>
      <c r="C1" s="42"/>
      <c r="D1" s="42" t="s">
        <v>1</v>
      </c>
      <c r="E1" s="42" t="s">
        <v>2</v>
      </c>
      <c r="F1" s="42" t="s">
        <v>3</v>
      </c>
      <c r="G1" s="42" t="s">
        <v>4</v>
      </c>
      <c r="H1" s="42" t="s">
        <v>5</v>
      </c>
      <c r="I1" s="42" t="s">
        <v>6</v>
      </c>
      <c r="J1" s="42" t="s">
        <v>7</v>
      </c>
      <c r="K1" s="42" t="s">
        <v>8</v>
      </c>
      <c r="L1" s="42"/>
      <c r="M1" s="42"/>
      <c r="N1" s="52" t="s">
        <v>9</v>
      </c>
      <c r="O1" s="42"/>
      <c r="P1" s="42" t="s">
        <v>10</v>
      </c>
      <c r="Q1" s="42"/>
    </row>
    <row r="2" spans="2:85" x14ac:dyDescent="0.2">
      <c r="B2" s="43"/>
      <c r="C2" s="43"/>
      <c r="D2" s="43"/>
      <c r="E2" s="43" t="s">
        <v>11</v>
      </c>
      <c r="F2" s="43"/>
      <c r="G2" s="43"/>
      <c r="H2" s="43"/>
      <c r="I2" s="43"/>
      <c r="J2" s="43"/>
      <c r="K2" s="43" t="s">
        <v>12</v>
      </c>
      <c r="L2" s="43" t="s">
        <v>13</v>
      </c>
      <c r="M2" s="43" t="s">
        <v>14</v>
      </c>
      <c r="N2" s="53" t="s">
        <v>15</v>
      </c>
      <c r="O2" s="43" t="s">
        <v>16</v>
      </c>
      <c r="P2" s="43"/>
      <c r="Q2" s="43" t="s">
        <v>17</v>
      </c>
    </row>
    <row r="3" spans="2:85" x14ac:dyDescent="0.2">
      <c r="B3" s="46" t="s">
        <v>18</v>
      </c>
      <c r="C3" s="47" t="s">
        <v>19</v>
      </c>
      <c r="D3" s="47"/>
      <c r="E3" s="47"/>
      <c r="F3" s="47"/>
      <c r="G3" s="47" t="s">
        <v>20</v>
      </c>
      <c r="H3" s="47" t="s">
        <v>21</v>
      </c>
      <c r="I3" s="47" t="s">
        <v>22</v>
      </c>
      <c r="J3" s="47"/>
      <c r="K3" s="47" t="s">
        <v>23</v>
      </c>
      <c r="L3" s="47">
        <v>100</v>
      </c>
      <c r="M3" s="47">
        <v>64</v>
      </c>
      <c r="N3" s="210">
        <f>SUM(L10-M10)</f>
        <v>80</v>
      </c>
      <c r="O3" s="48">
        <v>43564</v>
      </c>
      <c r="P3" s="93" t="s">
        <v>24</v>
      </c>
      <c r="Q3" s="49" t="s">
        <v>25</v>
      </c>
    </row>
    <row r="4" spans="2:85" x14ac:dyDescent="0.2">
      <c r="B4" s="50"/>
      <c r="C4" s="44"/>
      <c r="D4" s="44"/>
      <c r="E4" s="44"/>
      <c r="F4" s="44"/>
      <c r="G4" s="44"/>
      <c r="H4" s="44"/>
      <c r="I4" s="44"/>
      <c r="J4" s="44"/>
      <c r="K4" s="44"/>
      <c r="L4" s="44">
        <v>44</v>
      </c>
      <c r="M4" s="44"/>
      <c r="N4" s="211"/>
      <c r="O4" s="45"/>
      <c r="P4" s="44"/>
      <c r="Q4" s="51"/>
    </row>
    <row r="5" spans="2:85" x14ac:dyDescent="0.2">
      <c r="B5" s="50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211"/>
      <c r="O5" s="45"/>
      <c r="P5" s="44"/>
      <c r="Q5" s="51"/>
    </row>
    <row r="6" spans="2:85" x14ac:dyDescent="0.2">
      <c r="B6" s="50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211"/>
      <c r="O6" s="45"/>
      <c r="P6" s="44"/>
      <c r="Q6" s="51"/>
    </row>
    <row r="7" spans="2:85" x14ac:dyDescent="0.2">
      <c r="B7" s="50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211"/>
      <c r="O7" s="45"/>
      <c r="P7" s="44"/>
      <c r="Q7" s="51"/>
    </row>
    <row r="8" spans="2:85" x14ac:dyDescent="0.2">
      <c r="B8" s="50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212"/>
      <c r="O8" s="45"/>
      <c r="P8" s="44"/>
      <c r="Q8" s="51"/>
    </row>
    <row r="9" spans="2:85" x14ac:dyDescent="0.2">
      <c r="B9" s="50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55"/>
      <c r="O9" s="45"/>
      <c r="P9" s="44"/>
      <c r="Q9" s="51"/>
    </row>
    <row r="10" spans="2:85" s="64" customFormat="1" hidden="1" x14ac:dyDescent="0.2"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>
        <f>SUM(L3:L6)</f>
        <v>144</v>
      </c>
      <c r="M10" s="59">
        <f>SUM(M3:M6)</f>
        <v>64</v>
      </c>
      <c r="N10" s="60"/>
      <c r="O10" s="61"/>
      <c r="P10" s="59"/>
      <c r="Q10" s="62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</row>
    <row r="11" spans="2:85" s="63" customFormat="1" ht="15.75" thickBot="1" x14ac:dyDescent="0.25">
      <c r="B11" s="65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9"/>
      <c r="P11" s="66"/>
      <c r="Q11" s="68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</row>
    <row r="12" spans="2:85" s="63" customFormat="1" x14ac:dyDescent="0.2">
      <c r="B12" s="42" t="s">
        <v>0</v>
      </c>
      <c r="C12" s="42" t="s">
        <v>26</v>
      </c>
      <c r="D12" s="42" t="s">
        <v>1</v>
      </c>
      <c r="E12" s="42" t="s">
        <v>2</v>
      </c>
      <c r="F12" s="42" t="s">
        <v>3</v>
      </c>
      <c r="G12" s="42" t="s">
        <v>4</v>
      </c>
      <c r="H12" s="42" t="s">
        <v>5</v>
      </c>
      <c r="I12" s="42" t="s">
        <v>6</v>
      </c>
      <c r="J12" s="42" t="s">
        <v>7</v>
      </c>
      <c r="K12" s="42" t="s">
        <v>8</v>
      </c>
      <c r="L12" s="42"/>
      <c r="M12" s="42"/>
      <c r="N12" s="52" t="s">
        <v>9</v>
      </c>
      <c r="O12" s="42"/>
      <c r="P12" s="42" t="s">
        <v>10</v>
      </c>
      <c r="Q12" s="42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</row>
    <row r="13" spans="2:85" s="63" customFormat="1" x14ac:dyDescent="0.2">
      <c r="B13" s="43"/>
      <c r="C13" s="43"/>
      <c r="D13" s="43"/>
      <c r="E13" s="43" t="s">
        <v>11</v>
      </c>
      <c r="F13" s="43"/>
      <c r="G13" s="43"/>
      <c r="H13" s="43"/>
      <c r="I13" s="43"/>
      <c r="J13" s="43"/>
      <c r="K13" s="43" t="s">
        <v>12</v>
      </c>
      <c r="L13" s="43" t="s">
        <v>13</v>
      </c>
      <c r="M13" s="43" t="s">
        <v>14</v>
      </c>
      <c r="N13" s="53" t="s">
        <v>15</v>
      </c>
      <c r="O13" s="43" t="s">
        <v>16</v>
      </c>
      <c r="P13" s="43"/>
      <c r="Q13" s="43" t="s">
        <v>17</v>
      </c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</row>
    <row r="14" spans="2:85" x14ac:dyDescent="0.2">
      <c r="B14" s="46" t="s">
        <v>27</v>
      </c>
      <c r="C14" s="47" t="s">
        <v>28</v>
      </c>
      <c r="D14" s="47"/>
      <c r="E14" s="47"/>
      <c r="F14" s="47"/>
      <c r="G14" s="47" t="s">
        <v>20</v>
      </c>
      <c r="H14" s="47" t="s">
        <v>21</v>
      </c>
      <c r="I14" s="47" t="s">
        <v>22</v>
      </c>
      <c r="J14" s="47"/>
      <c r="K14" s="47" t="s">
        <v>23</v>
      </c>
      <c r="L14" s="47">
        <v>100</v>
      </c>
      <c r="M14" s="47">
        <v>34</v>
      </c>
      <c r="N14" s="216">
        <f>SUM(L20-M20)</f>
        <v>106</v>
      </c>
      <c r="O14" s="48">
        <v>43564</v>
      </c>
      <c r="P14" s="93" t="s">
        <v>24</v>
      </c>
      <c r="Q14" s="49" t="s">
        <v>29</v>
      </c>
    </row>
    <row r="15" spans="2:85" x14ac:dyDescent="0.2">
      <c r="B15" s="50"/>
      <c r="C15" s="44"/>
      <c r="D15" s="44"/>
      <c r="E15" s="44"/>
      <c r="F15" s="44"/>
      <c r="G15" s="44"/>
      <c r="H15" s="44"/>
      <c r="I15" s="44"/>
      <c r="J15" s="44"/>
      <c r="K15" s="44"/>
      <c r="L15" s="44">
        <v>40</v>
      </c>
      <c r="M15" s="44"/>
      <c r="N15" s="217"/>
      <c r="O15" s="45"/>
      <c r="P15" s="44"/>
      <c r="Q15" s="51" t="s">
        <v>30</v>
      </c>
    </row>
    <row r="16" spans="2:85" x14ac:dyDescent="0.2">
      <c r="B16" s="50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217"/>
      <c r="O16" s="45"/>
      <c r="P16" s="44"/>
      <c r="Q16" s="51"/>
    </row>
    <row r="17" spans="2:85" x14ac:dyDescent="0.2">
      <c r="B17" s="50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217"/>
      <c r="O17" s="45"/>
      <c r="P17" s="44"/>
      <c r="Q17" s="51"/>
    </row>
    <row r="18" spans="2:85" x14ac:dyDescent="0.2">
      <c r="B18" s="50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218"/>
      <c r="O18" s="45"/>
      <c r="P18" s="44"/>
      <c r="Q18" s="51"/>
    </row>
    <row r="19" spans="2:85" x14ac:dyDescent="0.2">
      <c r="B19" s="50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55"/>
      <c r="O19" s="45"/>
      <c r="P19" s="44"/>
      <c r="Q19" s="51"/>
    </row>
    <row r="20" spans="2:85" s="63" customFormat="1" hidden="1" x14ac:dyDescent="0.2"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>
        <f>SUM(L14:L17)</f>
        <v>140</v>
      </c>
      <c r="M20" s="59">
        <f>SUM(M14:M17)</f>
        <v>34</v>
      </c>
      <c r="N20" s="60"/>
      <c r="O20" s="61"/>
      <c r="P20" s="59"/>
      <c r="Q20" s="62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</row>
    <row r="21" spans="2:85" s="63" customFormat="1" ht="15.75" thickBot="1" x14ac:dyDescent="0.25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  <c r="O21" s="69"/>
      <c r="P21" s="66"/>
      <c r="Q21" s="68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</row>
    <row r="22" spans="2:85" s="63" customFormat="1" x14ac:dyDescent="0.2">
      <c r="B22" s="42" t="s">
        <v>0</v>
      </c>
      <c r="C22" s="42" t="s">
        <v>26</v>
      </c>
      <c r="D22" s="42" t="s">
        <v>1</v>
      </c>
      <c r="E22" s="42" t="s">
        <v>2</v>
      </c>
      <c r="F22" s="42" t="s">
        <v>3</v>
      </c>
      <c r="G22" s="42" t="s">
        <v>4</v>
      </c>
      <c r="H22" s="42" t="s">
        <v>5</v>
      </c>
      <c r="I22" s="42" t="s">
        <v>6</v>
      </c>
      <c r="J22" s="42" t="s">
        <v>7</v>
      </c>
      <c r="K22" s="42" t="s">
        <v>8</v>
      </c>
      <c r="L22" s="42"/>
      <c r="M22" s="42"/>
      <c r="N22" s="52" t="s">
        <v>9</v>
      </c>
      <c r="O22" s="42"/>
      <c r="P22" s="42" t="s">
        <v>10</v>
      </c>
      <c r="Q22" s="42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</row>
    <row r="23" spans="2:85" s="63" customFormat="1" x14ac:dyDescent="0.2">
      <c r="B23" s="43"/>
      <c r="C23" s="43"/>
      <c r="D23" s="43"/>
      <c r="E23" s="43" t="s">
        <v>11</v>
      </c>
      <c r="F23" s="43"/>
      <c r="G23" s="43"/>
      <c r="H23" s="43"/>
      <c r="I23" s="43"/>
      <c r="J23" s="43"/>
      <c r="K23" s="43" t="s">
        <v>12</v>
      </c>
      <c r="L23" s="43" t="s">
        <v>13</v>
      </c>
      <c r="M23" s="43" t="s">
        <v>14</v>
      </c>
      <c r="N23" s="53" t="s">
        <v>15</v>
      </c>
      <c r="O23" s="43" t="s">
        <v>16</v>
      </c>
      <c r="P23" s="43"/>
      <c r="Q23" s="43" t="s">
        <v>17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</row>
    <row r="24" spans="2:85" ht="27.75" x14ac:dyDescent="0.2">
      <c r="B24" s="46" t="s">
        <v>31</v>
      </c>
      <c r="C24" s="47" t="s">
        <v>32</v>
      </c>
      <c r="D24" s="47" t="s">
        <v>33</v>
      </c>
      <c r="E24" s="47"/>
      <c r="F24" s="47"/>
      <c r="G24" s="47" t="s">
        <v>34</v>
      </c>
      <c r="H24" s="47" t="s">
        <v>21</v>
      </c>
      <c r="I24" s="47" t="s">
        <v>35</v>
      </c>
      <c r="J24" s="47"/>
      <c r="K24" s="57" t="s">
        <v>36</v>
      </c>
      <c r="L24" s="47">
        <v>160</v>
      </c>
      <c r="M24" s="47">
        <v>80</v>
      </c>
      <c r="N24" s="216">
        <f>SUM(L31-M31)</f>
        <v>80</v>
      </c>
      <c r="O24" s="48">
        <v>43564</v>
      </c>
      <c r="P24" s="93" t="s">
        <v>37</v>
      </c>
      <c r="Q24" s="49" t="s">
        <v>38</v>
      </c>
    </row>
    <row r="25" spans="2:85" x14ac:dyDescent="0.2">
      <c r="B25" s="5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217"/>
      <c r="O25" s="44"/>
      <c r="P25" s="44"/>
      <c r="Q25" s="51"/>
    </row>
    <row r="26" spans="2:85" x14ac:dyDescent="0.2">
      <c r="B26" s="5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217"/>
      <c r="O26" s="44"/>
      <c r="P26" s="44"/>
      <c r="Q26" s="51"/>
    </row>
    <row r="27" spans="2:85" x14ac:dyDescent="0.2">
      <c r="B27" s="5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217"/>
      <c r="O27" s="44"/>
      <c r="P27" s="44"/>
      <c r="Q27" s="51"/>
    </row>
    <row r="28" spans="2:85" x14ac:dyDescent="0.2">
      <c r="B28" s="5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217"/>
      <c r="O28" s="44"/>
      <c r="P28" s="44"/>
      <c r="Q28" s="51"/>
    </row>
    <row r="29" spans="2:85" x14ac:dyDescent="0.2">
      <c r="B29" s="5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218"/>
      <c r="O29" s="44"/>
      <c r="P29" s="44"/>
      <c r="Q29" s="51"/>
    </row>
    <row r="30" spans="2:85" x14ac:dyDescent="0.2">
      <c r="B30" s="5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55"/>
      <c r="O30" s="44"/>
      <c r="P30" s="44"/>
      <c r="Q30" s="51"/>
    </row>
    <row r="31" spans="2:85" s="63" customFormat="1" hidden="1" x14ac:dyDescent="0.2"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>
        <f>SUM(L24:L29)</f>
        <v>160</v>
      </c>
      <c r="M31" s="59">
        <f>SUM(M24:M29)</f>
        <v>80</v>
      </c>
      <c r="N31" s="60"/>
      <c r="O31" s="59"/>
      <c r="P31" s="59"/>
      <c r="Q31" s="62"/>
      <c r="R31" s="73"/>
      <c r="S31" s="73"/>
      <c r="T31" s="73"/>
      <c r="U31" s="74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</row>
    <row r="32" spans="2:85" s="63" customFormat="1" ht="15.75" thickBot="1" x14ac:dyDescent="0.25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7"/>
      <c r="O32" s="66"/>
      <c r="P32" s="66"/>
      <c r="Q32" s="68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</row>
    <row r="33" spans="2:85" s="63" customFormat="1" x14ac:dyDescent="0.2">
      <c r="B33" s="42" t="s">
        <v>0</v>
      </c>
      <c r="C33" s="42" t="s">
        <v>26</v>
      </c>
      <c r="D33" s="42" t="s">
        <v>1</v>
      </c>
      <c r="E33" s="42" t="s">
        <v>39</v>
      </c>
      <c r="F33" s="42" t="s">
        <v>3</v>
      </c>
      <c r="G33" s="42" t="s">
        <v>4</v>
      </c>
      <c r="H33" s="42" t="s">
        <v>5</v>
      </c>
      <c r="I33" s="42" t="s">
        <v>6</v>
      </c>
      <c r="J33" s="42" t="s">
        <v>7</v>
      </c>
      <c r="K33" s="42" t="s">
        <v>8</v>
      </c>
      <c r="L33" s="42"/>
      <c r="M33" s="42"/>
      <c r="N33" s="52" t="s">
        <v>9</v>
      </c>
      <c r="O33" s="42"/>
      <c r="P33" s="42" t="s">
        <v>10</v>
      </c>
      <c r="Q33" s="42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</row>
    <row r="34" spans="2:85" s="63" customFormat="1" x14ac:dyDescent="0.2">
      <c r="B34" s="43"/>
      <c r="C34" s="43"/>
      <c r="D34" s="43"/>
      <c r="E34" s="43" t="s">
        <v>40</v>
      </c>
      <c r="F34" s="43"/>
      <c r="G34" s="43"/>
      <c r="H34" s="43"/>
      <c r="I34" s="43"/>
      <c r="J34" s="43"/>
      <c r="K34" s="43" t="s">
        <v>12</v>
      </c>
      <c r="L34" s="43" t="s">
        <v>13</v>
      </c>
      <c r="M34" s="43" t="s">
        <v>14</v>
      </c>
      <c r="N34" s="53" t="s">
        <v>15</v>
      </c>
      <c r="O34" s="43" t="s">
        <v>16</v>
      </c>
      <c r="P34" s="43"/>
      <c r="Q34" s="43" t="s">
        <v>17</v>
      </c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</row>
    <row r="35" spans="2:85" ht="27.75" x14ac:dyDescent="0.2">
      <c r="B35" s="71" t="s">
        <v>41</v>
      </c>
      <c r="C35" s="57" t="s">
        <v>42</v>
      </c>
      <c r="D35" s="57"/>
      <c r="E35" s="57">
        <v>1114112</v>
      </c>
      <c r="F35" s="57"/>
      <c r="G35" s="57" t="s">
        <v>43</v>
      </c>
      <c r="H35" s="57" t="s">
        <v>21</v>
      </c>
      <c r="I35" s="47" t="s">
        <v>44</v>
      </c>
      <c r="J35" s="47"/>
      <c r="K35" s="57" t="s">
        <v>45</v>
      </c>
      <c r="L35" s="47">
        <v>10</v>
      </c>
      <c r="M35" s="47">
        <v>0</v>
      </c>
      <c r="N35" s="216">
        <f>SUM(L49-M49)</f>
        <v>6</v>
      </c>
      <c r="O35" s="48">
        <v>43564</v>
      </c>
      <c r="P35" s="47"/>
      <c r="Q35" s="49" t="s">
        <v>38</v>
      </c>
    </row>
    <row r="36" spans="2:85" x14ac:dyDescent="0.2">
      <c r="B36" s="50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>
        <v>2</v>
      </c>
      <c r="N36" s="217"/>
      <c r="O36" s="45">
        <v>43564</v>
      </c>
      <c r="P36" s="79" t="s">
        <v>46</v>
      </c>
      <c r="Q36" s="51"/>
    </row>
    <row r="37" spans="2:85" ht="71.25" customHeight="1" x14ac:dyDescent="0.2">
      <c r="B37" s="50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>
        <v>2</v>
      </c>
      <c r="N37" s="217"/>
      <c r="O37" s="45">
        <v>43564</v>
      </c>
      <c r="P37" s="79" t="s">
        <v>47</v>
      </c>
      <c r="Q37" s="72" t="s">
        <v>48</v>
      </c>
    </row>
    <row r="38" spans="2:85" ht="24.75" customHeight="1" x14ac:dyDescent="0.2">
      <c r="B38" s="50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217"/>
      <c r="O38" s="45"/>
      <c r="P38" s="44"/>
      <c r="Q38" s="72"/>
    </row>
    <row r="39" spans="2:85" ht="17.25" customHeight="1" x14ac:dyDescent="0.2">
      <c r="B39" s="50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217"/>
      <c r="O39" s="44"/>
      <c r="P39" s="44"/>
      <c r="Q39" s="72"/>
    </row>
    <row r="40" spans="2:85" ht="17.25" customHeight="1" x14ac:dyDescent="0.2">
      <c r="B40" s="50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217"/>
      <c r="O40" s="44"/>
      <c r="P40" s="44"/>
      <c r="Q40" s="72"/>
    </row>
    <row r="41" spans="2:85" ht="17.25" customHeight="1" x14ac:dyDescent="0.2">
      <c r="B41" s="5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217"/>
      <c r="O41" s="44"/>
      <c r="P41" s="44"/>
      <c r="Q41" s="72"/>
    </row>
    <row r="42" spans="2:85" ht="17.25" customHeight="1" x14ac:dyDescent="0.2">
      <c r="B42" s="5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217"/>
      <c r="O42" s="44"/>
      <c r="P42" s="44"/>
      <c r="Q42" s="72"/>
    </row>
    <row r="43" spans="2:85" ht="14.25" customHeight="1" x14ac:dyDescent="0.2">
      <c r="B43" s="5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217"/>
      <c r="O43" s="44"/>
      <c r="P43" s="44"/>
      <c r="Q43" s="72"/>
    </row>
    <row r="44" spans="2:85" ht="14.25" customHeight="1" x14ac:dyDescent="0.2">
      <c r="B44" s="5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217"/>
      <c r="O44" s="44"/>
      <c r="P44" s="44"/>
      <c r="Q44" s="72"/>
    </row>
    <row r="45" spans="2:85" x14ac:dyDescent="0.2">
      <c r="B45" s="5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217"/>
      <c r="O45" s="44"/>
      <c r="P45" s="44"/>
      <c r="Q45" s="51"/>
    </row>
    <row r="46" spans="2:85" x14ac:dyDescent="0.2">
      <c r="B46" s="5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218"/>
      <c r="O46" s="44"/>
      <c r="P46" s="44"/>
      <c r="Q46" s="51"/>
    </row>
    <row r="47" spans="2:85" x14ac:dyDescent="0.2">
      <c r="B47" s="5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55"/>
      <c r="O47" s="44"/>
      <c r="P47" s="44"/>
      <c r="Q47" s="51"/>
    </row>
    <row r="48" spans="2:85" x14ac:dyDescent="0.2">
      <c r="B48" s="5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55"/>
      <c r="O48" s="44"/>
      <c r="P48" s="44"/>
      <c r="Q48" s="51"/>
    </row>
    <row r="49" spans="2:17" hidden="1" x14ac:dyDescent="0.2"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59">
        <f>SUM(L35:L47)</f>
        <v>10</v>
      </c>
      <c r="M49" s="59">
        <f>SUM(M35:M47)</f>
        <v>4</v>
      </c>
      <c r="N49" s="60"/>
      <c r="O49" s="59"/>
      <c r="P49" s="59"/>
      <c r="Q49" s="62"/>
    </row>
    <row r="50" spans="2:17" ht="15.75" thickBot="1" x14ac:dyDescent="0.25"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7"/>
      <c r="O50" s="66"/>
      <c r="P50" s="66"/>
      <c r="Q50" s="68"/>
    </row>
    <row r="51" spans="2:17" x14ac:dyDescent="0.2">
      <c r="B51" s="42" t="s">
        <v>0</v>
      </c>
      <c r="C51" s="42" t="s">
        <v>26</v>
      </c>
      <c r="D51" s="42" t="s">
        <v>1</v>
      </c>
      <c r="E51" s="42" t="s">
        <v>2</v>
      </c>
      <c r="F51" s="42" t="s">
        <v>3</v>
      </c>
      <c r="G51" s="42" t="s">
        <v>4</v>
      </c>
      <c r="H51" s="42" t="s">
        <v>5</v>
      </c>
      <c r="I51" s="42" t="s">
        <v>6</v>
      </c>
      <c r="J51" s="42" t="s">
        <v>7</v>
      </c>
      <c r="K51" s="42" t="s">
        <v>8</v>
      </c>
      <c r="L51" s="42"/>
      <c r="M51" s="42"/>
      <c r="N51" s="52" t="s">
        <v>9</v>
      </c>
      <c r="O51" s="42"/>
      <c r="P51" s="42" t="s">
        <v>10</v>
      </c>
      <c r="Q51" s="42"/>
    </row>
    <row r="52" spans="2:17" x14ac:dyDescent="0.2">
      <c r="B52" s="43"/>
      <c r="C52" s="43"/>
      <c r="D52" s="43"/>
      <c r="E52" s="43" t="s">
        <v>11</v>
      </c>
      <c r="F52" s="43"/>
      <c r="G52" s="43"/>
      <c r="H52" s="43"/>
      <c r="I52" s="43"/>
      <c r="J52" s="43"/>
      <c r="K52" s="43" t="s">
        <v>12</v>
      </c>
      <c r="L52" s="43" t="s">
        <v>13</v>
      </c>
      <c r="M52" s="43" t="s">
        <v>14</v>
      </c>
      <c r="N52" s="53" t="s">
        <v>15</v>
      </c>
      <c r="O52" s="43" t="s">
        <v>16</v>
      </c>
      <c r="P52" s="43"/>
      <c r="Q52" s="43" t="s">
        <v>17</v>
      </c>
    </row>
    <row r="53" spans="2:17" ht="27.75" x14ac:dyDescent="0.2">
      <c r="B53" s="71" t="s">
        <v>49</v>
      </c>
      <c r="C53" s="57" t="s">
        <v>50</v>
      </c>
      <c r="D53" s="57"/>
      <c r="E53" s="57"/>
      <c r="F53" s="57"/>
      <c r="G53" s="57" t="s">
        <v>51</v>
      </c>
      <c r="H53" s="57" t="s">
        <v>52</v>
      </c>
      <c r="I53" s="47"/>
      <c r="J53" s="47"/>
      <c r="K53" s="57" t="s">
        <v>53</v>
      </c>
      <c r="L53" s="47">
        <v>2</v>
      </c>
      <c r="M53" s="47">
        <v>0</v>
      </c>
      <c r="N53" s="210">
        <f>SUM(L60-M60)</f>
        <v>1</v>
      </c>
      <c r="O53" s="48"/>
      <c r="P53" s="47"/>
      <c r="Q53" s="49"/>
    </row>
    <row r="54" spans="2:17" x14ac:dyDescent="0.2">
      <c r="B54" s="50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>
        <v>1</v>
      </c>
      <c r="N54" s="211"/>
      <c r="O54" s="45"/>
      <c r="P54" s="79" t="s">
        <v>46</v>
      </c>
      <c r="Q54" s="51" t="s">
        <v>54</v>
      </c>
    </row>
    <row r="55" spans="2:17" x14ac:dyDescent="0.2">
      <c r="B55" s="50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211"/>
      <c r="O55" s="44"/>
      <c r="P55" s="44"/>
      <c r="Q55" s="72"/>
    </row>
    <row r="56" spans="2:17" x14ac:dyDescent="0.2">
      <c r="B56" s="50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11"/>
      <c r="O56" s="44"/>
      <c r="P56" s="44"/>
      <c r="Q56" s="51"/>
    </row>
    <row r="57" spans="2:17" x14ac:dyDescent="0.2">
      <c r="B57" s="50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11"/>
      <c r="O57" s="44"/>
      <c r="P57" s="44"/>
      <c r="Q57" s="51"/>
    </row>
    <row r="58" spans="2:17" x14ac:dyDescent="0.2">
      <c r="B58" s="50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12"/>
      <c r="O58" s="44"/>
      <c r="P58" s="44"/>
      <c r="Q58" s="51"/>
    </row>
    <row r="59" spans="2:17" x14ac:dyDescent="0.2">
      <c r="B59" s="50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55"/>
      <c r="O59" s="44"/>
      <c r="P59" s="44"/>
      <c r="Q59" s="51"/>
    </row>
    <row r="60" spans="2:17" hidden="1" x14ac:dyDescent="0.2"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>
        <f>SUM(L53:L59)</f>
        <v>2</v>
      </c>
      <c r="M60" s="59">
        <f>SUM(M53:M59)</f>
        <v>1</v>
      </c>
      <c r="N60" s="60"/>
      <c r="O60" s="59"/>
      <c r="P60" s="59"/>
      <c r="Q60" s="62"/>
    </row>
    <row r="61" spans="2:17" ht="15.75" thickBot="1" x14ac:dyDescent="0.25">
      <c r="B61" s="65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7"/>
      <c r="O61" s="66"/>
      <c r="P61" s="66"/>
      <c r="Q61" s="68"/>
    </row>
    <row r="62" spans="2:17" x14ac:dyDescent="0.2">
      <c r="B62" s="42" t="s">
        <v>0</v>
      </c>
      <c r="C62" s="42" t="s">
        <v>26</v>
      </c>
      <c r="D62" s="42" t="s">
        <v>1</v>
      </c>
      <c r="E62" s="42" t="s">
        <v>2</v>
      </c>
      <c r="F62" s="42" t="s">
        <v>3</v>
      </c>
      <c r="G62" s="42" t="s">
        <v>4</v>
      </c>
      <c r="H62" s="42" t="s">
        <v>5</v>
      </c>
      <c r="I62" s="42" t="s">
        <v>6</v>
      </c>
      <c r="J62" s="42" t="s">
        <v>7</v>
      </c>
      <c r="K62" s="42" t="s">
        <v>8</v>
      </c>
      <c r="L62" s="42"/>
      <c r="M62" s="42"/>
      <c r="N62" s="52" t="s">
        <v>9</v>
      </c>
      <c r="O62" s="42"/>
      <c r="P62" s="42" t="s">
        <v>10</v>
      </c>
      <c r="Q62" s="42"/>
    </row>
    <row r="63" spans="2:17" x14ac:dyDescent="0.2">
      <c r="B63" s="43"/>
      <c r="C63" s="43"/>
      <c r="D63" s="43"/>
      <c r="E63" s="43" t="s">
        <v>11</v>
      </c>
      <c r="F63" s="43"/>
      <c r="G63" s="43"/>
      <c r="H63" s="43"/>
      <c r="I63" s="43"/>
      <c r="J63" s="43"/>
      <c r="K63" s="43" t="s">
        <v>12</v>
      </c>
      <c r="L63" s="43" t="s">
        <v>13</v>
      </c>
      <c r="M63" s="43" t="s">
        <v>14</v>
      </c>
      <c r="N63" s="53" t="s">
        <v>15</v>
      </c>
      <c r="O63" s="43" t="s">
        <v>16</v>
      </c>
      <c r="P63" s="43"/>
      <c r="Q63" s="43" t="s">
        <v>17</v>
      </c>
    </row>
    <row r="64" spans="2:17" x14ac:dyDescent="0.2">
      <c r="B64" s="71" t="s">
        <v>55</v>
      </c>
      <c r="C64" s="57" t="s">
        <v>56</v>
      </c>
      <c r="D64" s="57"/>
      <c r="E64" s="57">
        <v>771352</v>
      </c>
      <c r="F64" s="57"/>
      <c r="G64" s="57" t="s">
        <v>57</v>
      </c>
      <c r="H64" s="57" t="s">
        <v>21</v>
      </c>
      <c r="I64" s="47"/>
      <c r="J64" s="47"/>
      <c r="K64" s="57" t="s">
        <v>58</v>
      </c>
      <c r="L64" s="47">
        <v>50</v>
      </c>
      <c r="M64" s="47">
        <v>0</v>
      </c>
      <c r="N64" s="216">
        <f>SUM(L71-M71)</f>
        <v>46</v>
      </c>
      <c r="O64" s="48">
        <v>43625</v>
      </c>
      <c r="P64" s="47"/>
      <c r="Q64" s="49"/>
    </row>
    <row r="65" spans="2:17" x14ac:dyDescent="0.2">
      <c r="B65" s="50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>
        <v>4</v>
      </c>
      <c r="N65" s="217"/>
      <c r="O65" s="45"/>
      <c r="P65" s="79" t="s">
        <v>46</v>
      </c>
      <c r="Q65" s="51"/>
    </row>
    <row r="66" spans="2:17" x14ac:dyDescent="0.2">
      <c r="B66" s="50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17"/>
      <c r="O66" s="44"/>
      <c r="P66" s="44"/>
      <c r="Q66" s="72"/>
    </row>
    <row r="67" spans="2:17" x14ac:dyDescent="0.2">
      <c r="B67" s="50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17"/>
      <c r="O67" s="44"/>
      <c r="P67" s="44"/>
      <c r="Q67" s="51"/>
    </row>
    <row r="68" spans="2:17" x14ac:dyDescent="0.2">
      <c r="B68" s="50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17"/>
      <c r="O68" s="44"/>
      <c r="P68" s="44"/>
      <c r="Q68" s="51"/>
    </row>
    <row r="69" spans="2:17" x14ac:dyDescent="0.2">
      <c r="B69" s="50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18"/>
      <c r="O69" s="44"/>
      <c r="P69" s="44"/>
      <c r="Q69" s="51"/>
    </row>
    <row r="70" spans="2:17" x14ac:dyDescent="0.2">
      <c r="B70" s="50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55"/>
      <c r="O70" s="44"/>
      <c r="P70" s="44"/>
      <c r="Q70" s="51"/>
    </row>
    <row r="71" spans="2:17" hidden="1" x14ac:dyDescent="0.2">
      <c r="B71" s="58"/>
      <c r="C71" s="59"/>
      <c r="D71" s="59"/>
      <c r="E71" s="59"/>
      <c r="F71" s="59"/>
      <c r="G71" s="59"/>
      <c r="H71" s="59"/>
      <c r="I71" s="59"/>
      <c r="J71" s="59"/>
      <c r="K71" s="59"/>
      <c r="L71" s="59">
        <f>SUM(L64:L70)</f>
        <v>50</v>
      </c>
      <c r="M71" s="59">
        <f>SUM(M64:M70)</f>
        <v>4</v>
      </c>
      <c r="N71" s="60"/>
      <c r="O71" s="59"/>
      <c r="P71" s="59"/>
      <c r="Q71" s="62"/>
    </row>
    <row r="72" spans="2:17" ht="15.75" thickBot="1" x14ac:dyDescent="0.25">
      <c r="B72" s="65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7"/>
      <c r="O72" s="66"/>
      <c r="P72" s="66"/>
      <c r="Q72" s="68"/>
    </row>
    <row r="73" spans="2:17" x14ac:dyDescent="0.2">
      <c r="B73" s="42" t="s">
        <v>0</v>
      </c>
      <c r="C73" s="42" t="s">
        <v>26</v>
      </c>
      <c r="D73" s="42" t="s">
        <v>1</v>
      </c>
      <c r="E73" s="42" t="s">
        <v>2</v>
      </c>
      <c r="F73" s="42" t="s">
        <v>3</v>
      </c>
      <c r="G73" s="42" t="s">
        <v>4</v>
      </c>
      <c r="H73" s="42" t="s">
        <v>5</v>
      </c>
      <c r="I73" s="42" t="s">
        <v>6</v>
      </c>
      <c r="J73" s="42" t="s">
        <v>7</v>
      </c>
      <c r="K73" s="42" t="s">
        <v>8</v>
      </c>
      <c r="L73" s="42"/>
      <c r="M73" s="42"/>
      <c r="N73" s="52" t="s">
        <v>9</v>
      </c>
      <c r="O73" s="42"/>
      <c r="P73" s="42" t="s">
        <v>10</v>
      </c>
      <c r="Q73" s="42"/>
    </row>
    <row r="74" spans="2:17" x14ac:dyDescent="0.2">
      <c r="B74" s="43"/>
      <c r="C74" s="43"/>
      <c r="D74" s="43"/>
      <c r="E74" s="43" t="s">
        <v>11</v>
      </c>
      <c r="F74" s="43"/>
      <c r="G74" s="43"/>
      <c r="H74" s="43"/>
      <c r="I74" s="43"/>
      <c r="J74" s="43"/>
      <c r="K74" s="43" t="s">
        <v>12</v>
      </c>
      <c r="L74" s="43" t="s">
        <v>13</v>
      </c>
      <c r="M74" s="43" t="s">
        <v>14</v>
      </c>
      <c r="N74" s="53" t="s">
        <v>15</v>
      </c>
      <c r="O74" s="43" t="s">
        <v>16</v>
      </c>
      <c r="P74" s="43"/>
      <c r="Q74" s="43" t="s">
        <v>17</v>
      </c>
    </row>
    <row r="75" spans="2:17" ht="27.75" x14ac:dyDescent="0.2">
      <c r="B75" s="71" t="s">
        <v>59</v>
      </c>
      <c r="C75" s="57" t="s">
        <v>60</v>
      </c>
      <c r="D75" s="57"/>
      <c r="E75" s="57">
        <v>1601</v>
      </c>
      <c r="F75" s="57"/>
      <c r="G75" s="57"/>
      <c r="H75" s="57" t="s">
        <v>61</v>
      </c>
      <c r="I75" s="47"/>
      <c r="J75" s="47"/>
      <c r="K75" s="57" t="s">
        <v>58</v>
      </c>
      <c r="L75" s="47">
        <v>1</v>
      </c>
      <c r="M75" s="47">
        <v>0</v>
      </c>
      <c r="N75" s="210">
        <f>SUM(L82-M82)</f>
        <v>0</v>
      </c>
      <c r="O75" s="48">
        <v>43625</v>
      </c>
      <c r="P75" s="47"/>
      <c r="Q75" s="49"/>
    </row>
    <row r="76" spans="2:17" x14ac:dyDescent="0.2">
      <c r="B76" s="50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>
        <v>1</v>
      </c>
      <c r="N76" s="211"/>
      <c r="O76" s="45">
        <v>43625</v>
      </c>
      <c r="P76" s="79" t="s">
        <v>46</v>
      </c>
      <c r="Q76" s="51" t="s">
        <v>62</v>
      </c>
    </row>
    <row r="77" spans="2:17" x14ac:dyDescent="0.2">
      <c r="B77" s="50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11"/>
      <c r="O77" s="44"/>
      <c r="P77" s="44"/>
      <c r="Q77" s="72"/>
    </row>
    <row r="78" spans="2:17" x14ac:dyDescent="0.2">
      <c r="B78" s="50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11"/>
      <c r="O78" s="44"/>
      <c r="P78" s="44"/>
      <c r="Q78" s="51"/>
    </row>
    <row r="79" spans="2:17" x14ac:dyDescent="0.2">
      <c r="B79" s="50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11"/>
      <c r="O79" s="44"/>
      <c r="P79" s="44"/>
      <c r="Q79" s="51"/>
    </row>
    <row r="80" spans="2:17" x14ac:dyDescent="0.2">
      <c r="B80" s="50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12"/>
      <c r="O80" s="44"/>
      <c r="P80" s="44"/>
      <c r="Q80" s="51"/>
    </row>
    <row r="81" spans="2:17" x14ac:dyDescent="0.2">
      <c r="B81" s="50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55"/>
      <c r="O81" s="44"/>
      <c r="P81" s="44"/>
      <c r="Q81" s="51"/>
    </row>
    <row r="82" spans="2:17" hidden="1" x14ac:dyDescent="0.2">
      <c r="B82" s="58"/>
      <c r="C82" s="59"/>
      <c r="D82" s="59"/>
      <c r="E82" s="59"/>
      <c r="F82" s="59"/>
      <c r="G82" s="59"/>
      <c r="H82" s="59"/>
      <c r="I82" s="59"/>
      <c r="J82" s="59"/>
      <c r="K82" s="59"/>
      <c r="L82" s="59">
        <f>SUM(L75:L81)</f>
        <v>1</v>
      </c>
      <c r="M82" s="59">
        <f>SUM(M75:M81)</f>
        <v>1</v>
      </c>
      <c r="N82" s="60"/>
      <c r="O82" s="59"/>
      <c r="P82" s="59"/>
      <c r="Q82" s="62"/>
    </row>
    <row r="83" spans="2:17" ht="15.75" thickBot="1" x14ac:dyDescent="0.25">
      <c r="B83" s="65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7"/>
      <c r="O83" s="66"/>
      <c r="P83" s="66"/>
      <c r="Q83" s="68"/>
    </row>
    <row r="84" spans="2:17" x14ac:dyDescent="0.2">
      <c r="B84" s="42" t="s">
        <v>0</v>
      </c>
      <c r="C84" s="42" t="s">
        <v>26</v>
      </c>
      <c r="D84" s="42" t="s">
        <v>1</v>
      </c>
      <c r="E84" s="42" t="s">
        <v>2</v>
      </c>
      <c r="F84" s="42" t="s">
        <v>3</v>
      </c>
      <c r="G84" s="42" t="s">
        <v>4</v>
      </c>
      <c r="H84" s="42" t="s">
        <v>5</v>
      </c>
      <c r="I84" s="42" t="s">
        <v>6</v>
      </c>
      <c r="J84" s="42" t="s">
        <v>7</v>
      </c>
      <c r="K84" s="42" t="s">
        <v>8</v>
      </c>
      <c r="L84" s="42"/>
      <c r="M84" s="42"/>
      <c r="N84" s="52" t="s">
        <v>9</v>
      </c>
      <c r="O84" s="42"/>
      <c r="P84" s="42" t="s">
        <v>10</v>
      </c>
      <c r="Q84" s="42"/>
    </row>
    <row r="85" spans="2:17" x14ac:dyDescent="0.2">
      <c r="B85" s="43"/>
      <c r="C85" s="43"/>
      <c r="D85" s="43"/>
      <c r="E85" s="43" t="s">
        <v>11</v>
      </c>
      <c r="F85" s="43"/>
      <c r="G85" s="43"/>
      <c r="H85" s="43"/>
      <c r="I85" s="43"/>
      <c r="J85" s="43"/>
      <c r="K85" s="43" t="s">
        <v>12</v>
      </c>
      <c r="L85" s="43" t="s">
        <v>13</v>
      </c>
      <c r="M85" s="43" t="s">
        <v>14</v>
      </c>
      <c r="N85" s="53" t="s">
        <v>15</v>
      </c>
      <c r="O85" s="43" t="s">
        <v>16</v>
      </c>
      <c r="P85" s="43"/>
      <c r="Q85" s="43" t="s">
        <v>17</v>
      </c>
    </row>
    <row r="86" spans="2:17" ht="54.75" x14ac:dyDescent="0.2">
      <c r="B86" s="71" t="s">
        <v>63</v>
      </c>
      <c r="C86" s="57" t="s">
        <v>64</v>
      </c>
      <c r="D86" s="57"/>
      <c r="E86" s="57"/>
      <c r="F86" s="57"/>
      <c r="G86" s="57" t="s">
        <v>43</v>
      </c>
      <c r="H86" s="57"/>
      <c r="I86" s="47"/>
      <c r="J86" s="47" t="s">
        <v>65</v>
      </c>
      <c r="K86" s="57" t="s">
        <v>66</v>
      </c>
      <c r="L86" s="47">
        <v>10</v>
      </c>
      <c r="M86" s="47">
        <v>0</v>
      </c>
      <c r="N86" s="54">
        <f>SUM(L93-M93)</f>
        <v>5</v>
      </c>
      <c r="O86" s="48"/>
      <c r="P86" s="75"/>
      <c r="Q86" s="49"/>
    </row>
    <row r="87" spans="2:17" x14ac:dyDescent="0.2">
      <c r="B87" s="5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>
        <v>5</v>
      </c>
      <c r="N87" s="55"/>
      <c r="O87" s="45"/>
      <c r="P87" s="79" t="s">
        <v>67</v>
      </c>
      <c r="Q87" s="51"/>
    </row>
    <row r="88" spans="2:17" x14ac:dyDescent="0.2">
      <c r="B88" s="50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55"/>
      <c r="O88" s="44"/>
      <c r="P88" s="44"/>
      <c r="Q88" s="72"/>
    </row>
    <row r="89" spans="2:17" x14ac:dyDescent="0.2">
      <c r="B89" s="50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55"/>
      <c r="O89" s="44"/>
      <c r="P89" s="44"/>
      <c r="Q89" s="51"/>
    </row>
    <row r="90" spans="2:17" x14ac:dyDescent="0.2">
      <c r="B90" s="50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55"/>
      <c r="O90" s="44"/>
      <c r="P90" s="44"/>
      <c r="Q90" s="51"/>
    </row>
    <row r="91" spans="2:17" x14ac:dyDescent="0.2">
      <c r="B91" s="50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55"/>
      <c r="O91" s="44"/>
      <c r="P91" s="44"/>
      <c r="Q91" s="51"/>
    </row>
    <row r="92" spans="2:17" x14ac:dyDescent="0.2">
      <c r="B92" s="50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55"/>
      <c r="O92" s="44"/>
      <c r="P92" s="44"/>
      <c r="Q92" s="51"/>
    </row>
    <row r="93" spans="2:17" hidden="1" x14ac:dyDescent="0.2"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>
        <f>SUM(L86:L92)</f>
        <v>10</v>
      </c>
      <c r="M93" s="59">
        <f>SUM(M86:M92)</f>
        <v>5</v>
      </c>
      <c r="N93" s="60"/>
      <c r="O93" s="59"/>
      <c r="P93" s="59"/>
      <c r="Q93" s="62"/>
    </row>
    <row r="94" spans="2:17" ht="15.75" thickBot="1" x14ac:dyDescent="0.25">
      <c r="B94" s="65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7"/>
      <c r="O94" s="66"/>
      <c r="P94" s="66"/>
      <c r="Q94" s="68"/>
    </row>
    <row r="95" spans="2:17" x14ac:dyDescent="0.2">
      <c r="B95" s="42" t="s">
        <v>0</v>
      </c>
      <c r="C95" s="42" t="s">
        <v>26</v>
      </c>
      <c r="D95" s="42" t="s">
        <v>1</v>
      </c>
      <c r="E95" s="42" t="s">
        <v>2</v>
      </c>
      <c r="F95" s="42" t="s">
        <v>3</v>
      </c>
      <c r="G95" s="42" t="s">
        <v>4</v>
      </c>
      <c r="H95" s="42" t="s">
        <v>5</v>
      </c>
      <c r="I95" s="42" t="s">
        <v>6</v>
      </c>
      <c r="J95" s="42" t="s">
        <v>7</v>
      </c>
      <c r="K95" s="42" t="s">
        <v>8</v>
      </c>
      <c r="L95" s="42"/>
      <c r="M95" s="42"/>
      <c r="N95" s="52" t="s">
        <v>9</v>
      </c>
      <c r="O95" s="42"/>
      <c r="P95" s="42" t="s">
        <v>10</v>
      </c>
      <c r="Q95" s="42"/>
    </row>
    <row r="96" spans="2:17" x14ac:dyDescent="0.2">
      <c r="B96" s="43"/>
      <c r="C96" s="43"/>
      <c r="D96" s="43"/>
      <c r="E96" s="43" t="s">
        <v>11</v>
      </c>
      <c r="F96" s="43"/>
      <c r="G96" s="43"/>
      <c r="H96" s="43"/>
      <c r="I96" s="43"/>
      <c r="J96" s="43"/>
      <c r="K96" s="43" t="s">
        <v>12</v>
      </c>
      <c r="L96" s="43" t="s">
        <v>13</v>
      </c>
      <c r="M96" s="43" t="s">
        <v>14</v>
      </c>
      <c r="N96" s="53" t="s">
        <v>15</v>
      </c>
      <c r="O96" s="43" t="s">
        <v>16</v>
      </c>
      <c r="P96" s="43"/>
      <c r="Q96" s="43" t="s">
        <v>17</v>
      </c>
    </row>
    <row r="97" spans="2:17" ht="27.75" x14ac:dyDescent="0.2">
      <c r="B97" s="71" t="s">
        <v>68</v>
      </c>
      <c r="C97" s="57" t="s">
        <v>69</v>
      </c>
      <c r="D97" s="57"/>
      <c r="E97" s="57"/>
      <c r="F97" s="57" t="s">
        <v>70</v>
      </c>
      <c r="G97" s="57" t="s">
        <v>71</v>
      </c>
      <c r="H97" s="57"/>
      <c r="I97" s="47"/>
      <c r="J97" s="47"/>
      <c r="K97" s="57" t="s">
        <v>72</v>
      </c>
      <c r="L97" s="47">
        <v>20</v>
      </c>
      <c r="M97" s="47">
        <v>0</v>
      </c>
      <c r="N97" s="54">
        <f>SUM(L104-M104)</f>
        <v>7</v>
      </c>
      <c r="O97" s="48"/>
      <c r="P97" s="47"/>
      <c r="Q97" s="49"/>
    </row>
    <row r="98" spans="2:17" x14ac:dyDescent="0.2">
      <c r="B98" s="50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5">
        <v>1</v>
      </c>
      <c r="N98" s="55"/>
      <c r="O98" s="45"/>
      <c r="P98" s="79" t="s">
        <v>73</v>
      </c>
      <c r="Q98" s="51"/>
    </row>
    <row r="99" spans="2:17" x14ac:dyDescent="0.2">
      <c r="B99" s="50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>
        <v>12</v>
      </c>
      <c r="N99" s="55"/>
      <c r="O99" s="44"/>
      <c r="P99" s="79" t="s">
        <v>74</v>
      </c>
      <c r="Q99" s="72"/>
    </row>
    <row r="100" spans="2:17" x14ac:dyDescent="0.2">
      <c r="B100" s="50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55"/>
      <c r="O100" s="44"/>
      <c r="P100" s="44"/>
      <c r="Q100" s="51"/>
    </row>
    <row r="101" spans="2:17" x14ac:dyDescent="0.2">
      <c r="B101" s="50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55"/>
      <c r="O101" s="44"/>
      <c r="P101" s="44"/>
      <c r="Q101" s="51"/>
    </row>
    <row r="102" spans="2:17" x14ac:dyDescent="0.2">
      <c r="B102" s="50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55"/>
      <c r="O102" s="44"/>
      <c r="P102" s="44"/>
      <c r="Q102" s="51"/>
    </row>
    <row r="103" spans="2:17" ht="21" customHeight="1" x14ac:dyDescent="0.2">
      <c r="B103" s="50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55"/>
      <c r="O103" s="44"/>
      <c r="P103" s="44"/>
      <c r="Q103" s="51"/>
    </row>
    <row r="104" spans="2:17" hidden="1" x14ac:dyDescent="0.2"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>
        <f>SUM(L97:L103)</f>
        <v>20</v>
      </c>
      <c r="M104" s="59">
        <f>SUM(M97:M103)</f>
        <v>13</v>
      </c>
      <c r="N104" s="60"/>
      <c r="O104" s="59"/>
      <c r="P104" s="59"/>
      <c r="Q104" s="62"/>
    </row>
    <row r="105" spans="2:17" ht="15.75" thickBot="1" x14ac:dyDescent="0.25">
      <c r="B105" s="65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7"/>
      <c r="O105" s="66"/>
      <c r="P105" s="66"/>
      <c r="Q105" s="68"/>
    </row>
    <row r="106" spans="2:17" x14ac:dyDescent="0.2">
      <c r="B106" s="42" t="s">
        <v>0</v>
      </c>
      <c r="C106" s="42" t="s">
        <v>26</v>
      </c>
      <c r="D106" s="42" t="s">
        <v>1</v>
      </c>
      <c r="E106" s="42" t="s">
        <v>2</v>
      </c>
      <c r="F106" s="42" t="s">
        <v>3</v>
      </c>
      <c r="G106" s="42" t="s">
        <v>4</v>
      </c>
      <c r="H106" s="42" t="s">
        <v>5</v>
      </c>
      <c r="I106" s="42" t="s">
        <v>6</v>
      </c>
      <c r="J106" s="42" t="s">
        <v>7</v>
      </c>
      <c r="K106" s="42" t="s">
        <v>8</v>
      </c>
      <c r="L106" s="42"/>
      <c r="M106" s="42"/>
      <c r="N106" s="52" t="s">
        <v>9</v>
      </c>
      <c r="O106" s="42"/>
      <c r="P106" s="42" t="s">
        <v>10</v>
      </c>
      <c r="Q106" s="42"/>
    </row>
    <row r="107" spans="2:17" x14ac:dyDescent="0.2">
      <c r="B107" s="43"/>
      <c r="C107" s="43"/>
      <c r="D107" s="43"/>
      <c r="E107" s="43" t="s">
        <v>11</v>
      </c>
      <c r="F107" s="43"/>
      <c r="G107" s="43"/>
      <c r="H107" s="43"/>
      <c r="I107" s="43"/>
      <c r="J107" s="43"/>
      <c r="K107" s="43" t="s">
        <v>12</v>
      </c>
      <c r="L107" s="43" t="s">
        <v>13</v>
      </c>
      <c r="M107" s="43" t="s">
        <v>14</v>
      </c>
      <c r="N107" s="53" t="s">
        <v>15</v>
      </c>
      <c r="O107" s="43" t="s">
        <v>16</v>
      </c>
      <c r="P107" s="43"/>
      <c r="Q107" s="43" t="s">
        <v>17</v>
      </c>
    </row>
    <row r="108" spans="2:17" x14ac:dyDescent="0.2">
      <c r="B108" s="71" t="s">
        <v>75</v>
      </c>
      <c r="C108" s="57">
        <v>230016003</v>
      </c>
      <c r="D108" s="57"/>
      <c r="E108" s="57"/>
      <c r="F108" s="57"/>
      <c r="G108" s="57" t="s">
        <v>76</v>
      </c>
      <c r="H108" s="57"/>
      <c r="I108" s="47"/>
      <c r="J108" s="47"/>
      <c r="K108" s="57" t="s">
        <v>77</v>
      </c>
      <c r="L108" s="47">
        <v>10</v>
      </c>
      <c r="M108" s="47">
        <v>0</v>
      </c>
      <c r="N108" s="54">
        <f>SUM(L115-M115)</f>
        <v>26</v>
      </c>
      <c r="O108" s="48"/>
      <c r="P108" s="47"/>
      <c r="Q108" s="49"/>
    </row>
    <row r="109" spans="2:17" x14ac:dyDescent="0.2">
      <c r="B109" s="50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>
        <v>2</v>
      </c>
      <c r="N109" s="55"/>
      <c r="O109" s="45"/>
      <c r="P109" s="76" t="s">
        <v>73</v>
      </c>
      <c r="Q109" s="51"/>
    </row>
    <row r="110" spans="2:17" x14ac:dyDescent="0.2">
      <c r="B110" s="50"/>
      <c r="C110" s="44"/>
      <c r="D110" s="44"/>
      <c r="E110" s="44"/>
      <c r="F110" s="44"/>
      <c r="G110" s="44"/>
      <c r="H110" s="44"/>
      <c r="I110" s="44"/>
      <c r="J110" s="44"/>
      <c r="K110" s="44" t="s">
        <v>78</v>
      </c>
      <c r="L110" s="44">
        <v>30</v>
      </c>
      <c r="M110" s="44"/>
      <c r="N110" s="55"/>
      <c r="O110" s="44"/>
      <c r="P110" s="44"/>
      <c r="Q110" s="72"/>
    </row>
    <row r="111" spans="2:17" x14ac:dyDescent="0.2">
      <c r="B111" s="50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>
        <v>12</v>
      </c>
      <c r="N111" s="55"/>
      <c r="O111" s="44"/>
      <c r="P111" s="91" t="s">
        <v>79</v>
      </c>
      <c r="Q111" s="51"/>
    </row>
    <row r="112" spans="2:17" x14ac:dyDescent="0.2">
      <c r="B112" s="50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55"/>
      <c r="O112" s="44"/>
      <c r="P112" s="44"/>
      <c r="Q112" s="51"/>
    </row>
    <row r="113" spans="2:17" x14ac:dyDescent="0.2">
      <c r="B113" s="50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55"/>
      <c r="O113" s="44"/>
      <c r="P113" s="44"/>
      <c r="Q113" s="51"/>
    </row>
    <row r="114" spans="2:17" x14ac:dyDescent="0.2">
      <c r="B114" s="50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55"/>
      <c r="O114" s="44"/>
      <c r="P114" s="44"/>
      <c r="Q114" s="51"/>
    </row>
    <row r="115" spans="2:17" hidden="1" x14ac:dyDescent="0.2"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>
        <f>SUM(L108:L114)</f>
        <v>40</v>
      </c>
      <c r="M115" s="59">
        <f>SUM(M108:M114)</f>
        <v>14</v>
      </c>
      <c r="N115" s="60"/>
      <c r="O115" s="59"/>
      <c r="P115" s="59"/>
      <c r="Q115" s="62"/>
    </row>
    <row r="116" spans="2:17" ht="15.75" thickBot="1" x14ac:dyDescent="0.25">
      <c r="B116" s="65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7"/>
      <c r="O116" s="66"/>
      <c r="P116" s="66"/>
      <c r="Q116" s="68"/>
    </row>
    <row r="117" spans="2:17" x14ac:dyDescent="0.2">
      <c r="B117" s="42" t="s">
        <v>0</v>
      </c>
      <c r="C117" s="42" t="s">
        <v>26</v>
      </c>
      <c r="D117" s="42" t="s">
        <v>1</v>
      </c>
      <c r="E117" s="42" t="s">
        <v>2</v>
      </c>
      <c r="F117" s="42" t="s">
        <v>3</v>
      </c>
      <c r="G117" s="42" t="s">
        <v>4</v>
      </c>
      <c r="H117" s="42" t="s">
        <v>5</v>
      </c>
      <c r="I117" s="42" t="s">
        <v>6</v>
      </c>
      <c r="J117" s="42" t="s">
        <v>7</v>
      </c>
      <c r="K117" s="42" t="s">
        <v>8</v>
      </c>
      <c r="L117" s="42"/>
      <c r="M117" s="42"/>
      <c r="N117" s="52" t="s">
        <v>9</v>
      </c>
      <c r="O117" s="42"/>
      <c r="P117" s="42" t="s">
        <v>10</v>
      </c>
      <c r="Q117" s="42"/>
    </row>
    <row r="118" spans="2:17" x14ac:dyDescent="0.2">
      <c r="B118" s="43"/>
      <c r="C118" s="43"/>
      <c r="D118" s="43"/>
      <c r="E118" s="43" t="s">
        <v>11</v>
      </c>
      <c r="F118" s="43"/>
      <c r="G118" s="43"/>
      <c r="H118" s="43"/>
      <c r="I118" s="43"/>
      <c r="J118" s="43"/>
      <c r="K118" s="43" t="s">
        <v>12</v>
      </c>
      <c r="L118" s="43" t="s">
        <v>13</v>
      </c>
      <c r="M118" s="43" t="s">
        <v>14</v>
      </c>
      <c r="N118" s="53" t="s">
        <v>15</v>
      </c>
      <c r="O118" s="43" t="s">
        <v>16</v>
      </c>
      <c r="P118" s="43"/>
      <c r="Q118" s="43" t="s">
        <v>17</v>
      </c>
    </row>
    <row r="119" spans="2:17" ht="27.75" x14ac:dyDescent="0.2">
      <c r="B119" s="71" t="s">
        <v>80</v>
      </c>
      <c r="C119" s="57">
        <v>34150209</v>
      </c>
      <c r="D119" s="57"/>
      <c r="E119" s="57"/>
      <c r="F119" s="57"/>
      <c r="G119" s="57" t="s">
        <v>81</v>
      </c>
      <c r="H119" s="57"/>
      <c r="I119" s="47"/>
      <c r="J119" s="47"/>
      <c r="K119" s="57" t="s">
        <v>77</v>
      </c>
      <c r="L119" s="47">
        <v>10</v>
      </c>
      <c r="M119" s="47">
        <v>0</v>
      </c>
      <c r="N119" s="54">
        <f>SUM(L126-M126)</f>
        <v>26</v>
      </c>
      <c r="O119" s="48"/>
      <c r="P119" s="47"/>
      <c r="Q119" s="49"/>
    </row>
    <row r="120" spans="2:17" x14ac:dyDescent="0.2">
      <c r="B120" s="50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>
        <v>2</v>
      </c>
      <c r="N120" s="55"/>
      <c r="O120" s="45"/>
      <c r="P120" s="76" t="s">
        <v>73</v>
      </c>
      <c r="Q120" s="51"/>
    </row>
    <row r="121" spans="2:17" x14ac:dyDescent="0.2">
      <c r="B121" s="50"/>
      <c r="C121" s="44"/>
      <c r="D121" s="44"/>
      <c r="E121" s="44"/>
      <c r="F121" s="44"/>
      <c r="G121" s="44"/>
      <c r="H121" s="44"/>
      <c r="I121" s="44"/>
      <c r="J121" s="44"/>
      <c r="K121" s="44" t="s">
        <v>78</v>
      </c>
      <c r="L121" s="44">
        <v>30</v>
      </c>
      <c r="M121" s="44">
        <v>12</v>
      </c>
      <c r="N121" s="55"/>
      <c r="O121" s="44"/>
      <c r="P121" s="44" t="s">
        <v>79</v>
      </c>
      <c r="Q121" s="72"/>
    </row>
    <row r="122" spans="2:17" x14ac:dyDescent="0.2">
      <c r="B122" s="50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55"/>
      <c r="O122" s="44"/>
      <c r="P122" s="44"/>
      <c r="Q122" s="51"/>
    </row>
    <row r="123" spans="2:17" x14ac:dyDescent="0.2">
      <c r="B123" s="50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55"/>
      <c r="O123" s="44"/>
      <c r="P123" s="44"/>
      <c r="Q123" s="51"/>
    </row>
    <row r="124" spans="2:17" x14ac:dyDescent="0.2">
      <c r="B124" s="50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55"/>
      <c r="O124" s="44"/>
      <c r="P124" s="44"/>
      <c r="Q124" s="51"/>
    </row>
    <row r="125" spans="2:17" x14ac:dyDescent="0.2">
      <c r="B125" s="50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55"/>
      <c r="O125" s="44"/>
      <c r="P125" s="44"/>
      <c r="Q125" s="51"/>
    </row>
    <row r="126" spans="2:17" hidden="1" x14ac:dyDescent="0.2"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>
        <f>SUM(L119:L125)</f>
        <v>40</v>
      </c>
      <c r="M126" s="59">
        <f>SUM(M119:M125)</f>
        <v>14</v>
      </c>
      <c r="N126" s="60"/>
      <c r="O126" s="59"/>
      <c r="P126" s="59"/>
      <c r="Q126" s="62"/>
    </row>
    <row r="127" spans="2:17" ht="15.75" thickBot="1" x14ac:dyDescent="0.25">
      <c r="B127" s="65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7"/>
      <c r="O127" s="66"/>
      <c r="P127" s="66"/>
      <c r="Q127" s="68"/>
    </row>
    <row r="128" spans="2:17" x14ac:dyDescent="0.2">
      <c r="B128" s="42" t="s">
        <v>0</v>
      </c>
      <c r="C128" s="42" t="s">
        <v>26</v>
      </c>
      <c r="D128" s="42" t="s">
        <v>1</v>
      </c>
      <c r="E128" s="42" t="s">
        <v>2</v>
      </c>
      <c r="F128" s="42" t="s">
        <v>3</v>
      </c>
      <c r="G128" s="42" t="s">
        <v>4</v>
      </c>
      <c r="H128" s="42" t="s">
        <v>5</v>
      </c>
      <c r="I128" s="42" t="s">
        <v>6</v>
      </c>
      <c r="J128" s="42" t="s">
        <v>7</v>
      </c>
      <c r="K128" s="42" t="s">
        <v>8</v>
      </c>
      <c r="L128" s="42"/>
      <c r="M128" s="42"/>
      <c r="N128" s="52" t="s">
        <v>9</v>
      </c>
      <c r="O128" s="42"/>
      <c r="P128" s="42" t="s">
        <v>10</v>
      </c>
      <c r="Q128" s="42"/>
    </row>
    <row r="129" spans="2:17" x14ac:dyDescent="0.2">
      <c r="B129" s="43"/>
      <c r="C129" s="43"/>
      <c r="D129" s="43"/>
      <c r="E129" s="43" t="s">
        <v>11</v>
      </c>
      <c r="F129" s="43"/>
      <c r="G129" s="43"/>
      <c r="H129" s="43"/>
      <c r="I129" s="43"/>
      <c r="J129" s="43"/>
      <c r="K129" s="43" t="s">
        <v>12</v>
      </c>
      <c r="L129" s="43" t="s">
        <v>13</v>
      </c>
      <c r="M129" s="43" t="s">
        <v>14</v>
      </c>
      <c r="N129" s="53" t="s">
        <v>15</v>
      </c>
      <c r="O129" s="43" t="s">
        <v>16</v>
      </c>
      <c r="P129" s="43"/>
      <c r="Q129" s="43" t="s">
        <v>17</v>
      </c>
    </row>
    <row r="130" spans="2:17" ht="27.75" x14ac:dyDescent="0.2">
      <c r="B130" s="71" t="s">
        <v>82</v>
      </c>
      <c r="C130" s="80" t="s">
        <v>83</v>
      </c>
      <c r="D130" s="57"/>
      <c r="E130" s="57"/>
      <c r="F130" s="57"/>
      <c r="G130" s="57" t="s">
        <v>76</v>
      </c>
      <c r="H130" s="57"/>
      <c r="I130" s="47"/>
      <c r="J130" s="47"/>
      <c r="K130" s="57" t="s">
        <v>77</v>
      </c>
      <c r="L130" s="47">
        <v>200</v>
      </c>
      <c r="M130" s="47">
        <v>0</v>
      </c>
      <c r="N130" s="54">
        <f>SUM(L137-M137)</f>
        <v>200</v>
      </c>
      <c r="O130" s="48"/>
      <c r="P130" s="47"/>
      <c r="Q130" s="49"/>
    </row>
    <row r="131" spans="2:17" ht="41.25" x14ac:dyDescent="0.2">
      <c r="B131" s="50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>
        <v>20</v>
      </c>
      <c r="N131" s="55"/>
      <c r="O131" s="45"/>
      <c r="P131" s="92" t="s">
        <v>84</v>
      </c>
      <c r="Q131" s="51"/>
    </row>
    <row r="132" spans="2:17" x14ac:dyDescent="0.2">
      <c r="B132" s="50"/>
      <c r="C132" s="44"/>
      <c r="D132" s="44"/>
      <c r="E132" s="44"/>
      <c r="F132" s="44"/>
      <c r="G132" s="44"/>
      <c r="H132" s="44"/>
      <c r="I132" s="44"/>
      <c r="J132" s="44"/>
      <c r="K132" s="44" t="s">
        <v>85</v>
      </c>
      <c r="L132" s="44">
        <v>20</v>
      </c>
      <c r="M132" s="44"/>
      <c r="N132" s="55"/>
      <c r="O132" s="44"/>
      <c r="P132" s="44"/>
      <c r="Q132" s="72"/>
    </row>
    <row r="133" spans="2:17" x14ac:dyDescent="0.2">
      <c r="B133" s="50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55"/>
      <c r="O133" s="44"/>
      <c r="P133" s="44"/>
      <c r="Q133" s="51"/>
    </row>
    <row r="134" spans="2:17" x14ac:dyDescent="0.2">
      <c r="B134" s="50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55"/>
      <c r="O134" s="44"/>
      <c r="P134" s="44"/>
      <c r="Q134" s="51"/>
    </row>
    <row r="135" spans="2:17" x14ac:dyDescent="0.2">
      <c r="B135" s="50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55"/>
      <c r="O135" s="44"/>
      <c r="P135" s="44"/>
      <c r="Q135" s="51"/>
    </row>
    <row r="136" spans="2:17" x14ac:dyDescent="0.2">
      <c r="B136" s="50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55"/>
      <c r="O136" s="44"/>
      <c r="P136" s="44"/>
      <c r="Q136" s="51"/>
    </row>
    <row r="137" spans="2:17" hidden="1" x14ac:dyDescent="0.2"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>
        <f>SUM(L130:L136)</f>
        <v>220</v>
      </c>
      <c r="M137" s="59">
        <f>SUM(M130:M136)</f>
        <v>20</v>
      </c>
      <c r="N137" s="60"/>
      <c r="O137" s="59"/>
      <c r="P137" s="59"/>
      <c r="Q137" s="62"/>
    </row>
    <row r="138" spans="2:17" ht="15.75" thickBot="1" x14ac:dyDescent="0.25">
      <c r="B138" s="65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7"/>
      <c r="O138" s="66"/>
      <c r="P138" s="66"/>
      <c r="Q138" s="68"/>
    </row>
    <row r="139" spans="2:17" x14ac:dyDescent="0.2">
      <c r="B139" s="42" t="s">
        <v>0</v>
      </c>
      <c r="C139" s="42" t="s">
        <v>26</v>
      </c>
      <c r="D139" s="42" t="s">
        <v>1</v>
      </c>
      <c r="E139" s="42" t="s">
        <v>2</v>
      </c>
      <c r="F139" s="42" t="s">
        <v>3</v>
      </c>
      <c r="G139" s="42" t="s">
        <v>4</v>
      </c>
      <c r="H139" s="42" t="s">
        <v>5</v>
      </c>
      <c r="I139" s="42" t="s">
        <v>6</v>
      </c>
      <c r="J139" s="42" t="s">
        <v>7</v>
      </c>
      <c r="K139" s="42" t="s">
        <v>8</v>
      </c>
      <c r="L139" s="42"/>
      <c r="M139" s="42"/>
      <c r="N139" s="52" t="s">
        <v>9</v>
      </c>
      <c r="O139" s="42"/>
      <c r="P139" s="42" t="s">
        <v>10</v>
      </c>
      <c r="Q139" s="42"/>
    </row>
    <row r="140" spans="2:17" x14ac:dyDescent="0.2">
      <c r="B140" s="43"/>
      <c r="C140" s="43"/>
      <c r="D140" s="43"/>
      <c r="E140" s="43" t="s">
        <v>11</v>
      </c>
      <c r="F140" s="43"/>
      <c r="G140" s="43"/>
      <c r="H140" s="43"/>
      <c r="I140" s="43"/>
      <c r="J140" s="43"/>
      <c r="K140" s="43" t="s">
        <v>12</v>
      </c>
      <c r="L140" s="43" t="s">
        <v>13</v>
      </c>
      <c r="M140" s="43" t="s">
        <v>14</v>
      </c>
      <c r="N140" s="53" t="s">
        <v>15</v>
      </c>
      <c r="O140" s="43" t="s">
        <v>16</v>
      </c>
      <c r="P140" s="43"/>
      <c r="Q140" s="43" t="s">
        <v>17</v>
      </c>
    </row>
    <row r="141" spans="2:17" ht="27.75" x14ac:dyDescent="0.2">
      <c r="B141" s="71" t="s">
        <v>86</v>
      </c>
      <c r="C141" s="57">
        <v>61300511121</v>
      </c>
      <c r="D141" s="57"/>
      <c r="E141" s="57"/>
      <c r="F141" s="57"/>
      <c r="G141" s="57" t="s">
        <v>43</v>
      </c>
      <c r="H141" s="57"/>
      <c r="I141" s="47"/>
      <c r="J141" s="47"/>
      <c r="K141" s="57" t="s">
        <v>77</v>
      </c>
      <c r="L141" s="47">
        <v>200</v>
      </c>
      <c r="M141" s="47">
        <v>0</v>
      </c>
      <c r="N141" s="54">
        <f>SUM(L148-M148)</f>
        <v>200</v>
      </c>
      <c r="O141" s="48"/>
      <c r="P141" s="47"/>
      <c r="Q141" s="49"/>
    </row>
    <row r="142" spans="2:17" ht="41.25" x14ac:dyDescent="0.2">
      <c r="B142" s="50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>
        <v>20</v>
      </c>
      <c r="N142" s="55"/>
      <c r="O142" s="45"/>
      <c r="P142" s="92" t="s">
        <v>87</v>
      </c>
      <c r="Q142" s="51"/>
    </row>
    <row r="143" spans="2:17" x14ac:dyDescent="0.2">
      <c r="B143" s="50"/>
      <c r="C143" s="44"/>
      <c r="D143" s="44"/>
      <c r="E143" s="44"/>
      <c r="F143" s="44"/>
      <c r="G143" s="44"/>
      <c r="H143" s="44"/>
      <c r="I143" s="44"/>
      <c r="J143" s="44"/>
      <c r="K143" s="44" t="s">
        <v>88</v>
      </c>
      <c r="L143" s="44">
        <v>20</v>
      </c>
      <c r="M143" s="44"/>
      <c r="N143" s="55"/>
      <c r="O143" s="44"/>
      <c r="P143" s="44"/>
      <c r="Q143" s="72"/>
    </row>
    <row r="144" spans="2:17" x14ac:dyDescent="0.2">
      <c r="B144" s="50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55"/>
      <c r="O144" s="44"/>
      <c r="P144" s="44"/>
      <c r="Q144" s="51"/>
    </row>
    <row r="145" spans="2:17" x14ac:dyDescent="0.2">
      <c r="B145" s="50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55"/>
      <c r="O145" s="44"/>
      <c r="P145" s="44"/>
      <c r="Q145" s="51"/>
    </row>
    <row r="146" spans="2:17" x14ac:dyDescent="0.2">
      <c r="B146" s="50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55"/>
      <c r="O146" s="44"/>
      <c r="P146" s="44"/>
      <c r="Q146" s="51"/>
    </row>
    <row r="147" spans="2:17" x14ac:dyDescent="0.2">
      <c r="B147" s="50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55"/>
      <c r="O147" s="44"/>
      <c r="P147" s="44"/>
      <c r="Q147" s="51"/>
    </row>
    <row r="148" spans="2:17" x14ac:dyDescent="0.2"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>
        <f>SUM(L141:L147)</f>
        <v>220</v>
      </c>
      <c r="M148" s="59">
        <f>SUM(M141:M147)</f>
        <v>20</v>
      </c>
      <c r="N148" s="60"/>
      <c r="O148" s="59"/>
      <c r="P148" s="59"/>
      <c r="Q148" s="62"/>
    </row>
    <row r="149" spans="2:17" x14ac:dyDescent="0.2">
      <c r="B149" s="65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7"/>
      <c r="O149" s="66"/>
      <c r="P149" s="66"/>
      <c r="Q149" s="68"/>
    </row>
    <row r="150" spans="2:17" x14ac:dyDescent="0.2">
      <c r="B150" s="42" t="s">
        <v>0</v>
      </c>
      <c r="C150" s="42" t="s">
        <v>26</v>
      </c>
      <c r="D150" s="42" t="s">
        <v>1</v>
      </c>
      <c r="E150" s="42" t="s">
        <v>2</v>
      </c>
      <c r="F150" s="42" t="s">
        <v>3</v>
      </c>
      <c r="G150" s="42" t="s">
        <v>4</v>
      </c>
      <c r="H150" s="42" t="s">
        <v>5</v>
      </c>
      <c r="I150" s="42" t="s">
        <v>6</v>
      </c>
      <c r="J150" s="42" t="s">
        <v>7</v>
      </c>
      <c r="K150" s="42" t="s">
        <v>8</v>
      </c>
      <c r="L150" s="42"/>
      <c r="M150" s="42"/>
      <c r="N150" s="52" t="s">
        <v>9</v>
      </c>
      <c r="O150" s="42"/>
      <c r="P150" s="42" t="s">
        <v>10</v>
      </c>
      <c r="Q150" s="42"/>
    </row>
    <row r="151" spans="2:17" x14ac:dyDescent="0.2">
      <c r="B151" s="43"/>
      <c r="C151" s="43"/>
      <c r="D151" s="43"/>
      <c r="E151" s="43" t="s">
        <v>11</v>
      </c>
      <c r="F151" s="43"/>
      <c r="G151" s="43"/>
      <c r="H151" s="43"/>
      <c r="I151" s="43"/>
      <c r="J151" s="43"/>
      <c r="K151" s="43" t="s">
        <v>12</v>
      </c>
      <c r="L151" s="43" t="s">
        <v>13</v>
      </c>
      <c r="M151" s="84" t="s">
        <v>14</v>
      </c>
      <c r="N151" s="53" t="s">
        <v>15</v>
      </c>
      <c r="O151" s="43" t="s">
        <v>16</v>
      </c>
      <c r="P151" s="43"/>
      <c r="Q151" s="43" t="s">
        <v>17</v>
      </c>
    </row>
    <row r="152" spans="2:17" x14ac:dyDescent="0.2">
      <c r="B152" s="71" t="s">
        <v>89</v>
      </c>
      <c r="C152" s="57" t="s">
        <v>90</v>
      </c>
      <c r="D152" s="57"/>
      <c r="E152" s="57"/>
      <c r="F152" s="57"/>
      <c r="G152" s="57" t="s">
        <v>91</v>
      </c>
      <c r="H152" s="57"/>
      <c r="I152" s="47"/>
      <c r="J152" s="47"/>
      <c r="K152" s="57" t="s">
        <v>92</v>
      </c>
      <c r="L152" s="81">
        <v>6</v>
      </c>
      <c r="M152" s="83"/>
      <c r="N152" s="82">
        <f>SUM(L159-M159)</f>
        <v>4</v>
      </c>
      <c r="O152" s="48"/>
      <c r="P152" s="47"/>
      <c r="Q152" s="49"/>
    </row>
    <row r="153" spans="2:17" x14ac:dyDescent="0.2">
      <c r="B153" s="50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83">
        <v>2</v>
      </c>
      <c r="N153" s="55"/>
      <c r="O153" s="45"/>
      <c r="P153" s="79" t="s">
        <v>73</v>
      </c>
      <c r="Q153" s="51"/>
    </row>
    <row r="154" spans="2:17" x14ac:dyDescent="0.2">
      <c r="B154" s="50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55"/>
      <c r="O154" s="44"/>
      <c r="P154" s="44"/>
      <c r="Q154" s="72"/>
    </row>
    <row r="155" spans="2:17" x14ac:dyDescent="0.2">
      <c r="B155" s="50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55"/>
      <c r="O155" s="44"/>
      <c r="P155" s="44"/>
      <c r="Q155" s="51"/>
    </row>
    <row r="156" spans="2:17" x14ac:dyDescent="0.2">
      <c r="B156" s="50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55"/>
      <c r="O156" s="44"/>
      <c r="P156" s="44"/>
      <c r="Q156" s="51"/>
    </row>
    <row r="157" spans="2:17" x14ac:dyDescent="0.2">
      <c r="B157" s="50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55"/>
      <c r="O157" s="44"/>
      <c r="P157" s="44"/>
      <c r="Q157" s="51"/>
    </row>
    <row r="158" spans="2:17" x14ac:dyDescent="0.2">
      <c r="B158" s="50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55"/>
      <c r="O158" s="44"/>
      <c r="P158" s="44"/>
      <c r="Q158" s="51"/>
    </row>
    <row r="159" spans="2:17" hidden="1" x14ac:dyDescent="0.2"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>
        <f>SUM(L152:L158)</f>
        <v>6</v>
      </c>
      <c r="M159" s="59">
        <f>SUM(M153:M158)</f>
        <v>2</v>
      </c>
      <c r="N159" s="60"/>
      <c r="O159" s="59"/>
      <c r="P159" s="59"/>
      <c r="Q159" s="62"/>
    </row>
    <row r="160" spans="2:17" ht="15.75" thickBot="1" x14ac:dyDescent="0.25">
      <c r="B160" s="65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7"/>
      <c r="O160" s="66"/>
      <c r="P160" s="66"/>
      <c r="Q160" s="68"/>
    </row>
    <row r="161" spans="2:17" x14ac:dyDescent="0.2">
      <c r="B161" s="42" t="s">
        <v>0</v>
      </c>
      <c r="C161" s="42" t="s">
        <v>26</v>
      </c>
      <c r="D161" s="42" t="s">
        <v>1</v>
      </c>
      <c r="E161" s="42" t="s">
        <v>2</v>
      </c>
      <c r="F161" s="42" t="s">
        <v>3</v>
      </c>
      <c r="G161" s="42" t="s">
        <v>4</v>
      </c>
      <c r="H161" s="42" t="s">
        <v>5</v>
      </c>
      <c r="I161" s="42" t="s">
        <v>6</v>
      </c>
      <c r="J161" s="42" t="s">
        <v>7</v>
      </c>
      <c r="K161" s="42" t="s">
        <v>8</v>
      </c>
      <c r="L161" s="42"/>
      <c r="M161" s="42"/>
      <c r="N161" s="52" t="s">
        <v>9</v>
      </c>
      <c r="O161" s="42"/>
      <c r="P161" s="42" t="s">
        <v>10</v>
      </c>
      <c r="Q161" s="42"/>
    </row>
    <row r="162" spans="2:17" x14ac:dyDescent="0.2">
      <c r="B162" s="89"/>
      <c r="C162" s="43"/>
      <c r="D162" s="43"/>
      <c r="E162" s="43" t="s">
        <v>11</v>
      </c>
      <c r="F162" s="43"/>
      <c r="G162" s="43"/>
      <c r="H162" s="43"/>
      <c r="I162" s="43"/>
      <c r="J162" s="43"/>
      <c r="K162" s="43" t="s">
        <v>12</v>
      </c>
      <c r="L162" s="43" t="s">
        <v>13</v>
      </c>
      <c r="M162" s="43" t="s">
        <v>14</v>
      </c>
      <c r="N162" s="53" t="s">
        <v>15</v>
      </c>
      <c r="O162" s="43" t="s">
        <v>16</v>
      </c>
      <c r="P162" s="43"/>
      <c r="Q162" s="43" t="s">
        <v>17</v>
      </c>
    </row>
    <row r="163" spans="2:17" ht="27.75" x14ac:dyDescent="0.2">
      <c r="B163" s="74" t="s">
        <v>93</v>
      </c>
      <c r="C163" s="85"/>
      <c r="D163" s="57"/>
      <c r="E163" s="57"/>
      <c r="F163" s="57" t="s">
        <v>94</v>
      </c>
      <c r="G163" s="57" t="s">
        <v>43</v>
      </c>
      <c r="H163" s="57"/>
      <c r="I163" s="47"/>
      <c r="J163" s="47"/>
      <c r="K163" s="57" t="s">
        <v>95</v>
      </c>
      <c r="L163" s="47">
        <v>100</v>
      </c>
      <c r="M163" s="47">
        <v>0</v>
      </c>
      <c r="N163" s="54">
        <f>SUM(L170-M170)</f>
        <v>70</v>
      </c>
      <c r="O163" s="48"/>
      <c r="P163" s="57" t="s">
        <v>96</v>
      </c>
      <c r="Q163" s="49"/>
    </row>
    <row r="164" spans="2:17" x14ac:dyDescent="0.2">
      <c r="B164" s="90"/>
      <c r="C164" s="86"/>
      <c r="D164" s="44"/>
      <c r="E164" s="44"/>
      <c r="F164" s="44"/>
      <c r="G164" s="44"/>
      <c r="H164" s="44"/>
      <c r="I164" s="44"/>
      <c r="J164" s="44"/>
      <c r="K164" s="44"/>
      <c r="L164" s="44"/>
      <c r="M164" s="44">
        <v>30</v>
      </c>
      <c r="N164" s="55"/>
      <c r="O164" s="45"/>
      <c r="P164" s="79" t="s">
        <v>73</v>
      </c>
      <c r="Q164" s="51"/>
    </row>
    <row r="165" spans="2:17" x14ac:dyDescent="0.2">
      <c r="B165" s="87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55"/>
      <c r="O165" s="44"/>
      <c r="P165" s="44"/>
      <c r="Q165" s="72"/>
    </row>
    <row r="166" spans="2:17" x14ac:dyDescent="0.2">
      <c r="B166" s="50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55"/>
      <c r="O166" s="44"/>
      <c r="P166" s="44"/>
      <c r="Q166" s="51"/>
    </row>
    <row r="167" spans="2:17" x14ac:dyDescent="0.2">
      <c r="B167" s="50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55"/>
      <c r="O167" s="44"/>
      <c r="P167" s="44"/>
      <c r="Q167" s="51"/>
    </row>
    <row r="168" spans="2:17" x14ac:dyDescent="0.2">
      <c r="B168" s="50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55"/>
      <c r="O168" s="44"/>
      <c r="P168" s="44"/>
      <c r="Q168" s="51"/>
    </row>
    <row r="169" spans="2:17" x14ac:dyDescent="0.2">
      <c r="B169" s="50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55"/>
      <c r="O169" s="44"/>
      <c r="P169" s="44"/>
      <c r="Q169" s="51"/>
    </row>
    <row r="170" spans="2:17" hidden="1" x14ac:dyDescent="0.2">
      <c r="B170" s="58"/>
      <c r="C170" s="59"/>
      <c r="D170" s="59"/>
      <c r="E170" s="59"/>
      <c r="F170" s="59"/>
      <c r="G170" s="59"/>
      <c r="H170" s="59"/>
      <c r="I170" s="59"/>
      <c r="J170" s="59"/>
      <c r="K170" s="59"/>
      <c r="L170" s="59">
        <f>SUM(L163:L169)</f>
        <v>100</v>
      </c>
      <c r="M170" s="59">
        <f>SUM(M163:M169)</f>
        <v>30</v>
      </c>
      <c r="N170" s="60"/>
      <c r="O170" s="59"/>
      <c r="P170" s="59"/>
      <c r="Q170" s="62"/>
    </row>
    <row r="171" spans="2:17" ht="15.75" thickBot="1" x14ac:dyDescent="0.25">
      <c r="B171" s="65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7"/>
      <c r="O171" s="66"/>
      <c r="P171" s="66"/>
      <c r="Q171" s="68"/>
    </row>
    <row r="172" spans="2:17" x14ac:dyDescent="0.2">
      <c r="B172" s="42" t="s">
        <v>0</v>
      </c>
      <c r="C172" s="42" t="s">
        <v>26</v>
      </c>
      <c r="D172" s="42" t="s">
        <v>1</v>
      </c>
      <c r="E172" s="42" t="s">
        <v>2</v>
      </c>
      <c r="F172" s="42" t="s">
        <v>3</v>
      </c>
      <c r="G172" s="42" t="s">
        <v>4</v>
      </c>
      <c r="H172" s="42" t="s">
        <v>5</v>
      </c>
      <c r="I172" s="42" t="s">
        <v>6</v>
      </c>
      <c r="J172" s="42" t="s">
        <v>7</v>
      </c>
      <c r="K172" s="42" t="s">
        <v>8</v>
      </c>
      <c r="L172" s="42"/>
      <c r="M172" s="42"/>
      <c r="N172" s="52" t="s">
        <v>9</v>
      </c>
      <c r="O172" s="42"/>
      <c r="P172" s="42" t="s">
        <v>10</v>
      </c>
      <c r="Q172" s="42"/>
    </row>
    <row r="173" spans="2:17" x14ac:dyDescent="0.2">
      <c r="B173" s="43"/>
      <c r="C173" s="43"/>
      <c r="D173" s="43"/>
      <c r="E173" s="43" t="s">
        <v>11</v>
      </c>
      <c r="F173" s="43"/>
      <c r="G173" s="43"/>
      <c r="H173" s="43"/>
      <c r="I173" s="43"/>
      <c r="J173" s="43"/>
      <c r="K173" s="43" t="s">
        <v>12</v>
      </c>
      <c r="L173" s="43" t="s">
        <v>13</v>
      </c>
      <c r="M173" s="43" t="s">
        <v>14</v>
      </c>
      <c r="N173" s="53" t="s">
        <v>15</v>
      </c>
      <c r="O173" s="43" t="s">
        <v>16</v>
      </c>
      <c r="P173" s="43"/>
      <c r="Q173" s="43" t="s">
        <v>17</v>
      </c>
    </row>
    <row r="174" spans="2:17" x14ac:dyDescent="0.2">
      <c r="B174" s="71" t="s">
        <v>97</v>
      </c>
      <c r="C174" s="57" t="s">
        <v>98</v>
      </c>
      <c r="D174" s="57"/>
      <c r="E174" s="57"/>
      <c r="F174" s="57"/>
      <c r="G174" s="57" t="s">
        <v>99</v>
      </c>
      <c r="H174" s="57"/>
      <c r="I174" s="47"/>
      <c r="J174" s="47"/>
      <c r="K174" s="57" t="s">
        <v>100</v>
      </c>
      <c r="L174" s="47">
        <v>10</v>
      </c>
      <c r="M174" s="47">
        <v>0</v>
      </c>
      <c r="N174" s="54">
        <f>SUM(L181-M181)</f>
        <v>8</v>
      </c>
      <c r="O174" s="48"/>
      <c r="P174" s="47"/>
      <c r="Q174" s="49"/>
    </row>
    <row r="175" spans="2:17" x14ac:dyDescent="0.2">
      <c r="B175" s="50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>
        <v>1</v>
      </c>
      <c r="N175" s="55"/>
      <c r="O175" s="45"/>
      <c r="P175" s="79" t="s">
        <v>101</v>
      </c>
      <c r="Q175" s="51"/>
    </row>
    <row r="176" spans="2:17" x14ac:dyDescent="0.2">
      <c r="B176" s="50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>
        <v>1</v>
      </c>
      <c r="N176" s="55"/>
      <c r="O176" s="44"/>
      <c r="P176" s="79" t="s">
        <v>101</v>
      </c>
      <c r="Q176" s="72"/>
    </row>
    <row r="177" spans="2:17" x14ac:dyDescent="0.2">
      <c r="B177" s="50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55"/>
      <c r="O177" s="44"/>
      <c r="P177" s="44"/>
      <c r="Q177" s="51"/>
    </row>
    <row r="178" spans="2:17" x14ac:dyDescent="0.2">
      <c r="B178" s="50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55"/>
      <c r="O178" s="44"/>
      <c r="P178" s="44"/>
      <c r="Q178" s="51"/>
    </row>
    <row r="179" spans="2:17" x14ac:dyDescent="0.2">
      <c r="B179" s="50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55"/>
      <c r="O179" s="44"/>
      <c r="P179" s="44"/>
      <c r="Q179" s="51"/>
    </row>
    <row r="180" spans="2:17" x14ac:dyDescent="0.2">
      <c r="B180" s="50"/>
      <c r="C180" s="88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55"/>
      <c r="O180" s="44"/>
      <c r="P180" s="44"/>
      <c r="Q180" s="51"/>
    </row>
    <row r="181" spans="2:17" hidden="1" x14ac:dyDescent="0.2">
      <c r="B181" s="58"/>
      <c r="C181" s="59"/>
      <c r="D181" s="59"/>
      <c r="E181" s="59"/>
      <c r="F181" s="59"/>
      <c r="G181" s="59"/>
      <c r="H181" s="59"/>
      <c r="I181" s="59"/>
      <c r="J181" s="59"/>
      <c r="K181" s="59"/>
      <c r="L181" s="59">
        <f>SUM(L174:L180)</f>
        <v>10</v>
      </c>
      <c r="M181" s="59">
        <f>SUM(M174:M180)</f>
        <v>2</v>
      </c>
      <c r="N181" s="60"/>
      <c r="O181" s="59"/>
      <c r="P181" s="59"/>
      <c r="Q181" s="62"/>
    </row>
    <row r="182" spans="2:17" ht="15.75" thickBot="1" x14ac:dyDescent="0.25">
      <c r="B182" s="65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7"/>
      <c r="O182" s="66"/>
      <c r="P182" s="66"/>
      <c r="Q182" s="68"/>
    </row>
    <row r="183" spans="2:17" x14ac:dyDescent="0.2">
      <c r="B183" s="42" t="s">
        <v>0</v>
      </c>
      <c r="C183" s="42" t="s">
        <v>26</v>
      </c>
      <c r="D183" s="42" t="s">
        <v>1</v>
      </c>
      <c r="E183" s="42" t="s">
        <v>2</v>
      </c>
      <c r="F183" s="42" t="s">
        <v>3</v>
      </c>
      <c r="G183" s="42" t="s">
        <v>4</v>
      </c>
      <c r="H183" s="42" t="s">
        <v>5</v>
      </c>
      <c r="I183" s="42" t="s">
        <v>6</v>
      </c>
      <c r="J183" s="42" t="s">
        <v>7</v>
      </c>
      <c r="K183" s="42" t="s">
        <v>8</v>
      </c>
      <c r="L183" s="42"/>
      <c r="M183" s="42"/>
      <c r="N183" s="52" t="s">
        <v>9</v>
      </c>
      <c r="O183" s="42"/>
      <c r="P183" s="42" t="s">
        <v>10</v>
      </c>
      <c r="Q183" s="42"/>
    </row>
    <row r="184" spans="2:17" x14ac:dyDescent="0.2">
      <c r="B184" s="43"/>
      <c r="C184" s="43"/>
      <c r="D184" s="43"/>
      <c r="E184" s="43" t="s">
        <v>11</v>
      </c>
      <c r="F184" s="43"/>
      <c r="G184" s="43"/>
      <c r="H184" s="43"/>
      <c r="I184" s="43"/>
      <c r="J184" s="43"/>
      <c r="K184" s="43" t="s">
        <v>12</v>
      </c>
      <c r="L184" s="43" t="s">
        <v>13</v>
      </c>
      <c r="M184" s="43" t="s">
        <v>14</v>
      </c>
      <c r="N184" s="53" t="s">
        <v>15</v>
      </c>
      <c r="O184" s="43" t="s">
        <v>16</v>
      </c>
      <c r="P184" s="43"/>
      <c r="Q184" s="43" t="s">
        <v>17</v>
      </c>
    </row>
    <row r="185" spans="2:17" x14ac:dyDescent="0.2">
      <c r="B185" s="71" t="s">
        <v>102</v>
      </c>
      <c r="C185" s="57" t="s">
        <v>103</v>
      </c>
      <c r="D185" s="57"/>
      <c r="E185" s="57"/>
      <c r="F185" s="57"/>
      <c r="G185" s="57" t="s">
        <v>104</v>
      </c>
      <c r="H185" s="57"/>
      <c r="I185" s="47"/>
      <c r="J185" s="47"/>
      <c r="K185" s="57" t="s">
        <v>105</v>
      </c>
      <c r="L185" s="47">
        <v>5</v>
      </c>
      <c r="M185" s="47">
        <v>0</v>
      </c>
      <c r="N185" s="54">
        <f>SUM(L192-M192)</f>
        <v>2</v>
      </c>
      <c r="O185" s="48"/>
      <c r="P185" s="47" t="s">
        <v>106</v>
      </c>
      <c r="Q185" s="49"/>
    </row>
    <row r="186" spans="2:17" x14ac:dyDescent="0.2">
      <c r="B186" s="50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>
        <v>3</v>
      </c>
      <c r="N186" s="55"/>
      <c r="O186" s="45"/>
      <c r="P186" s="79" t="s">
        <v>107</v>
      </c>
      <c r="Q186" s="51"/>
    </row>
    <row r="187" spans="2:17" x14ac:dyDescent="0.2">
      <c r="B187" s="50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55"/>
      <c r="O187" s="44"/>
      <c r="P187" s="44"/>
      <c r="Q187" s="72"/>
    </row>
    <row r="188" spans="2:17" x14ac:dyDescent="0.2">
      <c r="B188" s="50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55"/>
      <c r="O188" s="44"/>
      <c r="P188" s="44"/>
      <c r="Q188" s="51"/>
    </row>
    <row r="189" spans="2:17" x14ac:dyDescent="0.2">
      <c r="B189" s="50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55"/>
      <c r="O189" s="44"/>
      <c r="P189" s="44"/>
      <c r="Q189" s="51"/>
    </row>
    <row r="190" spans="2:17" x14ac:dyDescent="0.2">
      <c r="B190" s="50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55"/>
      <c r="O190" s="44"/>
      <c r="P190" s="44"/>
      <c r="Q190" s="51"/>
    </row>
    <row r="191" spans="2:17" x14ac:dyDescent="0.2">
      <c r="B191" s="50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55"/>
      <c r="O191" s="44"/>
      <c r="P191" s="44"/>
      <c r="Q191" s="51"/>
    </row>
    <row r="192" spans="2:17" hidden="1" x14ac:dyDescent="0.2">
      <c r="B192" s="58"/>
      <c r="C192" s="59"/>
      <c r="D192" s="59"/>
      <c r="E192" s="59"/>
      <c r="F192" s="59"/>
      <c r="G192" s="59"/>
      <c r="H192" s="59"/>
      <c r="I192" s="59"/>
      <c r="J192" s="59"/>
      <c r="K192" s="59"/>
      <c r="L192" s="59">
        <f>SUM(L185:L191)</f>
        <v>5</v>
      </c>
      <c r="M192" s="59">
        <f>SUM(M185:M191)</f>
        <v>3</v>
      </c>
      <c r="N192" s="60"/>
      <c r="O192" s="59"/>
      <c r="P192" s="59"/>
      <c r="Q192" s="62"/>
    </row>
    <row r="193" spans="2:17" ht="15.75" thickBot="1" x14ac:dyDescent="0.25">
      <c r="B193" s="65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7"/>
      <c r="O193" s="66"/>
      <c r="P193" s="66"/>
      <c r="Q193" s="68"/>
    </row>
    <row r="194" spans="2:17" x14ac:dyDescent="0.2">
      <c r="B194" s="42" t="s">
        <v>0</v>
      </c>
      <c r="C194" s="42" t="s">
        <v>26</v>
      </c>
      <c r="D194" s="42" t="s">
        <v>1</v>
      </c>
      <c r="E194" s="42" t="s">
        <v>2</v>
      </c>
      <c r="F194" s="42" t="s">
        <v>3</v>
      </c>
      <c r="G194" s="42" t="s">
        <v>4</v>
      </c>
      <c r="H194" s="42" t="s">
        <v>5</v>
      </c>
      <c r="I194" s="42" t="s">
        <v>6</v>
      </c>
      <c r="J194" s="42" t="s">
        <v>7</v>
      </c>
      <c r="K194" s="42" t="s">
        <v>8</v>
      </c>
      <c r="L194" s="42"/>
      <c r="M194" s="42"/>
      <c r="N194" s="52" t="s">
        <v>9</v>
      </c>
      <c r="O194" s="42"/>
      <c r="P194" s="42" t="s">
        <v>10</v>
      </c>
      <c r="Q194" s="42"/>
    </row>
    <row r="195" spans="2:17" x14ac:dyDescent="0.2">
      <c r="B195" s="43"/>
      <c r="C195" s="43"/>
      <c r="D195" s="43"/>
      <c r="E195" s="43" t="s">
        <v>11</v>
      </c>
      <c r="F195" s="43"/>
      <c r="G195" s="43"/>
      <c r="H195" s="43"/>
      <c r="I195" s="43"/>
      <c r="J195" s="43"/>
      <c r="K195" s="43" t="s">
        <v>12</v>
      </c>
      <c r="L195" s="43" t="s">
        <v>13</v>
      </c>
      <c r="M195" s="43" t="s">
        <v>14</v>
      </c>
      <c r="N195" s="53" t="s">
        <v>15</v>
      </c>
      <c r="O195" s="43" t="s">
        <v>16</v>
      </c>
      <c r="P195" s="43"/>
      <c r="Q195" s="43" t="s">
        <v>17</v>
      </c>
    </row>
    <row r="196" spans="2:17" x14ac:dyDescent="0.2">
      <c r="B196" s="71" t="s">
        <v>108</v>
      </c>
      <c r="C196" s="57" t="s">
        <v>109</v>
      </c>
      <c r="D196" s="57"/>
      <c r="E196" s="57"/>
      <c r="F196" s="57"/>
      <c r="G196" s="57" t="s">
        <v>110</v>
      </c>
      <c r="H196" s="57"/>
      <c r="I196" s="47"/>
      <c r="J196" s="47"/>
      <c r="K196" s="57" t="s">
        <v>105</v>
      </c>
      <c r="L196" s="47">
        <v>5</v>
      </c>
      <c r="M196" s="47">
        <v>0</v>
      </c>
      <c r="N196" s="54">
        <f>SUM(L203-M203)</f>
        <v>2</v>
      </c>
      <c r="O196" s="48"/>
      <c r="P196" s="47" t="s">
        <v>106</v>
      </c>
      <c r="Q196" s="49"/>
    </row>
    <row r="197" spans="2:17" x14ac:dyDescent="0.2">
      <c r="B197" s="50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>
        <v>3</v>
      </c>
      <c r="N197" s="55"/>
      <c r="O197" s="45"/>
      <c r="P197" s="79" t="s">
        <v>107</v>
      </c>
      <c r="Q197" s="51"/>
    </row>
    <row r="198" spans="2:17" x14ac:dyDescent="0.2">
      <c r="B198" s="50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55"/>
      <c r="O198" s="44"/>
      <c r="P198" s="44"/>
      <c r="Q198" s="72"/>
    </row>
    <row r="199" spans="2:17" x14ac:dyDescent="0.2">
      <c r="B199" s="50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55"/>
      <c r="O199" s="44"/>
      <c r="P199" s="44"/>
      <c r="Q199" s="51"/>
    </row>
    <row r="200" spans="2:17" x14ac:dyDescent="0.2">
      <c r="B200" s="50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55"/>
      <c r="O200" s="44"/>
      <c r="P200" s="44"/>
      <c r="Q200" s="51"/>
    </row>
    <row r="201" spans="2:17" x14ac:dyDescent="0.2">
      <c r="B201" s="50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55"/>
      <c r="O201" s="44"/>
      <c r="P201" s="44"/>
      <c r="Q201" s="51"/>
    </row>
    <row r="202" spans="2:17" x14ac:dyDescent="0.2">
      <c r="B202" s="50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55"/>
      <c r="O202" s="44"/>
      <c r="P202" s="44"/>
      <c r="Q202" s="51"/>
    </row>
    <row r="203" spans="2:17" hidden="1" x14ac:dyDescent="0.2">
      <c r="B203" s="58"/>
      <c r="C203" s="59"/>
      <c r="D203" s="59"/>
      <c r="E203" s="59"/>
      <c r="F203" s="59"/>
      <c r="G203" s="59"/>
      <c r="H203" s="59"/>
      <c r="I203" s="59"/>
      <c r="J203" s="59"/>
      <c r="K203" s="59"/>
      <c r="L203" s="59">
        <f>SUM(L196:L202)</f>
        <v>5</v>
      </c>
      <c r="M203" s="59">
        <f>SUM(M196:M202)</f>
        <v>3</v>
      </c>
      <c r="N203" s="60"/>
      <c r="O203" s="59"/>
      <c r="P203" s="59"/>
      <c r="Q203" s="62"/>
    </row>
    <row r="204" spans="2:17" ht="15.75" thickBot="1" x14ac:dyDescent="0.25">
      <c r="B204" s="65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7"/>
      <c r="O204" s="66"/>
      <c r="P204" s="66"/>
      <c r="Q204" s="68"/>
    </row>
    <row r="205" spans="2:17" x14ac:dyDescent="0.2">
      <c r="B205" s="42" t="s">
        <v>0</v>
      </c>
      <c r="C205" s="42" t="s">
        <v>26</v>
      </c>
      <c r="D205" s="42" t="s">
        <v>1</v>
      </c>
      <c r="E205" s="42" t="s">
        <v>2</v>
      </c>
      <c r="F205" s="42" t="s">
        <v>3</v>
      </c>
      <c r="G205" s="42" t="s">
        <v>4</v>
      </c>
      <c r="H205" s="42" t="s">
        <v>5</v>
      </c>
      <c r="I205" s="42" t="s">
        <v>6</v>
      </c>
      <c r="J205" s="42" t="s">
        <v>7</v>
      </c>
      <c r="K205" s="42" t="s">
        <v>8</v>
      </c>
      <c r="L205" s="42"/>
      <c r="M205" s="42"/>
      <c r="N205" s="52" t="s">
        <v>9</v>
      </c>
      <c r="O205" s="42"/>
      <c r="P205" s="42" t="s">
        <v>10</v>
      </c>
      <c r="Q205" s="42"/>
    </row>
    <row r="206" spans="2:17" x14ac:dyDescent="0.2">
      <c r="B206" s="43"/>
      <c r="C206" s="43"/>
      <c r="D206" s="43"/>
      <c r="E206" s="43" t="s">
        <v>11</v>
      </c>
      <c r="F206" s="43"/>
      <c r="G206" s="43"/>
      <c r="H206" s="43"/>
      <c r="I206" s="43"/>
      <c r="J206" s="43"/>
      <c r="K206" s="43" t="s">
        <v>12</v>
      </c>
      <c r="L206" s="43" t="s">
        <v>13</v>
      </c>
      <c r="M206" s="43" t="s">
        <v>14</v>
      </c>
      <c r="N206" s="53" t="s">
        <v>15</v>
      </c>
      <c r="O206" s="43" t="s">
        <v>16</v>
      </c>
      <c r="P206" s="43"/>
      <c r="Q206" s="43" t="s">
        <v>17</v>
      </c>
    </row>
    <row r="207" spans="2:17" x14ac:dyDescent="0.2">
      <c r="B207" s="71" t="s">
        <v>111</v>
      </c>
      <c r="C207" s="57" t="s">
        <v>112</v>
      </c>
      <c r="D207" s="57"/>
      <c r="E207" s="57"/>
      <c r="F207" s="57"/>
      <c r="G207" s="57" t="s">
        <v>43</v>
      </c>
      <c r="H207" s="57"/>
      <c r="I207" s="47"/>
      <c r="J207" s="47"/>
      <c r="K207" s="57" t="s">
        <v>105</v>
      </c>
      <c r="L207" s="47">
        <v>5</v>
      </c>
      <c r="M207" s="47">
        <v>0</v>
      </c>
      <c r="N207" s="54">
        <f>SUM(L214-M214)</f>
        <v>2</v>
      </c>
      <c r="O207" s="48"/>
      <c r="P207" s="47" t="s">
        <v>113</v>
      </c>
      <c r="Q207" s="49"/>
    </row>
    <row r="208" spans="2:17" x14ac:dyDescent="0.2">
      <c r="B208" s="50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>
        <v>3</v>
      </c>
      <c r="N208" s="55"/>
      <c r="O208" s="45"/>
      <c r="P208" s="79" t="s">
        <v>107</v>
      </c>
      <c r="Q208" s="51"/>
    </row>
    <row r="209" spans="2:17" x14ac:dyDescent="0.2">
      <c r="B209" s="50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55"/>
      <c r="O209" s="44"/>
      <c r="P209" s="44"/>
      <c r="Q209" s="72"/>
    </row>
    <row r="210" spans="2:17" x14ac:dyDescent="0.2">
      <c r="B210" s="50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55"/>
      <c r="O210" s="44"/>
      <c r="P210" s="44"/>
      <c r="Q210" s="51"/>
    </row>
    <row r="211" spans="2:17" x14ac:dyDescent="0.2">
      <c r="B211" s="50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55"/>
      <c r="O211" s="44"/>
      <c r="P211" s="44"/>
      <c r="Q211" s="51"/>
    </row>
    <row r="212" spans="2:17" x14ac:dyDescent="0.2">
      <c r="B212" s="50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55"/>
      <c r="O212" s="44"/>
      <c r="P212" s="44"/>
      <c r="Q212" s="51"/>
    </row>
    <row r="213" spans="2:17" x14ac:dyDescent="0.2">
      <c r="B213" s="50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55"/>
      <c r="O213" s="44"/>
      <c r="P213" s="44"/>
      <c r="Q213" s="51"/>
    </row>
    <row r="214" spans="2:17" hidden="1" x14ac:dyDescent="0.2">
      <c r="B214" s="58"/>
      <c r="C214" s="59"/>
      <c r="D214" s="59"/>
      <c r="E214" s="59"/>
      <c r="F214" s="59"/>
      <c r="G214" s="59"/>
      <c r="H214" s="59"/>
      <c r="I214" s="59"/>
      <c r="J214" s="59"/>
      <c r="K214" s="59"/>
      <c r="L214" s="59">
        <f>SUM(L207:L213)</f>
        <v>5</v>
      </c>
      <c r="M214" s="59">
        <f>SUM(M207:M213)</f>
        <v>3</v>
      </c>
      <c r="N214" s="60"/>
      <c r="O214" s="59"/>
      <c r="P214" s="59"/>
      <c r="Q214" s="62"/>
    </row>
    <row r="215" spans="2:17" ht="15.75" thickBot="1" x14ac:dyDescent="0.25">
      <c r="B215" s="65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7"/>
      <c r="O215" s="66"/>
      <c r="P215" s="66"/>
      <c r="Q215" s="68"/>
    </row>
    <row r="216" spans="2:17" x14ac:dyDescent="0.2">
      <c r="B216" s="42" t="s">
        <v>0</v>
      </c>
      <c r="C216" s="42" t="s">
        <v>26</v>
      </c>
      <c r="D216" s="42" t="s">
        <v>1</v>
      </c>
      <c r="E216" s="42" t="s">
        <v>2</v>
      </c>
      <c r="F216" s="42" t="s">
        <v>3</v>
      </c>
      <c r="G216" s="42" t="s">
        <v>4</v>
      </c>
      <c r="H216" s="42" t="s">
        <v>5</v>
      </c>
      <c r="I216" s="42" t="s">
        <v>6</v>
      </c>
      <c r="J216" s="42" t="s">
        <v>7</v>
      </c>
      <c r="K216" s="42" t="s">
        <v>8</v>
      </c>
      <c r="L216" s="42"/>
      <c r="M216" s="42"/>
      <c r="N216" s="52" t="s">
        <v>9</v>
      </c>
      <c r="O216" s="42"/>
      <c r="P216" s="42" t="s">
        <v>10</v>
      </c>
      <c r="Q216" s="42"/>
    </row>
    <row r="217" spans="2:17" x14ac:dyDescent="0.2">
      <c r="B217" s="43"/>
      <c r="C217" s="43"/>
      <c r="D217" s="43"/>
      <c r="E217" s="43" t="s">
        <v>11</v>
      </c>
      <c r="F217" s="43"/>
      <c r="G217" s="43"/>
      <c r="H217" s="43"/>
      <c r="I217" s="43"/>
      <c r="J217" s="43"/>
      <c r="K217" s="43" t="s">
        <v>12</v>
      </c>
      <c r="L217" s="43" t="s">
        <v>13</v>
      </c>
      <c r="M217" s="43" t="s">
        <v>14</v>
      </c>
      <c r="N217" s="53" t="s">
        <v>15</v>
      </c>
      <c r="O217" s="43" t="s">
        <v>16</v>
      </c>
      <c r="P217" s="43"/>
      <c r="Q217" s="43" t="s">
        <v>17</v>
      </c>
    </row>
    <row r="218" spans="2:17" x14ac:dyDescent="0.2">
      <c r="B218" s="71" t="s">
        <v>114</v>
      </c>
      <c r="C218" s="57" t="s">
        <v>115</v>
      </c>
      <c r="D218" s="57"/>
      <c r="E218" s="57"/>
      <c r="F218" s="57"/>
      <c r="G218" s="57" t="s">
        <v>110</v>
      </c>
      <c r="H218" s="57"/>
      <c r="I218" s="47"/>
      <c r="J218" s="47"/>
      <c r="K218" s="57" t="s">
        <v>116</v>
      </c>
      <c r="L218" s="47">
        <v>5</v>
      </c>
      <c r="M218" s="47">
        <v>0</v>
      </c>
      <c r="N218" s="54">
        <f>SUM(L225-M225)</f>
        <v>2</v>
      </c>
      <c r="O218" s="48"/>
      <c r="P218" s="47" t="s">
        <v>106</v>
      </c>
      <c r="Q218" s="49"/>
    </row>
    <row r="219" spans="2:17" x14ac:dyDescent="0.2">
      <c r="B219" s="50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>
        <v>3</v>
      </c>
      <c r="N219" s="55"/>
      <c r="O219" s="45"/>
      <c r="P219" s="79" t="s">
        <v>107</v>
      </c>
      <c r="Q219" s="51"/>
    </row>
    <row r="220" spans="2:17" x14ac:dyDescent="0.2">
      <c r="B220" s="50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55"/>
      <c r="O220" s="44"/>
      <c r="P220" s="44"/>
      <c r="Q220" s="72"/>
    </row>
    <row r="221" spans="2:17" x14ac:dyDescent="0.2">
      <c r="B221" s="50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55"/>
      <c r="O221" s="44"/>
      <c r="P221" s="44"/>
      <c r="Q221" s="51"/>
    </row>
    <row r="222" spans="2:17" x14ac:dyDescent="0.2">
      <c r="B222" s="50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55"/>
      <c r="O222" s="44"/>
      <c r="P222" s="44"/>
      <c r="Q222" s="51"/>
    </row>
    <row r="223" spans="2:17" x14ac:dyDescent="0.2">
      <c r="B223" s="50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55"/>
      <c r="O223" s="44"/>
      <c r="P223" s="44"/>
      <c r="Q223" s="51"/>
    </row>
    <row r="224" spans="2:17" x14ac:dyDescent="0.2">
      <c r="B224" s="50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55"/>
      <c r="O224" s="44"/>
      <c r="P224" s="44"/>
      <c r="Q224" s="51"/>
    </row>
    <row r="225" spans="2:17" x14ac:dyDescent="0.2">
      <c r="B225" s="58"/>
      <c r="C225" s="59"/>
      <c r="D225" s="59"/>
      <c r="E225" s="59"/>
      <c r="F225" s="59"/>
      <c r="G225" s="59"/>
      <c r="H225" s="59"/>
      <c r="I225" s="59"/>
      <c r="J225" s="59"/>
      <c r="K225" s="59"/>
      <c r="L225" s="59">
        <f>SUM(L218:L224)</f>
        <v>5</v>
      </c>
      <c r="M225" s="59">
        <f>SUM(M218:M224)</f>
        <v>3</v>
      </c>
      <c r="N225" s="60"/>
      <c r="O225" s="59"/>
      <c r="P225" s="59"/>
      <c r="Q225" s="62"/>
    </row>
    <row r="226" spans="2:17" x14ac:dyDescent="0.2">
      <c r="B226" s="65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7"/>
      <c r="O226" s="66"/>
      <c r="P226" s="66"/>
      <c r="Q226" s="68"/>
    </row>
    <row r="227" spans="2:17" x14ac:dyDescent="0.2">
      <c r="B227" s="42" t="s">
        <v>0</v>
      </c>
      <c r="C227" s="42" t="s">
        <v>26</v>
      </c>
      <c r="D227" s="42" t="s">
        <v>1</v>
      </c>
      <c r="E227" s="42" t="s">
        <v>2</v>
      </c>
      <c r="F227" s="42" t="s">
        <v>3</v>
      </c>
      <c r="G227" s="42" t="s">
        <v>4</v>
      </c>
      <c r="H227" s="42" t="s">
        <v>5</v>
      </c>
      <c r="I227" s="42" t="s">
        <v>6</v>
      </c>
      <c r="J227" s="42" t="s">
        <v>7</v>
      </c>
      <c r="K227" s="42" t="s">
        <v>8</v>
      </c>
      <c r="L227" s="42"/>
      <c r="M227" s="42"/>
      <c r="N227" s="52" t="s">
        <v>9</v>
      </c>
      <c r="O227" s="42"/>
      <c r="P227" s="42" t="s">
        <v>10</v>
      </c>
      <c r="Q227" s="42"/>
    </row>
    <row r="228" spans="2:17" x14ac:dyDescent="0.2">
      <c r="B228" s="43"/>
      <c r="C228" s="43"/>
      <c r="D228" s="43"/>
      <c r="E228" s="43" t="s">
        <v>11</v>
      </c>
      <c r="F228" s="43"/>
      <c r="G228" s="43"/>
      <c r="H228" s="43"/>
      <c r="I228" s="43"/>
      <c r="J228" s="43"/>
      <c r="K228" s="43" t="s">
        <v>12</v>
      </c>
      <c r="L228" s="43" t="s">
        <v>13</v>
      </c>
      <c r="M228" s="43" t="s">
        <v>14</v>
      </c>
      <c r="N228" s="53" t="s">
        <v>15</v>
      </c>
      <c r="O228" s="43" t="s">
        <v>16</v>
      </c>
      <c r="P228" s="43"/>
      <c r="Q228" s="43" t="s">
        <v>17</v>
      </c>
    </row>
    <row r="229" spans="2:17" ht="27.75" x14ac:dyDescent="0.2">
      <c r="B229" s="95" t="s">
        <v>117</v>
      </c>
      <c r="C229" s="57" t="s">
        <v>118</v>
      </c>
      <c r="D229" s="57"/>
      <c r="E229" s="57"/>
      <c r="F229" s="57"/>
      <c r="G229" s="57" t="s">
        <v>119</v>
      </c>
      <c r="H229" s="57" t="s">
        <v>120</v>
      </c>
      <c r="I229" s="47" t="s">
        <v>121</v>
      </c>
      <c r="J229" s="47"/>
      <c r="K229" s="57" t="s">
        <v>122</v>
      </c>
      <c r="L229" s="47">
        <v>10</v>
      </c>
      <c r="M229" s="47">
        <v>0</v>
      </c>
      <c r="N229" s="54">
        <f>SUM(L240-M240)</f>
        <v>8</v>
      </c>
      <c r="O229" s="48"/>
      <c r="P229" s="54"/>
      <c r="Q229" s="49"/>
    </row>
    <row r="230" spans="2:17" x14ac:dyDescent="0.2">
      <c r="B230" s="50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>
        <v>2</v>
      </c>
      <c r="N230" s="55"/>
      <c r="O230" s="45"/>
      <c r="P230" s="79" t="s">
        <v>101</v>
      </c>
      <c r="Q230" s="51"/>
    </row>
    <row r="231" spans="2:17" x14ac:dyDescent="0.2">
      <c r="B231" s="50"/>
      <c r="C231" s="44"/>
      <c r="D231" s="44"/>
      <c r="E231" s="44"/>
      <c r="F231" s="44"/>
      <c r="G231" s="44"/>
      <c r="H231" s="44"/>
      <c r="I231" s="44"/>
      <c r="J231" s="44"/>
      <c r="K231" s="44" t="s">
        <v>123</v>
      </c>
      <c r="L231" s="44">
        <v>16</v>
      </c>
      <c r="M231" s="44">
        <v>0</v>
      </c>
      <c r="N231" s="55"/>
      <c r="O231" s="44"/>
      <c r="P231" s="96"/>
      <c r="Q231" s="72"/>
    </row>
    <row r="232" spans="2:17" x14ac:dyDescent="0.2">
      <c r="B232" s="50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>
        <v>8</v>
      </c>
      <c r="N232" s="55"/>
      <c r="O232" s="44"/>
      <c r="P232" s="79" t="s">
        <v>124</v>
      </c>
      <c r="Q232" s="72"/>
    </row>
    <row r="233" spans="2:17" x14ac:dyDescent="0.2">
      <c r="B233" s="50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>
        <v>4</v>
      </c>
      <c r="N233" s="55"/>
      <c r="O233" s="44"/>
      <c r="P233" s="79" t="s">
        <v>125</v>
      </c>
      <c r="Q233" s="72"/>
    </row>
    <row r="234" spans="2:17" x14ac:dyDescent="0.2">
      <c r="B234" s="50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>
        <v>4</v>
      </c>
      <c r="N234" s="55"/>
      <c r="O234" s="44"/>
      <c r="P234" s="79" t="s">
        <v>126</v>
      </c>
      <c r="Q234" s="72"/>
    </row>
    <row r="235" spans="2:17" x14ac:dyDescent="0.2">
      <c r="B235" s="50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55"/>
      <c r="O235" s="44"/>
      <c r="P235" s="44"/>
      <c r="Q235" s="72"/>
    </row>
    <row r="236" spans="2:17" x14ac:dyDescent="0.2">
      <c r="B236" s="50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55"/>
      <c r="O236" s="44"/>
      <c r="P236" s="44"/>
      <c r="Q236" s="51"/>
    </row>
    <row r="237" spans="2:17" x14ac:dyDescent="0.2">
      <c r="B237" s="50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55"/>
      <c r="O237" s="44"/>
      <c r="P237" s="44"/>
      <c r="Q237" s="51"/>
    </row>
    <row r="238" spans="2:17" x14ac:dyDescent="0.2">
      <c r="B238" s="50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55"/>
      <c r="O238" s="44"/>
      <c r="P238" s="44"/>
      <c r="Q238" s="51"/>
    </row>
    <row r="239" spans="2:17" x14ac:dyDescent="0.2">
      <c r="B239" s="50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55"/>
      <c r="O239" s="44"/>
      <c r="P239" s="44"/>
      <c r="Q239" s="51"/>
    </row>
    <row r="240" spans="2:17" hidden="1" x14ac:dyDescent="0.2">
      <c r="B240" s="58"/>
      <c r="C240" s="59"/>
      <c r="D240" s="59"/>
      <c r="E240" s="59"/>
      <c r="F240" s="59"/>
      <c r="G240" s="59"/>
      <c r="H240" s="59"/>
      <c r="I240" s="59"/>
      <c r="J240" s="59"/>
      <c r="K240" s="59"/>
      <c r="L240" s="59">
        <f>SUM(L229:L239)</f>
        <v>26</v>
      </c>
      <c r="M240" s="59">
        <f>SUM(M229:M239)</f>
        <v>18</v>
      </c>
      <c r="N240" s="60"/>
      <c r="O240" s="59"/>
      <c r="P240" s="59"/>
      <c r="Q240" s="62"/>
    </row>
    <row r="241" spans="2:17" ht="15.75" thickBot="1" x14ac:dyDescent="0.25">
      <c r="B241" s="65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7"/>
      <c r="O241" s="66"/>
      <c r="P241" s="66"/>
      <c r="Q241" s="68"/>
    </row>
    <row r="242" spans="2:17" x14ac:dyDescent="0.2">
      <c r="B242" s="42" t="s">
        <v>0</v>
      </c>
      <c r="C242" s="42" t="s">
        <v>26</v>
      </c>
      <c r="D242" s="42" t="s">
        <v>1</v>
      </c>
      <c r="E242" s="42" t="s">
        <v>2</v>
      </c>
      <c r="F242" s="42" t="s">
        <v>3</v>
      </c>
      <c r="G242" s="42" t="s">
        <v>4</v>
      </c>
      <c r="H242" s="42" t="s">
        <v>5</v>
      </c>
      <c r="I242" s="42" t="s">
        <v>6</v>
      </c>
      <c r="J242" s="42" t="s">
        <v>7</v>
      </c>
      <c r="K242" s="42" t="s">
        <v>8</v>
      </c>
      <c r="L242" s="42"/>
      <c r="M242" s="42"/>
      <c r="N242" s="52" t="s">
        <v>9</v>
      </c>
      <c r="O242" s="42"/>
      <c r="P242" s="42" t="s">
        <v>10</v>
      </c>
      <c r="Q242" s="42"/>
    </row>
    <row r="243" spans="2:17" x14ac:dyDescent="0.2">
      <c r="B243" s="43"/>
      <c r="C243" s="43"/>
      <c r="D243" s="43"/>
      <c r="E243" s="43" t="s">
        <v>11</v>
      </c>
      <c r="F243" s="43"/>
      <c r="G243" s="43"/>
      <c r="H243" s="43"/>
      <c r="I243" s="43"/>
      <c r="J243" s="43"/>
      <c r="K243" s="43" t="s">
        <v>12</v>
      </c>
      <c r="L243" s="43" t="s">
        <v>13</v>
      </c>
      <c r="M243" s="43" t="s">
        <v>14</v>
      </c>
      <c r="N243" s="53" t="s">
        <v>15</v>
      </c>
      <c r="O243" s="43" t="s">
        <v>16</v>
      </c>
      <c r="P243" s="43"/>
      <c r="Q243" s="43" t="s">
        <v>17</v>
      </c>
    </row>
    <row r="244" spans="2:17" x14ac:dyDescent="0.2">
      <c r="B244" s="71" t="s">
        <v>127</v>
      </c>
      <c r="C244" s="57"/>
      <c r="D244" s="57"/>
      <c r="E244" s="57"/>
      <c r="F244" s="57" t="s">
        <v>128</v>
      </c>
      <c r="G244" s="57"/>
      <c r="H244" s="57"/>
      <c r="I244" s="47"/>
      <c r="J244" s="47"/>
      <c r="K244" s="57" t="s">
        <v>129</v>
      </c>
      <c r="L244" s="47">
        <v>5</v>
      </c>
      <c r="M244" s="47">
        <v>0</v>
      </c>
      <c r="N244" s="54">
        <f>SUM(L251-M251)</f>
        <v>0</v>
      </c>
      <c r="O244" s="48"/>
      <c r="P244" s="75"/>
      <c r="Q244" s="49"/>
    </row>
    <row r="245" spans="2:17" x14ac:dyDescent="0.2">
      <c r="B245" s="50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>
        <v>3</v>
      </c>
      <c r="N245" s="55"/>
      <c r="O245" s="45"/>
      <c r="P245" s="79" t="s">
        <v>107</v>
      </c>
      <c r="Q245" s="51"/>
    </row>
    <row r="246" spans="2:17" x14ac:dyDescent="0.2">
      <c r="B246" s="50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>
        <v>2</v>
      </c>
      <c r="N246" s="55"/>
      <c r="O246" s="44"/>
      <c r="P246" s="79" t="s">
        <v>107</v>
      </c>
      <c r="Q246" s="72"/>
    </row>
    <row r="247" spans="2:17" x14ac:dyDescent="0.2">
      <c r="B247" s="50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55"/>
      <c r="O247" s="44"/>
      <c r="P247" s="44"/>
      <c r="Q247" s="51"/>
    </row>
    <row r="248" spans="2:17" x14ac:dyDescent="0.2">
      <c r="B248" s="50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55"/>
      <c r="O248" s="44"/>
      <c r="P248" s="44"/>
      <c r="Q248" s="51"/>
    </row>
    <row r="249" spans="2:17" x14ac:dyDescent="0.2">
      <c r="B249" s="50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55"/>
      <c r="O249" s="44"/>
      <c r="P249" s="44"/>
      <c r="Q249" s="51"/>
    </row>
    <row r="250" spans="2:17" x14ac:dyDescent="0.2">
      <c r="B250" s="50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55"/>
      <c r="O250" s="44"/>
      <c r="P250" s="44"/>
      <c r="Q250" s="51"/>
    </row>
    <row r="251" spans="2:17" hidden="1" x14ac:dyDescent="0.2">
      <c r="B251" s="58"/>
      <c r="C251" s="59"/>
      <c r="D251" s="59"/>
      <c r="E251" s="59"/>
      <c r="F251" s="59"/>
      <c r="G251" s="59"/>
      <c r="H251" s="59"/>
      <c r="I251" s="59"/>
      <c r="J251" s="59"/>
      <c r="K251" s="59"/>
      <c r="L251" s="59">
        <f>SUM(L244:L250)</f>
        <v>5</v>
      </c>
      <c r="M251" s="59">
        <f>SUM(M244:M250)</f>
        <v>5</v>
      </c>
      <c r="N251" s="60"/>
      <c r="O251" s="59"/>
      <c r="P251" s="59"/>
      <c r="Q251" s="62"/>
    </row>
    <row r="252" spans="2:17" ht="15.75" thickBot="1" x14ac:dyDescent="0.25">
      <c r="B252" s="65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7"/>
      <c r="O252" s="66"/>
      <c r="P252" s="66"/>
      <c r="Q252" s="68"/>
    </row>
    <row r="253" spans="2:17" x14ac:dyDescent="0.2">
      <c r="B253" s="42" t="s">
        <v>0</v>
      </c>
      <c r="C253" s="42" t="s">
        <v>26</v>
      </c>
      <c r="D253" s="42" t="s">
        <v>1</v>
      </c>
      <c r="E253" s="42" t="s">
        <v>2</v>
      </c>
      <c r="F253" s="42" t="s">
        <v>3</v>
      </c>
      <c r="G253" s="42" t="s">
        <v>4</v>
      </c>
      <c r="H253" s="42" t="s">
        <v>5</v>
      </c>
      <c r="I253" s="42" t="s">
        <v>6</v>
      </c>
      <c r="J253" s="42" t="s">
        <v>7</v>
      </c>
      <c r="K253" s="42" t="s">
        <v>8</v>
      </c>
      <c r="L253" s="42"/>
      <c r="M253" s="42"/>
      <c r="N253" s="52" t="s">
        <v>9</v>
      </c>
      <c r="O253" s="42"/>
      <c r="P253" s="42" t="s">
        <v>10</v>
      </c>
      <c r="Q253" s="42"/>
    </row>
    <row r="254" spans="2:17" x14ac:dyDescent="0.2">
      <c r="B254" s="43"/>
      <c r="C254" s="43"/>
      <c r="D254" s="43"/>
      <c r="E254" s="43" t="s">
        <v>11</v>
      </c>
      <c r="F254" s="43"/>
      <c r="G254" s="43"/>
      <c r="H254" s="43"/>
      <c r="I254" s="43"/>
      <c r="J254" s="43"/>
      <c r="K254" s="43" t="s">
        <v>12</v>
      </c>
      <c r="L254" s="43" t="s">
        <v>13</v>
      </c>
      <c r="M254" s="43" t="s">
        <v>14</v>
      </c>
      <c r="N254" s="53" t="s">
        <v>15</v>
      </c>
      <c r="O254" s="43" t="s">
        <v>16</v>
      </c>
      <c r="P254" s="43"/>
      <c r="Q254" s="43" t="s">
        <v>17</v>
      </c>
    </row>
    <row r="255" spans="2:17" x14ac:dyDescent="0.2">
      <c r="B255" s="71" t="s">
        <v>130</v>
      </c>
      <c r="C255" s="57" t="s">
        <v>131</v>
      </c>
      <c r="D255" s="57"/>
      <c r="E255" s="57"/>
      <c r="F255" s="57"/>
      <c r="G255" s="57"/>
      <c r="H255" s="57"/>
      <c r="I255" s="47"/>
      <c r="J255" s="47"/>
      <c r="K255" s="57" t="s">
        <v>132</v>
      </c>
      <c r="L255" s="47">
        <v>30</v>
      </c>
      <c r="M255" s="47">
        <v>0</v>
      </c>
      <c r="N255" s="54">
        <f>SUM(L262-M262)</f>
        <v>15</v>
      </c>
      <c r="O255" s="48"/>
      <c r="P255" s="47"/>
      <c r="Q255" s="49"/>
    </row>
    <row r="256" spans="2:17" x14ac:dyDescent="0.2">
      <c r="B256" s="50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>
        <v>15</v>
      </c>
      <c r="N256" s="55"/>
      <c r="O256" s="45"/>
      <c r="P256" s="79" t="s">
        <v>101</v>
      </c>
      <c r="Q256" s="51"/>
    </row>
    <row r="257" spans="2:17" x14ac:dyDescent="0.2">
      <c r="B257" s="50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55"/>
      <c r="O257" s="44"/>
      <c r="P257" s="44"/>
      <c r="Q257" s="72"/>
    </row>
    <row r="258" spans="2:17" x14ac:dyDescent="0.2">
      <c r="B258" s="50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55"/>
      <c r="O258" s="44"/>
      <c r="P258" s="44"/>
      <c r="Q258" s="51"/>
    </row>
    <row r="259" spans="2:17" x14ac:dyDescent="0.2">
      <c r="B259" s="50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55"/>
      <c r="O259" s="44"/>
      <c r="P259" s="44"/>
      <c r="Q259" s="51"/>
    </row>
    <row r="260" spans="2:17" x14ac:dyDescent="0.2">
      <c r="B260" s="50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55"/>
      <c r="O260" s="44"/>
      <c r="P260" s="44"/>
      <c r="Q260" s="51"/>
    </row>
    <row r="261" spans="2:17" x14ac:dyDescent="0.2">
      <c r="B261" s="50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55"/>
      <c r="O261" s="44"/>
      <c r="P261" s="44"/>
      <c r="Q261" s="51"/>
    </row>
    <row r="262" spans="2:17" x14ac:dyDescent="0.2">
      <c r="B262" s="58"/>
      <c r="C262" s="59"/>
      <c r="D262" s="59"/>
      <c r="E262" s="59"/>
      <c r="F262" s="59"/>
      <c r="G262" s="59"/>
      <c r="H262" s="59"/>
      <c r="I262" s="59"/>
      <c r="J262" s="59"/>
      <c r="K262" s="59"/>
      <c r="L262" s="59">
        <f>SUM(L255:L261)</f>
        <v>30</v>
      </c>
      <c r="M262" s="59">
        <f>SUM(M255:M261)</f>
        <v>15</v>
      </c>
      <c r="N262" s="60"/>
      <c r="O262" s="59"/>
      <c r="P262" s="59"/>
      <c r="Q262" s="62"/>
    </row>
    <row r="263" spans="2:17" x14ac:dyDescent="0.2">
      <c r="B263" s="65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7"/>
      <c r="O263" s="66"/>
      <c r="P263" s="66"/>
      <c r="Q263" s="68"/>
    </row>
    <row r="264" spans="2:17" x14ac:dyDescent="0.2">
      <c r="B264" s="42" t="s">
        <v>0</v>
      </c>
      <c r="C264" s="42" t="s">
        <v>26</v>
      </c>
      <c r="D264" s="42" t="s">
        <v>1</v>
      </c>
      <c r="E264" s="42" t="s">
        <v>2</v>
      </c>
      <c r="F264" s="42" t="s">
        <v>3</v>
      </c>
      <c r="G264" s="42" t="s">
        <v>4</v>
      </c>
      <c r="H264" s="42" t="s">
        <v>5</v>
      </c>
      <c r="I264" s="42" t="s">
        <v>6</v>
      </c>
      <c r="J264" s="42" t="s">
        <v>7</v>
      </c>
      <c r="K264" s="42" t="s">
        <v>8</v>
      </c>
      <c r="L264" s="42"/>
      <c r="M264" s="42"/>
      <c r="N264" s="52" t="s">
        <v>9</v>
      </c>
      <c r="O264" s="42"/>
      <c r="P264" s="42" t="s">
        <v>10</v>
      </c>
      <c r="Q264" s="42"/>
    </row>
    <row r="265" spans="2:17" x14ac:dyDescent="0.2">
      <c r="B265" s="43"/>
      <c r="C265" s="43"/>
      <c r="D265" s="43"/>
      <c r="E265" s="43" t="s">
        <v>11</v>
      </c>
      <c r="F265" s="43"/>
      <c r="G265" s="43"/>
      <c r="H265" s="43"/>
      <c r="I265" s="43"/>
      <c r="J265" s="43"/>
      <c r="K265" s="43" t="s">
        <v>12</v>
      </c>
      <c r="L265" s="43" t="s">
        <v>13</v>
      </c>
      <c r="M265" s="43" t="s">
        <v>14</v>
      </c>
      <c r="N265" s="53" t="s">
        <v>15</v>
      </c>
      <c r="O265" s="43" t="s">
        <v>16</v>
      </c>
      <c r="P265" s="43"/>
      <c r="Q265" s="43" t="s">
        <v>17</v>
      </c>
    </row>
    <row r="266" spans="2:17" ht="27" x14ac:dyDescent="0.2">
      <c r="B266" s="103" t="s">
        <v>133</v>
      </c>
      <c r="C266" s="105" t="s">
        <v>134</v>
      </c>
      <c r="D266" s="57"/>
      <c r="E266" s="57"/>
      <c r="F266" s="57"/>
      <c r="G266" s="57"/>
      <c r="H266" s="57"/>
      <c r="I266" s="47"/>
      <c r="J266" s="47"/>
      <c r="K266" s="57" t="s">
        <v>135</v>
      </c>
      <c r="L266" s="47">
        <v>30</v>
      </c>
      <c r="M266" s="47">
        <v>0</v>
      </c>
      <c r="N266" s="54">
        <f>SUM(L273-M273)</f>
        <v>30</v>
      </c>
      <c r="O266" s="48"/>
      <c r="P266" s="47"/>
      <c r="Q266" s="49"/>
    </row>
    <row r="267" spans="2:17" x14ac:dyDescent="0.2">
      <c r="B267" s="50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55"/>
      <c r="O267" s="45"/>
      <c r="P267" s="44"/>
      <c r="Q267" s="51"/>
    </row>
    <row r="268" spans="2:17" x14ac:dyDescent="0.2">
      <c r="B268" s="50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55"/>
      <c r="O268" s="44"/>
      <c r="P268" s="44"/>
      <c r="Q268" s="72"/>
    </row>
    <row r="269" spans="2:17" x14ac:dyDescent="0.2">
      <c r="B269" s="50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55"/>
      <c r="O269" s="44"/>
      <c r="P269" s="44"/>
      <c r="Q269" s="51"/>
    </row>
    <row r="270" spans="2:17" x14ac:dyDescent="0.2">
      <c r="B270" s="50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55"/>
      <c r="O270" s="44"/>
      <c r="P270" s="44"/>
      <c r="Q270" s="51"/>
    </row>
    <row r="271" spans="2:17" x14ac:dyDescent="0.2">
      <c r="B271" s="50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55"/>
      <c r="O271" s="44"/>
      <c r="P271" s="44"/>
      <c r="Q271" s="51"/>
    </row>
    <row r="272" spans="2:17" x14ac:dyDescent="0.2">
      <c r="B272" s="50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55"/>
      <c r="O272" s="44"/>
      <c r="P272" s="44"/>
      <c r="Q272" s="51"/>
    </row>
    <row r="273" spans="2:17" hidden="1" x14ac:dyDescent="0.2">
      <c r="B273" s="58"/>
      <c r="C273" s="59"/>
      <c r="D273" s="59"/>
      <c r="E273" s="59"/>
      <c r="F273" s="59"/>
      <c r="G273" s="59"/>
      <c r="H273" s="59"/>
      <c r="I273" s="59"/>
      <c r="J273" s="59"/>
      <c r="K273" s="59"/>
      <c r="L273" s="59">
        <f>SUM(L266:L272)</f>
        <v>30</v>
      </c>
      <c r="M273" s="59">
        <f>SUM(M266:M272)</f>
        <v>0</v>
      </c>
      <c r="N273" s="60"/>
      <c r="O273" s="59"/>
      <c r="P273" s="59"/>
      <c r="Q273" s="62"/>
    </row>
    <row r="274" spans="2:17" ht="15.75" thickBot="1" x14ac:dyDescent="0.25">
      <c r="B274" s="65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7"/>
      <c r="O274" s="66"/>
      <c r="P274" s="66"/>
      <c r="Q274" s="68"/>
    </row>
    <row r="275" spans="2:17" x14ac:dyDescent="0.2">
      <c r="B275" s="42" t="s">
        <v>0</v>
      </c>
      <c r="C275" s="42" t="s">
        <v>26</v>
      </c>
      <c r="D275" s="42" t="s">
        <v>1</v>
      </c>
      <c r="E275" s="42" t="s">
        <v>2</v>
      </c>
      <c r="F275" s="42" t="s">
        <v>3</v>
      </c>
      <c r="G275" s="42" t="s">
        <v>4</v>
      </c>
      <c r="H275" s="42" t="s">
        <v>5</v>
      </c>
      <c r="I275" s="42" t="s">
        <v>6</v>
      </c>
      <c r="J275" s="42" t="s">
        <v>7</v>
      </c>
      <c r="K275" s="42" t="s">
        <v>8</v>
      </c>
      <c r="L275" s="42"/>
      <c r="M275" s="42"/>
      <c r="N275" s="52" t="s">
        <v>9</v>
      </c>
      <c r="O275" s="42"/>
      <c r="P275" s="42" t="s">
        <v>10</v>
      </c>
      <c r="Q275" s="42"/>
    </row>
    <row r="276" spans="2:17" ht="15.75" thickBot="1" x14ac:dyDescent="0.25">
      <c r="B276" s="89"/>
      <c r="C276" s="43"/>
      <c r="D276" s="43"/>
      <c r="E276" s="43" t="s">
        <v>11</v>
      </c>
      <c r="F276" s="43"/>
      <c r="G276" s="43"/>
      <c r="H276" s="43"/>
      <c r="I276" s="43"/>
      <c r="J276" s="43"/>
      <c r="K276" s="43" t="s">
        <v>12</v>
      </c>
      <c r="L276" s="43" t="s">
        <v>13</v>
      </c>
      <c r="M276" s="43" t="s">
        <v>14</v>
      </c>
      <c r="N276" s="53" t="s">
        <v>15</v>
      </c>
      <c r="O276" s="43" t="s">
        <v>16</v>
      </c>
      <c r="P276" s="43"/>
      <c r="Q276" s="43" t="s">
        <v>17</v>
      </c>
    </row>
    <row r="277" spans="2:17" ht="40.5" x14ac:dyDescent="0.2">
      <c r="B277" s="104" t="s">
        <v>136</v>
      </c>
      <c r="C277" s="105" t="s">
        <v>137</v>
      </c>
      <c r="D277" s="57"/>
      <c r="E277" s="102" t="s">
        <v>8</v>
      </c>
      <c r="F277" s="102" t="s">
        <v>137</v>
      </c>
      <c r="G277" s="57"/>
      <c r="H277" s="57"/>
      <c r="I277" s="47"/>
      <c r="J277" s="47"/>
      <c r="K277" s="57" t="s">
        <v>138</v>
      </c>
      <c r="L277" s="47">
        <v>10</v>
      </c>
      <c r="M277" s="47">
        <v>0</v>
      </c>
      <c r="N277" s="54">
        <f>SUM(L284-M284)</f>
        <v>6</v>
      </c>
      <c r="O277" s="48"/>
      <c r="P277" s="47"/>
      <c r="Q277" s="49"/>
    </row>
    <row r="278" spans="2:17" x14ac:dyDescent="0.2">
      <c r="B278" s="87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>
        <v>4</v>
      </c>
      <c r="N278" s="55"/>
      <c r="O278" s="45"/>
      <c r="P278" s="44" t="s">
        <v>139</v>
      </c>
      <c r="Q278" s="51" t="s">
        <v>140</v>
      </c>
    </row>
    <row r="279" spans="2:17" x14ac:dyDescent="0.2">
      <c r="B279" s="50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55"/>
      <c r="O279" s="44"/>
      <c r="P279" s="44"/>
      <c r="Q279" s="72"/>
    </row>
    <row r="280" spans="2:17" x14ac:dyDescent="0.2">
      <c r="B280" s="50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55"/>
      <c r="O280" s="44"/>
      <c r="P280" s="44"/>
      <c r="Q280" s="51"/>
    </row>
    <row r="281" spans="2:17" x14ac:dyDescent="0.2">
      <c r="B281" s="50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55"/>
      <c r="O281" s="44"/>
      <c r="P281" s="44"/>
      <c r="Q281" s="51"/>
    </row>
    <row r="282" spans="2:17" x14ac:dyDescent="0.2">
      <c r="B282" s="50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55"/>
      <c r="O282" s="44"/>
      <c r="P282" s="44"/>
      <c r="Q282" s="51"/>
    </row>
    <row r="283" spans="2:17" x14ac:dyDescent="0.2">
      <c r="B283" s="50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55"/>
      <c r="O283" s="44"/>
      <c r="P283" s="44"/>
      <c r="Q283" s="51"/>
    </row>
    <row r="284" spans="2:17" x14ac:dyDescent="0.2">
      <c r="B284" s="58"/>
      <c r="C284" s="59"/>
      <c r="D284" s="59"/>
      <c r="E284" s="59"/>
      <c r="F284" s="59"/>
      <c r="G284" s="59"/>
      <c r="H284" s="59"/>
      <c r="I284" s="59"/>
      <c r="J284" s="59"/>
      <c r="K284" s="59"/>
      <c r="L284" s="59">
        <f>SUM(L277:L283)</f>
        <v>10</v>
      </c>
      <c r="M284" s="59">
        <f>SUM(M277:M283)</f>
        <v>4</v>
      </c>
      <c r="N284" s="60"/>
      <c r="O284" s="59"/>
      <c r="P284" s="59"/>
      <c r="Q284" s="62"/>
    </row>
    <row r="285" spans="2:17" x14ac:dyDescent="0.2">
      <c r="B285" s="65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7"/>
      <c r="O285" s="66"/>
      <c r="P285" s="66"/>
      <c r="Q285" s="68"/>
    </row>
    <row r="286" spans="2:17" x14ac:dyDescent="0.2">
      <c r="B286" s="42" t="s">
        <v>0</v>
      </c>
      <c r="C286" s="42" t="s">
        <v>26</v>
      </c>
      <c r="D286" s="42" t="s">
        <v>1</v>
      </c>
      <c r="E286" s="42" t="s">
        <v>2</v>
      </c>
      <c r="F286" s="42" t="s">
        <v>3</v>
      </c>
      <c r="G286" s="42" t="s">
        <v>4</v>
      </c>
      <c r="H286" s="42" t="s">
        <v>5</v>
      </c>
      <c r="I286" s="42" t="s">
        <v>6</v>
      </c>
      <c r="J286" s="42" t="s">
        <v>7</v>
      </c>
      <c r="K286" s="42" t="s">
        <v>8</v>
      </c>
      <c r="L286" s="42"/>
      <c r="M286" s="42"/>
      <c r="N286" s="52" t="s">
        <v>9</v>
      </c>
      <c r="O286" s="42"/>
      <c r="P286" s="42" t="s">
        <v>10</v>
      </c>
      <c r="Q286" s="42"/>
    </row>
    <row r="287" spans="2:17" ht="15.75" thickBot="1" x14ac:dyDescent="0.25">
      <c r="B287" s="43"/>
      <c r="C287" s="43"/>
      <c r="D287" s="43"/>
      <c r="E287" s="43" t="s">
        <v>11</v>
      </c>
      <c r="F287" s="43"/>
      <c r="G287" s="43"/>
      <c r="H287" s="43"/>
      <c r="I287" s="43"/>
      <c r="J287" s="43"/>
      <c r="K287" s="43" t="s">
        <v>12</v>
      </c>
      <c r="L287" s="43" t="s">
        <v>13</v>
      </c>
      <c r="M287" s="43" t="s">
        <v>14</v>
      </c>
      <c r="N287" s="53" t="s">
        <v>15</v>
      </c>
      <c r="O287" s="43" t="s">
        <v>16</v>
      </c>
      <c r="P287" s="43"/>
      <c r="Q287" s="43" t="s">
        <v>17</v>
      </c>
    </row>
    <row r="288" spans="2:17" ht="40.5" x14ac:dyDescent="0.2">
      <c r="B288" s="103" t="s">
        <v>141</v>
      </c>
      <c r="C288" s="105" t="s">
        <v>142</v>
      </c>
      <c r="D288" s="57"/>
      <c r="E288" s="102" t="s">
        <v>8</v>
      </c>
      <c r="F288" s="102" t="s">
        <v>142</v>
      </c>
      <c r="G288" s="57"/>
      <c r="H288" s="57"/>
      <c r="I288" s="47"/>
      <c r="J288" s="47"/>
      <c r="K288" s="57" t="s">
        <v>143</v>
      </c>
      <c r="L288" s="47">
        <v>15</v>
      </c>
      <c r="M288" s="47">
        <v>0</v>
      </c>
      <c r="N288" s="54">
        <f>SUM(L295-M295)</f>
        <v>5</v>
      </c>
      <c r="O288" s="48"/>
      <c r="P288" s="47"/>
      <c r="Q288" s="49"/>
    </row>
    <row r="289" spans="2:17" x14ac:dyDescent="0.2">
      <c r="B289" s="50"/>
      <c r="C289" s="44"/>
      <c r="D289" s="44"/>
      <c r="E289" s="44"/>
      <c r="F289" s="44"/>
      <c r="G289" s="44"/>
      <c r="H289" s="44"/>
      <c r="I289" s="44"/>
      <c r="J289" s="44"/>
      <c r="K289" s="44" t="s">
        <v>144</v>
      </c>
      <c r="L289" s="44">
        <v>5</v>
      </c>
      <c r="M289" s="44"/>
      <c r="N289" s="55"/>
      <c r="O289" s="45"/>
      <c r="P289" s="44"/>
      <c r="Q289" s="51"/>
    </row>
    <row r="290" spans="2:17" x14ac:dyDescent="0.2">
      <c r="B290" s="50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>
        <v>15</v>
      </c>
      <c r="N290" s="55"/>
      <c r="O290" s="44"/>
      <c r="P290" s="55" t="s">
        <v>139</v>
      </c>
      <c r="Q290" s="72"/>
    </row>
    <row r="291" spans="2:17" x14ac:dyDescent="0.2">
      <c r="B291" s="50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55"/>
      <c r="O291" s="44"/>
      <c r="P291" s="44"/>
      <c r="Q291" s="51"/>
    </row>
    <row r="292" spans="2:17" x14ac:dyDescent="0.2">
      <c r="B292" s="50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55"/>
      <c r="O292" s="44"/>
      <c r="P292" s="44"/>
      <c r="Q292" s="51"/>
    </row>
    <row r="293" spans="2:17" x14ac:dyDescent="0.2">
      <c r="B293" s="50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55"/>
      <c r="O293" s="44"/>
      <c r="P293" s="44"/>
      <c r="Q293" s="51"/>
    </row>
    <row r="294" spans="2:17" x14ac:dyDescent="0.2">
      <c r="B294" s="50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55"/>
      <c r="O294" s="44"/>
      <c r="P294" s="44"/>
      <c r="Q294" s="51"/>
    </row>
    <row r="295" spans="2:17" hidden="1" x14ac:dyDescent="0.2">
      <c r="B295" s="58"/>
      <c r="C295" s="59"/>
      <c r="D295" s="59"/>
      <c r="E295" s="59"/>
      <c r="F295" s="59"/>
      <c r="G295" s="59"/>
      <c r="H295" s="59"/>
      <c r="I295" s="59"/>
      <c r="J295" s="59"/>
      <c r="K295" s="59"/>
      <c r="L295" s="59">
        <f>SUM(L288:L294)</f>
        <v>20</v>
      </c>
      <c r="M295" s="59">
        <f>SUM(M288:M294)</f>
        <v>15</v>
      </c>
      <c r="N295" s="60"/>
      <c r="O295" s="59"/>
      <c r="P295" s="59"/>
      <c r="Q295" s="62"/>
    </row>
    <row r="296" spans="2:17" ht="15.75" thickBot="1" x14ac:dyDescent="0.25">
      <c r="B296" s="65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7"/>
      <c r="O296" s="66"/>
      <c r="P296" s="66"/>
      <c r="Q296" s="68"/>
    </row>
    <row r="297" spans="2:17" x14ac:dyDescent="0.2">
      <c r="B297" s="42" t="s">
        <v>0</v>
      </c>
      <c r="C297" s="42" t="s">
        <v>26</v>
      </c>
      <c r="D297" s="42" t="s">
        <v>1</v>
      </c>
      <c r="E297" s="42" t="s">
        <v>2</v>
      </c>
      <c r="F297" s="42" t="s">
        <v>3</v>
      </c>
      <c r="G297" s="42" t="s">
        <v>4</v>
      </c>
      <c r="H297" s="42" t="s">
        <v>5</v>
      </c>
      <c r="I297" s="42" t="s">
        <v>6</v>
      </c>
      <c r="J297" s="42" t="s">
        <v>7</v>
      </c>
      <c r="K297" s="42" t="s">
        <v>8</v>
      </c>
      <c r="L297" s="42"/>
      <c r="M297" s="42"/>
      <c r="N297" s="52" t="s">
        <v>9</v>
      </c>
      <c r="O297" s="42"/>
      <c r="P297" s="42" t="s">
        <v>10</v>
      </c>
      <c r="Q297" s="42"/>
    </row>
    <row r="298" spans="2:17" ht="15.75" thickBot="1" x14ac:dyDescent="0.25">
      <c r="B298" s="43"/>
      <c r="C298" s="43"/>
      <c r="D298" s="43"/>
      <c r="E298" s="43" t="s">
        <v>11</v>
      </c>
      <c r="F298" s="43"/>
      <c r="G298" s="43"/>
      <c r="H298" s="43"/>
      <c r="I298" s="43"/>
      <c r="J298" s="43"/>
      <c r="K298" s="43" t="s">
        <v>12</v>
      </c>
      <c r="L298" s="43" t="s">
        <v>13</v>
      </c>
      <c r="M298" s="43" t="s">
        <v>14</v>
      </c>
      <c r="N298" s="53" t="s">
        <v>15</v>
      </c>
      <c r="O298" s="43" t="s">
        <v>16</v>
      </c>
      <c r="P298" s="43"/>
      <c r="Q298" s="43" t="s">
        <v>17</v>
      </c>
    </row>
    <row r="299" spans="2:17" x14ac:dyDescent="0.2">
      <c r="B299" s="100" t="s">
        <v>145</v>
      </c>
      <c r="C299" s="106" t="s">
        <v>128</v>
      </c>
      <c r="D299" s="57"/>
      <c r="E299" s="100"/>
      <c r="F299" s="100" t="s">
        <v>128</v>
      </c>
      <c r="G299" s="57" t="s">
        <v>8</v>
      </c>
      <c r="H299" s="57"/>
      <c r="I299" s="47"/>
      <c r="J299" s="44" t="s">
        <v>146</v>
      </c>
      <c r="K299" s="57" t="s">
        <v>147</v>
      </c>
      <c r="L299" s="47">
        <v>30</v>
      </c>
      <c r="M299" s="47">
        <v>0</v>
      </c>
      <c r="N299" s="54">
        <f>SUM(L306-M306)</f>
        <v>14</v>
      </c>
      <c r="O299" s="48"/>
      <c r="P299" s="47"/>
      <c r="Q299" s="49"/>
    </row>
    <row r="300" spans="2:17" x14ac:dyDescent="0.2">
      <c r="B300" s="50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>
        <v>16</v>
      </c>
      <c r="N300" s="55"/>
      <c r="O300" s="45"/>
      <c r="P300" s="79" t="s">
        <v>148</v>
      </c>
      <c r="Q300" s="51"/>
    </row>
    <row r="301" spans="2:17" x14ac:dyDescent="0.2">
      <c r="B301" s="50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55"/>
      <c r="O301" s="44"/>
      <c r="P301" s="44"/>
      <c r="Q301" s="72"/>
    </row>
    <row r="302" spans="2:17" x14ac:dyDescent="0.2">
      <c r="B302" s="50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55"/>
      <c r="O302" s="44"/>
      <c r="P302" s="44"/>
      <c r="Q302" s="51"/>
    </row>
    <row r="303" spans="2:17" x14ac:dyDescent="0.2">
      <c r="B303" s="50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55"/>
      <c r="O303" s="44"/>
      <c r="P303" s="44"/>
      <c r="Q303" s="51"/>
    </row>
    <row r="304" spans="2:17" x14ac:dyDescent="0.2">
      <c r="B304" s="50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55"/>
      <c r="O304" s="44"/>
      <c r="P304" s="44"/>
      <c r="Q304" s="51"/>
    </row>
    <row r="305" spans="2:17" x14ac:dyDescent="0.2">
      <c r="B305" s="50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55"/>
      <c r="O305" s="44"/>
      <c r="P305" s="44"/>
      <c r="Q305" s="51"/>
    </row>
    <row r="306" spans="2:17" x14ac:dyDescent="0.2">
      <c r="B306" s="58"/>
      <c r="C306" s="59"/>
      <c r="D306" s="59"/>
      <c r="E306" s="59"/>
      <c r="F306" s="59"/>
      <c r="G306" s="59"/>
      <c r="H306" s="59"/>
      <c r="I306" s="59"/>
      <c r="J306" s="59"/>
      <c r="K306" s="59"/>
      <c r="L306" s="59">
        <f>SUM(L299:L305)</f>
        <v>30</v>
      </c>
      <c r="M306" s="59">
        <f>SUM(M299:M305)</f>
        <v>16</v>
      </c>
      <c r="N306" s="60"/>
      <c r="O306" s="59"/>
      <c r="P306" s="59"/>
      <c r="Q306" s="62"/>
    </row>
    <row r="307" spans="2:17" ht="15.75" thickBot="1" x14ac:dyDescent="0.25">
      <c r="B307" s="65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7"/>
      <c r="O307" s="66"/>
      <c r="P307" s="66"/>
      <c r="Q307" s="68"/>
    </row>
    <row r="308" spans="2:17" x14ac:dyDescent="0.2">
      <c r="B308" s="42" t="s">
        <v>0</v>
      </c>
      <c r="C308" s="42" t="s">
        <v>26</v>
      </c>
      <c r="D308" s="42" t="s">
        <v>1</v>
      </c>
      <c r="E308" s="42" t="s">
        <v>2</v>
      </c>
      <c r="F308" s="42" t="s">
        <v>3</v>
      </c>
      <c r="G308" s="42" t="s">
        <v>4</v>
      </c>
      <c r="H308" s="42" t="s">
        <v>5</v>
      </c>
      <c r="I308" s="42" t="s">
        <v>6</v>
      </c>
      <c r="J308" s="42" t="s">
        <v>7</v>
      </c>
      <c r="K308" s="42" t="s">
        <v>8</v>
      </c>
      <c r="L308" s="42"/>
      <c r="M308" s="42"/>
      <c r="N308" s="52" t="s">
        <v>9</v>
      </c>
      <c r="O308" s="42"/>
      <c r="P308" s="42" t="s">
        <v>10</v>
      </c>
      <c r="Q308" s="42"/>
    </row>
    <row r="309" spans="2:17" x14ac:dyDescent="0.2">
      <c r="B309" s="89"/>
      <c r="C309" s="43"/>
      <c r="D309" s="43"/>
      <c r="E309" s="43" t="s">
        <v>11</v>
      </c>
      <c r="F309" s="43"/>
      <c r="G309" s="43"/>
      <c r="H309" s="43"/>
      <c r="I309" s="43"/>
      <c r="J309" s="43"/>
      <c r="K309" s="43" t="s">
        <v>12</v>
      </c>
      <c r="L309" s="43" t="s">
        <v>13</v>
      </c>
      <c r="M309" s="43" t="s">
        <v>14</v>
      </c>
      <c r="N309" s="53" t="s">
        <v>15</v>
      </c>
      <c r="O309" s="43" t="s">
        <v>16</v>
      </c>
      <c r="P309" s="43"/>
      <c r="Q309" s="43" t="s">
        <v>17</v>
      </c>
    </row>
    <row r="310" spans="2:17" x14ac:dyDescent="0.2">
      <c r="B310" s="109" t="s">
        <v>149</v>
      </c>
      <c r="C310" s="105" t="s">
        <v>150</v>
      </c>
      <c r="D310" s="57"/>
      <c r="E310" s="57"/>
      <c r="F310" s="57"/>
      <c r="G310" s="57"/>
      <c r="H310" s="57"/>
      <c r="I310" s="47"/>
      <c r="J310" s="47"/>
      <c r="K310" s="57" t="s">
        <v>151</v>
      </c>
      <c r="L310" s="47">
        <v>44</v>
      </c>
      <c r="M310" s="47">
        <v>0</v>
      </c>
      <c r="N310" s="54">
        <f>SUM(L318-M318)</f>
        <v>0</v>
      </c>
      <c r="O310" s="48"/>
      <c r="P310" s="112"/>
      <c r="Q310" s="49"/>
    </row>
    <row r="311" spans="2:17" x14ac:dyDescent="0.2">
      <c r="B311" s="125"/>
      <c r="C311" s="105"/>
      <c r="D311" s="126"/>
      <c r="E311" s="126"/>
      <c r="F311" s="126"/>
      <c r="G311" s="126"/>
      <c r="H311" s="126"/>
      <c r="I311" s="83"/>
      <c r="J311" s="83"/>
      <c r="K311" s="126" t="s">
        <v>151</v>
      </c>
      <c r="L311" s="83">
        <v>3</v>
      </c>
      <c r="M311" s="83"/>
      <c r="N311" s="209"/>
      <c r="O311" s="127"/>
      <c r="P311" s="129"/>
      <c r="Q311" s="128"/>
    </row>
    <row r="312" spans="2:17" x14ac:dyDescent="0.2">
      <c r="B312" s="87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>
        <v>12</v>
      </c>
      <c r="N312" s="55"/>
      <c r="O312" s="115"/>
      <c r="P312" s="114" t="s">
        <v>152</v>
      </c>
      <c r="Q312" s="117"/>
    </row>
    <row r="313" spans="2:17" x14ac:dyDescent="0.2">
      <c r="B313" s="50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>
        <v>8</v>
      </c>
      <c r="N313" s="55"/>
      <c r="O313" s="116"/>
      <c r="P313" s="114" t="s">
        <v>153</v>
      </c>
      <c r="Q313" s="118"/>
    </row>
    <row r="314" spans="2:17" x14ac:dyDescent="0.2">
      <c r="B314" s="50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>
        <v>24</v>
      </c>
      <c r="N314" s="55"/>
      <c r="O314" s="116"/>
      <c r="P314" s="114" t="s">
        <v>154</v>
      </c>
      <c r="Q314" s="117"/>
    </row>
    <row r="315" spans="2:17" x14ac:dyDescent="0.2">
      <c r="B315" s="50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>
        <v>3</v>
      </c>
      <c r="N315" s="55"/>
      <c r="O315" s="116"/>
      <c r="P315" s="114" t="s">
        <v>155</v>
      </c>
      <c r="Q315" s="117"/>
    </row>
    <row r="316" spans="2:17" x14ac:dyDescent="0.2">
      <c r="B316" s="50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55"/>
      <c r="O316" s="44"/>
      <c r="P316" s="83"/>
      <c r="Q316" s="51"/>
    </row>
    <row r="317" spans="2:17" x14ac:dyDescent="0.2">
      <c r="B317" s="50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55"/>
      <c r="O317" s="44"/>
      <c r="P317" s="44"/>
      <c r="Q317" s="51"/>
    </row>
    <row r="318" spans="2:17" hidden="1" x14ac:dyDescent="0.2">
      <c r="B318" s="58"/>
      <c r="C318" s="59"/>
      <c r="D318" s="59"/>
      <c r="E318" s="59"/>
      <c r="F318" s="59"/>
      <c r="G318" s="59"/>
      <c r="H318" s="59"/>
      <c r="I318" s="59"/>
      <c r="J318" s="59"/>
      <c r="K318" s="59"/>
      <c r="L318" s="59">
        <f>SUM(L310:L317)</f>
        <v>47</v>
      </c>
      <c r="M318" s="59">
        <f>SUM(M310:M317)</f>
        <v>47</v>
      </c>
      <c r="N318" s="60"/>
      <c r="O318" s="59"/>
      <c r="P318" s="59"/>
      <c r="Q318" s="62"/>
    </row>
    <row r="319" spans="2:17" ht="15.75" thickBot="1" x14ac:dyDescent="0.25">
      <c r="B319" s="65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7"/>
      <c r="O319" s="66"/>
      <c r="P319" s="66"/>
      <c r="Q319" s="68"/>
    </row>
    <row r="320" spans="2:17" x14ac:dyDescent="0.2">
      <c r="B320" s="42" t="s">
        <v>0</v>
      </c>
      <c r="C320" s="42" t="s">
        <v>26</v>
      </c>
      <c r="D320" s="42" t="s">
        <v>1</v>
      </c>
      <c r="E320" s="42" t="s">
        <v>2</v>
      </c>
      <c r="F320" s="42" t="s">
        <v>3</v>
      </c>
      <c r="G320" s="42" t="s">
        <v>4</v>
      </c>
      <c r="H320" s="42" t="s">
        <v>5</v>
      </c>
      <c r="I320" s="42" t="s">
        <v>6</v>
      </c>
      <c r="J320" s="42" t="s">
        <v>7</v>
      </c>
      <c r="K320" s="42" t="s">
        <v>8</v>
      </c>
      <c r="L320" s="42"/>
      <c r="M320" s="42"/>
      <c r="N320" s="52" t="s">
        <v>9</v>
      </c>
      <c r="O320" s="42"/>
      <c r="P320" s="42" t="s">
        <v>10</v>
      </c>
      <c r="Q320" s="42"/>
    </row>
    <row r="321" spans="2:17" x14ac:dyDescent="0.2">
      <c r="B321" s="89"/>
      <c r="C321" s="43"/>
      <c r="D321" s="43"/>
      <c r="E321" s="43" t="s">
        <v>11</v>
      </c>
      <c r="F321" s="43"/>
      <c r="G321" s="43"/>
      <c r="H321" s="43"/>
      <c r="I321" s="43"/>
      <c r="J321" s="43"/>
      <c r="K321" s="43" t="s">
        <v>12</v>
      </c>
      <c r="L321" s="43" t="s">
        <v>13</v>
      </c>
      <c r="M321" s="43" t="s">
        <v>14</v>
      </c>
      <c r="N321" s="53" t="s">
        <v>15</v>
      </c>
      <c r="O321" s="43" t="s">
        <v>16</v>
      </c>
      <c r="P321" s="43"/>
      <c r="Q321" s="43" t="s">
        <v>17</v>
      </c>
    </row>
    <row r="322" spans="2:17" x14ac:dyDescent="0.2">
      <c r="B322" s="119" t="s">
        <v>156</v>
      </c>
      <c r="C322" s="105" t="s">
        <v>157</v>
      </c>
      <c r="D322" s="57"/>
      <c r="E322" s="57"/>
      <c r="F322" s="57"/>
      <c r="G322" s="57"/>
      <c r="H322" s="57"/>
      <c r="I322" s="47"/>
      <c r="J322" s="47"/>
      <c r="K322" s="57" t="s">
        <v>151</v>
      </c>
      <c r="L322" s="47">
        <v>6</v>
      </c>
      <c r="M322" s="47">
        <v>0</v>
      </c>
      <c r="N322" s="54">
        <f>SUM(L329-M329)</f>
        <v>0</v>
      </c>
      <c r="O322" s="48"/>
      <c r="P322" s="112"/>
      <c r="Q322" s="49"/>
    </row>
    <row r="323" spans="2:17" x14ac:dyDescent="0.2">
      <c r="B323" s="87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>
        <v>6</v>
      </c>
      <c r="N323" s="55"/>
      <c r="O323" s="45"/>
      <c r="P323" s="113" t="s">
        <v>158</v>
      </c>
      <c r="Q323" s="51"/>
    </row>
    <row r="324" spans="2:17" x14ac:dyDescent="0.2">
      <c r="B324" s="50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55"/>
      <c r="O324" s="44"/>
      <c r="P324" s="44"/>
      <c r="Q324" s="72"/>
    </row>
    <row r="325" spans="2:17" x14ac:dyDescent="0.2">
      <c r="B325" s="50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55"/>
      <c r="O325" s="44"/>
      <c r="P325" s="44"/>
      <c r="Q325" s="51"/>
    </row>
    <row r="326" spans="2:17" x14ac:dyDescent="0.2">
      <c r="B326" s="50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55"/>
      <c r="O326" s="44"/>
      <c r="P326" s="44"/>
      <c r="Q326" s="51"/>
    </row>
    <row r="327" spans="2:17" x14ac:dyDescent="0.2">
      <c r="B327" s="50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55"/>
      <c r="O327" s="44"/>
      <c r="P327" s="44"/>
      <c r="Q327" s="51"/>
    </row>
    <row r="328" spans="2:17" ht="14.25" customHeight="1" x14ac:dyDescent="0.2">
      <c r="B328" s="50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55"/>
      <c r="O328" s="44"/>
      <c r="P328" s="44"/>
      <c r="Q328" s="51"/>
    </row>
    <row r="329" spans="2:17" hidden="1" x14ac:dyDescent="0.2">
      <c r="B329" s="58"/>
      <c r="C329" s="59"/>
      <c r="D329" s="59"/>
      <c r="E329" s="59"/>
      <c r="F329" s="59"/>
      <c r="G329" s="59"/>
      <c r="H329" s="59"/>
      <c r="I329" s="59"/>
      <c r="J329" s="59"/>
      <c r="K329" s="59"/>
      <c r="L329" s="59">
        <f>SUM(L322:L328)</f>
        <v>6</v>
      </c>
      <c r="M329" s="59">
        <f>SUM(M322:M328)</f>
        <v>6</v>
      </c>
      <c r="N329" s="60"/>
      <c r="O329" s="59"/>
      <c r="P329" s="59"/>
      <c r="Q329" s="62"/>
    </row>
    <row r="330" spans="2:17" ht="15.75" thickBot="1" x14ac:dyDescent="0.25">
      <c r="B330" s="65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7"/>
      <c r="O330" s="66"/>
      <c r="P330" s="66"/>
      <c r="Q330" s="68"/>
    </row>
    <row r="331" spans="2:17" x14ac:dyDescent="0.2">
      <c r="B331" s="42" t="s">
        <v>0</v>
      </c>
      <c r="C331" s="42" t="s">
        <v>26</v>
      </c>
      <c r="D331" s="42" t="s">
        <v>1</v>
      </c>
      <c r="E331" s="42" t="s">
        <v>2</v>
      </c>
      <c r="F331" s="42" t="s">
        <v>3</v>
      </c>
      <c r="G331" s="42" t="s">
        <v>4</v>
      </c>
      <c r="H331" s="42" t="s">
        <v>5</v>
      </c>
      <c r="I331" s="42" t="s">
        <v>6</v>
      </c>
      <c r="J331" s="42" t="s">
        <v>7</v>
      </c>
      <c r="K331" s="42" t="s">
        <v>8</v>
      </c>
      <c r="L331" s="42"/>
      <c r="M331" s="42"/>
      <c r="N331" s="52" t="s">
        <v>9</v>
      </c>
      <c r="O331" s="42"/>
      <c r="P331" s="42" t="s">
        <v>10</v>
      </c>
      <c r="Q331" s="42"/>
    </row>
    <row r="332" spans="2:17" ht="15.75" thickBot="1" x14ac:dyDescent="0.25">
      <c r="B332" s="43"/>
      <c r="C332" s="43"/>
      <c r="D332" s="43"/>
      <c r="E332" s="43" t="s">
        <v>11</v>
      </c>
      <c r="F332" s="43"/>
      <c r="G332" s="43"/>
      <c r="H332" s="43"/>
      <c r="I332" s="43"/>
      <c r="J332" s="43"/>
      <c r="K332" s="43" t="s">
        <v>12</v>
      </c>
      <c r="L332" s="43" t="s">
        <v>13</v>
      </c>
      <c r="M332" s="43" t="s">
        <v>14</v>
      </c>
      <c r="N332" s="53" t="s">
        <v>15</v>
      </c>
      <c r="O332" s="43" t="s">
        <v>16</v>
      </c>
      <c r="P332" s="43"/>
      <c r="Q332" s="43" t="s">
        <v>17</v>
      </c>
    </row>
    <row r="333" spans="2:17" x14ac:dyDescent="0.2">
      <c r="B333" s="100" t="s">
        <v>159</v>
      </c>
      <c r="C333" s="106" t="s">
        <v>160</v>
      </c>
      <c r="D333" s="57"/>
      <c r="E333" s="57"/>
      <c r="F333" s="57"/>
      <c r="G333" s="57"/>
      <c r="H333" s="57"/>
      <c r="I333" s="47"/>
      <c r="J333" s="44" t="s">
        <v>146</v>
      </c>
      <c r="K333" s="57" t="s">
        <v>161</v>
      </c>
      <c r="L333" s="47">
        <v>100</v>
      </c>
      <c r="M333" s="47">
        <v>0</v>
      </c>
      <c r="N333" s="54">
        <f>SUM(L340-M340)</f>
        <v>144</v>
      </c>
      <c r="O333" s="48"/>
      <c r="P333" s="47"/>
      <c r="Q333" s="49"/>
    </row>
    <row r="334" spans="2:17" x14ac:dyDescent="0.2">
      <c r="B334" s="50"/>
      <c r="C334" s="44"/>
      <c r="D334" s="44"/>
      <c r="E334" s="44"/>
      <c r="F334" s="44"/>
      <c r="G334" s="44"/>
      <c r="H334" s="44"/>
      <c r="I334" s="44"/>
      <c r="J334" s="44" t="s">
        <v>146</v>
      </c>
      <c r="K334" s="44" t="s">
        <v>162</v>
      </c>
      <c r="L334" s="44">
        <v>44</v>
      </c>
      <c r="M334" s="44"/>
      <c r="N334" s="55"/>
      <c r="O334" s="45"/>
      <c r="P334" s="44"/>
      <c r="Q334" s="51"/>
    </row>
    <row r="335" spans="2:17" x14ac:dyDescent="0.2">
      <c r="B335" s="50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55"/>
      <c r="O335" s="44"/>
      <c r="P335" s="44"/>
      <c r="Q335" s="72"/>
    </row>
    <row r="336" spans="2:17" x14ac:dyDescent="0.2">
      <c r="B336" s="50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55"/>
      <c r="O336" s="44"/>
      <c r="P336" s="44"/>
      <c r="Q336" s="51"/>
    </row>
    <row r="337" spans="2:17" x14ac:dyDescent="0.2">
      <c r="B337" s="50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55"/>
      <c r="O337" s="44"/>
      <c r="P337" s="44"/>
      <c r="Q337" s="51"/>
    </row>
    <row r="338" spans="2:17" x14ac:dyDescent="0.2">
      <c r="B338" s="50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55"/>
      <c r="O338" s="44"/>
      <c r="P338" s="44"/>
      <c r="Q338" s="51"/>
    </row>
    <row r="339" spans="2:17" ht="15.75" customHeight="1" x14ac:dyDescent="0.2">
      <c r="B339" s="50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55"/>
      <c r="O339" s="44"/>
      <c r="P339" s="44"/>
      <c r="Q339" s="51"/>
    </row>
    <row r="340" spans="2:17" hidden="1" x14ac:dyDescent="0.2">
      <c r="B340" s="58"/>
      <c r="C340" s="59"/>
      <c r="D340" s="59"/>
      <c r="E340" s="59"/>
      <c r="F340" s="59"/>
      <c r="G340" s="59"/>
      <c r="H340" s="59"/>
      <c r="I340" s="59"/>
      <c r="J340" s="59"/>
      <c r="K340" s="59"/>
      <c r="L340" s="59">
        <f>SUM(L333:L339)</f>
        <v>144</v>
      </c>
      <c r="M340" s="59">
        <f>SUM(M333:M339)</f>
        <v>0</v>
      </c>
      <c r="N340" s="60"/>
      <c r="O340" s="59"/>
      <c r="P340" s="59"/>
      <c r="Q340" s="62"/>
    </row>
    <row r="341" spans="2:17" ht="15.75" thickBot="1" x14ac:dyDescent="0.25">
      <c r="B341" s="65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7"/>
      <c r="O341" s="66"/>
      <c r="P341" s="66"/>
      <c r="Q341" s="68"/>
    </row>
    <row r="342" spans="2:17" x14ac:dyDescent="0.2">
      <c r="B342" s="42" t="s">
        <v>0</v>
      </c>
      <c r="C342" s="42" t="s">
        <v>26</v>
      </c>
      <c r="D342" s="42" t="s">
        <v>1</v>
      </c>
      <c r="E342" s="42" t="s">
        <v>2</v>
      </c>
      <c r="F342" s="42" t="s">
        <v>3</v>
      </c>
      <c r="G342" s="42" t="s">
        <v>4</v>
      </c>
      <c r="H342" s="42" t="s">
        <v>5</v>
      </c>
      <c r="I342" s="42" t="s">
        <v>6</v>
      </c>
      <c r="J342" s="42" t="s">
        <v>7</v>
      </c>
      <c r="K342" s="42" t="s">
        <v>8</v>
      </c>
      <c r="L342" s="42"/>
      <c r="M342" s="42"/>
      <c r="N342" s="52" t="s">
        <v>9</v>
      </c>
      <c r="O342" s="42"/>
      <c r="P342" s="42" t="s">
        <v>10</v>
      </c>
      <c r="Q342" s="42"/>
    </row>
    <row r="343" spans="2:17" ht="15.75" thickBot="1" x14ac:dyDescent="0.25">
      <c r="B343" s="43"/>
      <c r="C343" s="43"/>
      <c r="D343" s="43"/>
      <c r="E343" s="43" t="s">
        <v>11</v>
      </c>
      <c r="F343" s="43"/>
      <c r="G343" s="43"/>
      <c r="H343" s="43"/>
      <c r="I343" s="43"/>
      <c r="J343" s="43"/>
      <c r="K343" s="43" t="s">
        <v>12</v>
      </c>
      <c r="L343" s="43" t="s">
        <v>13</v>
      </c>
      <c r="M343" s="43" t="s">
        <v>14</v>
      </c>
      <c r="N343" s="53" t="s">
        <v>15</v>
      </c>
      <c r="O343" s="43" t="s">
        <v>16</v>
      </c>
      <c r="P343" s="43"/>
      <c r="Q343" s="43" t="s">
        <v>17</v>
      </c>
    </row>
    <row r="344" spans="2:17" ht="27" x14ac:dyDescent="0.2">
      <c r="B344" s="109" t="s">
        <v>163</v>
      </c>
      <c r="C344" s="105">
        <v>3131</v>
      </c>
      <c r="D344" s="57"/>
      <c r="E344" s="57"/>
      <c r="F344" s="57"/>
      <c r="G344" s="57"/>
      <c r="H344" s="57"/>
      <c r="I344" s="47"/>
      <c r="J344" s="47"/>
      <c r="K344" s="57" t="s">
        <v>164</v>
      </c>
      <c r="L344" s="47">
        <v>47</v>
      </c>
      <c r="M344" s="47">
        <v>0</v>
      </c>
      <c r="N344" s="54">
        <f>SUM(L351-M351)</f>
        <v>47</v>
      </c>
      <c r="O344" s="48"/>
      <c r="P344" s="47"/>
      <c r="Q344" s="49"/>
    </row>
    <row r="345" spans="2:17" x14ac:dyDescent="0.2">
      <c r="B345" s="50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55"/>
      <c r="O345" s="45"/>
      <c r="P345" s="44"/>
      <c r="Q345" s="51"/>
    </row>
    <row r="346" spans="2:17" x14ac:dyDescent="0.2">
      <c r="B346" s="50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55"/>
      <c r="O346" s="44"/>
      <c r="P346" s="44"/>
      <c r="Q346" s="72"/>
    </row>
    <row r="347" spans="2:17" x14ac:dyDescent="0.2">
      <c r="B347" s="50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55"/>
      <c r="O347" s="44"/>
      <c r="P347" s="44"/>
      <c r="Q347" s="51"/>
    </row>
    <row r="348" spans="2:17" x14ac:dyDescent="0.2">
      <c r="B348" s="50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55"/>
      <c r="O348" s="44"/>
      <c r="P348" s="44"/>
      <c r="Q348" s="51"/>
    </row>
    <row r="349" spans="2:17" x14ac:dyDescent="0.2">
      <c r="B349" s="50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55"/>
      <c r="O349" s="44"/>
      <c r="P349" s="44"/>
      <c r="Q349" s="51"/>
    </row>
    <row r="350" spans="2:17" x14ac:dyDescent="0.2">
      <c r="B350" s="50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55"/>
      <c r="O350" s="44"/>
      <c r="P350" s="44"/>
      <c r="Q350" s="51"/>
    </row>
    <row r="351" spans="2:17" hidden="1" x14ac:dyDescent="0.2">
      <c r="B351" s="58"/>
      <c r="C351" s="59"/>
      <c r="D351" s="59"/>
      <c r="E351" s="59"/>
      <c r="F351" s="59"/>
      <c r="G351" s="59"/>
      <c r="H351" s="59"/>
      <c r="I351" s="59"/>
      <c r="J351" s="59"/>
      <c r="K351" s="59"/>
      <c r="L351" s="59">
        <f>SUM(L344:L350)</f>
        <v>47</v>
      </c>
      <c r="M351" s="59">
        <f>SUM(M344:M350)</f>
        <v>0</v>
      </c>
      <c r="N351" s="60"/>
      <c r="O351" s="59"/>
      <c r="P351" s="59"/>
      <c r="Q351" s="62"/>
    </row>
    <row r="352" spans="2:17" ht="15.75" thickBot="1" x14ac:dyDescent="0.25">
      <c r="B352" s="65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7"/>
      <c r="O352" s="66"/>
      <c r="P352" s="66"/>
      <c r="Q352" s="68"/>
    </row>
    <row r="353" spans="2:17" x14ac:dyDescent="0.2">
      <c r="B353" s="42" t="s">
        <v>0</v>
      </c>
      <c r="C353" s="42" t="s">
        <v>26</v>
      </c>
      <c r="D353" s="42" t="s">
        <v>1</v>
      </c>
      <c r="E353" s="42" t="s">
        <v>2</v>
      </c>
      <c r="F353" s="42" t="s">
        <v>3</v>
      </c>
      <c r="G353" s="42" t="s">
        <v>4</v>
      </c>
      <c r="H353" s="42" t="s">
        <v>5</v>
      </c>
      <c r="I353" s="42" t="s">
        <v>6</v>
      </c>
      <c r="J353" s="42" t="s">
        <v>7</v>
      </c>
      <c r="K353" s="42" t="s">
        <v>8</v>
      </c>
      <c r="L353" s="42"/>
      <c r="M353" s="42"/>
      <c r="N353" s="52" t="s">
        <v>9</v>
      </c>
      <c r="O353" s="42"/>
      <c r="P353" s="42" t="s">
        <v>10</v>
      </c>
      <c r="Q353" s="42"/>
    </row>
    <row r="354" spans="2:17" ht="15.75" thickBot="1" x14ac:dyDescent="0.25">
      <c r="B354" s="43"/>
      <c r="C354" s="43"/>
      <c r="D354" s="43"/>
      <c r="E354" s="43" t="s">
        <v>11</v>
      </c>
      <c r="F354" s="43"/>
      <c r="G354" s="43"/>
      <c r="H354" s="43"/>
      <c r="I354" s="43"/>
      <c r="J354" s="43"/>
      <c r="K354" s="43" t="s">
        <v>12</v>
      </c>
      <c r="L354" s="43" t="s">
        <v>13</v>
      </c>
      <c r="M354" s="43" t="s">
        <v>14</v>
      </c>
      <c r="N354" s="53" t="s">
        <v>15</v>
      </c>
      <c r="O354" s="43" t="s">
        <v>16</v>
      </c>
      <c r="P354" s="43"/>
      <c r="Q354" s="43" t="s">
        <v>17</v>
      </c>
    </row>
    <row r="355" spans="2:17" ht="27" x14ac:dyDescent="0.2">
      <c r="B355" s="109" t="s">
        <v>165</v>
      </c>
      <c r="C355" s="105">
        <v>3139</v>
      </c>
      <c r="D355" s="57"/>
      <c r="E355" s="57"/>
      <c r="F355" s="57"/>
      <c r="G355" s="57"/>
      <c r="H355" s="57"/>
      <c r="I355" s="47"/>
      <c r="J355" s="47"/>
      <c r="K355" s="57" t="s">
        <v>164</v>
      </c>
      <c r="L355" s="47">
        <v>47</v>
      </c>
      <c r="M355" s="47">
        <v>0</v>
      </c>
      <c r="N355" s="54">
        <f>SUM(L362-M362)</f>
        <v>47</v>
      </c>
      <c r="O355" s="48"/>
      <c r="P355" s="47"/>
      <c r="Q355" s="49"/>
    </row>
    <row r="356" spans="2:17" x14ac:dyDescent="0.2">
      <c r="B356" s="50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55"/>
      <c r="O356" s="45"/>
      <c r="P356" s="44"/>
      <c r="Q356" s="51"/>
    </row>
    <row r="357" spans="2:17" x14ac:dyDescent="0.2">
      <c r="B357" s="50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55"/>
      <c r="O357" s="44"/>
      <c r="P357" s="44"/>
      <c r="Q357" s="72"/>
    </row>
    <row r="358" spans="2:17" x14ac:dyDescent="0.2">
      <c r="B358" s="50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55"/>
      <c r="O358" s="44"/>
      <c r="P358" s="44"/>
      <c r="Q358" s="51"/>
    </row>
    <row r="359" spans="2:17" x14ac:dyDescent="0.2">
      <c r="B359" s="50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55"/>
      <c r="O359" s="44"/>
      <c r="P359" s="44"/>
      <c r="Q359" s="51"/>
    </row>
    <row r="360" spans="2:17" x14ac:dyDescent="0.2">
      <c r="B360" s="50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55"/>
      <c r="O360" s="44"/>
      <c r="P360" s="44"/>
      <c r="Q360" s="51"/>
    </row>
    <row r="361" spans="2:17" x14ac:dyDescent="0.2">
      <c r="B361" s="50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55"/>
      <c r="O361" s="44"/>
      <c r="P361" s="44"/>
      <c r="Q361" s="51"/>
    </row>
    <row r="362" spans="2:17" hidden="1" x14ac:dyDescent="0.2">
      <c r="B362" s="58"/>
      <c r="C362" s="59"/>
      <c r="D362" s="59"/>
      <c r="E362" s="59"/>
      <c r="F362" s="59"/>
      <c r="G362" s="59"/>
      <c r="H362" s="59"/>
      <c r="I362" s="59"/>
      <c r="J362" s="59"/>
      <c r="K362" s="59"/>
      <c r="L362" s="59">
        <f>SUM(L355:L361)</f>
        <v>47</v>
      </c>
      <c r="M362" s="59">
        <f>SUM(M355:M361)</f>
        <v>0</v>
      </c>
      <c r="N362" s="60"/>
      <c r="O362" s="59"/>
      <c r="P362" s="59"/>
      <c r="Q362" s="62"/>
    </row>
    <row r="363" spans="2:17" ht="15.75" thickBot="1" x14ac:dyDescent="0.25">
      <c r="B363" s="65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7"/>
      <c r="O363" s="66"/>
      <c r="P363" s="66"/>
      <c r="Q363" s="68"/>
    </row>
    <row r="364" spans="2:17" x14ac:dyDescent="0.2">
      <c r="B364" s="42" t="s">
        <v>0</v>
      </c>
      <c r="C364" s="42" t="s">
        <v>26</v>
      </c>
      <c r="D364" s="42" t="s">
        <v>1</v>
      </c>
      <c r="E364" s="42" t="s">
        <v>2</v>
      </c>
      <c r="F364" s="42" t="s">
        <v>3</v>
      </c>
      <c r="G364" s="42" t="s">
        <v>4</v>
      </c>
      <c r="H364" s="42" t="s">
        <v>5</v>
      </c>
      <c r="I364" s="42" t="s">
        <v>6</v>
      </c>
      <c r="J364" s="42" t="s">
        <v>7</v>
      </c>
      <c r="K364" s="42" t="s">
        <v>8</v>
      </c>
      <c r="L364" s="42"/>
      <c r="M364" s="42"/>
      <c r="N364" s="52" t="s">
        <v>9</v>
      </c>
      <c r="O364" s="42"/>
      <c r="P364" s="42" t="s">
        <v>10</v>
      </c>
      <c r="Q364" s="42"/>
    </row>
    <row r="365" spans="2:17" ht="15.75" thickBot="1" x14ac:dyDescent="0.25">
      <c r="B365" s="43"/>
      <c r="C365" s="43"/>
      <c r="D365" s="43"/>
      <c r="E365" s="43" t="s">
        <v>11</v>
      </c>
      <c r="F365" s="43"/>
      <c r="G365" s="43"/>
      <c r="H365" s="43"/>
      <c r="I365" s="43"/>
      <c r="J365" s="43"/>
      <c r="K365" s="43" t="s">
        <v>12</v>
      </c>
      <c r="L365" s="43" t="s">
        <v>13</v>
      </c>
      <c r="M365" s="43" t="s">
        <v>14</v>
      </c>
      <c r="N365" s="53" t="s">
        <v>15</v>
      </c>
      <c r="O365" s="43" t="s">
        <v>16</v>
      </c>
      <c r="P365" s="43"/>
      <c r="Q365" s="43" t="s">
        <v>17</v>
      </c>
    </row>
    <row r="366" spans="2:17" ht="27" x14ac:dyDescent="0.2">
      <c r="B366" s="109" t="s">
        <v>166</v>
      </c>
      <c r="C366" s="105">
        <v>3135</v>
      </c>
      <c r="D366" s="57"/>
      <c r="E366" s="57"/>
      <c r="F366" s="57"/>
      <c r="G366" s="57"/>
      <c r="H366" s="57"/>
      <c r="I366" s="47"/>
      <c r="J366" s="47"/>
      <c r="K366" s="57" t="s">
        <v>164</v>
      </c>
      <c r="L366" s="47">
        <v>33</v>
      </c>
      <c r="M366" s="47">
        <v>0</v>
      </c>
      <c r="N366" s="54">
        <f>SUM(L373-M373)</f>
        <v>33</v>
      </c>
      <c r="O366" s="48"/>
      <c r="P366" s="47"/>
      <c r="Q366" s="49"/>
    </row>
    <row r="367" spans="2:17" x14ac:dyDescent="0.2">
      <c r="B367" s="50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55"/>
      <c r="O367" s="45"/>
      <c r="P367" s="44"/>
      <c r="Q367" s="51"/>
    </row>
    <row r="368" spans="2:17" x14ac:dyDescent="0.2">
      <c r="B368" s="50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55"/>
      <c r="O368" s="44"/>
      <c r="P368" s="44"/>
      <c r="Q368" s="72"/>
    </row>
    <row r="369" spans="2:17" x14ac:dyDescent="0.2">
      <c r="B369" s="50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55"/>
      <c r="O369" s="44"/>
      <c r="P369" s="44"/>
      <c r="Q369" s="51"/>
    </row>
    <row r="370" spans="2:17" x14ac:dyDescent="0.2">
      <c r="B370" s="50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55"/>
      <c r="O370" s="44"/>
      <c r="P370" s="44"/>
      <c r="Q370" s="51"/>
    </row>
    <row r="371" spans="2:17" x14ac:dyDescent="0.2">
      <c r="B371" s="50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55"/>
      <c r="O371" s="44"/>
      <c r="P371" s="44"/>
      <c r="Q371" s="51"/>
    </row>
    <row r="372" spans="2:17" x14ac:dyDescent="0.2">
      <c r="B372" s="50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55"/>
      <c r="O372" s="44"/>
      <c r="P372" s="44"/>
      <c r="Q372" s="51"/>
    </row>
    <row r="373" spans="2:17" hidden="1" x14ac:dyDescent="0.2">
      <c r="B373" s="58"/>
      <c r="C373" s="59"/>
      <c r="D373" s="59"/>
      <c r="E373" s="59"/>
      <c r="F373" s="59"/>
      <c r="G373" s="59"/>
      <c r="H373" s="59"/>
      <c r="I373" s="59"/>
      <c r="J373" s="59"/>
      <c r="K373" s="59"/>
      <c r="L373" s="59">
        <f>SUM(L366:L372)</f>
        <v>33</v>
      </c>
      <c r="M373" s="59">
        <f>SUM(M366:M372)</f>
        <v>0</v>
      </c>
      <c r="N373" s="60"/>
      <c r="O373" s="59"/>
      <c r="P373" s="59"/>
      <c r="Q373" s="62"/>
    </row>
    <row r="374" spans="2:17" ht="15.75" thickBot="1" x14ac:dyDescent="0.25">
      <c r="B374" s="65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7"/>
      <c r="O374" s="66"/>
      <c r="P374" s="66"/>
      <c r="Q374" s="68"/>
    </row>
    <row r="375" spans="2:17" x14ac:dyDescent="0.2">
      <c r="B375" s="42" t="s">
        <v>0</v>
      </c>
      <c r="C375" s="42" t="s">
        <v>26</v>
      </c>
      <c r="D375" s="42" t="s">
        <v>1</v>
      </c>
      <c r="E375" s="42" t="s">
        <v>2</v>
      </c>
      <c r="F375" s="42" t="s">
        <v>3</v>
      </c>
      <c r="G375" s="42" t="s">
        <v>4</v>
      </c>
      <c r="H375" s="42" t="s">
        <v>5</v>
      </c>
      <c r="I375" s="42" t="s">
        <v>6</v>
      </c>
      <c r="J375" s="42" t="s">
        <v>7</v>
      </c>
      <c r="K375" s="42" t="s">
        <v>8</v>
      </c>
      <c r="L375" s="42"/>
      <c r="M375" s="42"/>
      <c r="N375" s="52" t="s">
        <v>9</v>
      </c>
      <c r="O375" s="42"/>
      <c r="P375" s="42" t="s">
        <v>10</v>
      </c>
      <c r="Q375" s="42"/>
    </row>
    <row r="376" spans="2:17" x14ac:dyDescent="0.2">
      <c r="B376" s="43"/>
      <c r="C376" s="43"/>
      <c r="D376" s="43"/>
      <c r="E376" s="43" t="s">
        <v>11</v>
      </c>
      <c r="F376" s="43"/>
      <c r="G376" s="43"/>
      <c r="H376" s="43"/>
      <c r="I376" s="43"/>
      <c r="J376" s="43"/>
      <c r="K376" s="43" t="s">
        <v>12</v>
      </c>
      <c r="L376" s="43" t="s">
        <v>13</v>
      </c>
      <c r="M376" s="43" t="s">
        <v>14</v>
      </c>
      <c r="N376" s="53" t="s">
        <v>15</v>
      </c>
      <c r="O376" s="43" t="s">
        <v>16</v>
      </c>
      <c r="P376" s="43"/>
      <c r="Q376" s="43" t="s">
        <v>17</v>
      </c>
    </row>
    <row r="377" spans="2:17" x14ac:dyDescent="0.2">
      <c r="B377" s="102" t="s">
        <v>167</v>
      </c>
      <c r="C377" s="102" t="s">
        <v>168</v>
      </c>
      <c r="D377" s="57"/>
      <c r="E377" s="57"/>
      <c r="F377" s="57"/>
      <c r="G377" s="57"/>
      <c r="H377" s="57"/>
      <c r="I377" s="47"/>
      <c r="J377" s="47"/>
      <c r="K377" s="57" t="s">
        <v>169</v>
      </c>
      <c r="L377" s="47">
        <v>100</v>
      </c>
      <c r="M377" s="47">
        <v>0</v>
      </c>
      <c r="N377" s="54">
        <f>SUM(L384-M384)</f>
        <v>100</v>
      </c>
      <c r="O377" s="48"/>
      <c r="P377" s="47"/>
      <c r="Q377" s="49"/>
    </row>
    <row r="378" spans="2:17" x14ac:dyDescent="0.2">
      <c r="B378" s="50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55"/>
      <c r="O378" s="45"/>
      <c r="P378" s="44"/>
      <c r="Q378" s="51"/>
    </row>
    <row r="379" spans="2:17" x14ac:dyDescent="0.2">
      <c r="B379" s="50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55"/>
      <c r="O379" s="44"/>
      <c r="P379" s="44"/>
      <c r="Q379" s="72"/>
    </row>
    <row r="380" spans="2:17" x14ac:dyDescent="0.2">
      <c r="B380" s="50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55"/>
      <c r="O380" s="44"/>
      <c r="P380" s="44"/>
      <c r="Q380" s="51"/>
    </row>
    <row r="381" spans="2:17" x14ac:dyDescent="0.2">
      <c r="B381" s="50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55"/>
      <c r="O381" s="44"/>
      <c r="P381" s="44"/>
      <c r="Q381" s="51"/>
    </row>
    <row r="382" spans="2:17" x14ac:dyDescent="0.2">
      <c r="B382" s="50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55"/>
      <c r="O382" s="44"/>
      <c r="P382" s="44"/>
      <c r="Q382" s="51"/>
    </row>
    <row r="383" spans="2:17" x14ac:dyDescent="0.2">
      <c r="B383" s="50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55"/>
      <c r="O383" s="44"/>
      <c r="P383" s="44"/>
      <c r="Q383" s="51"/>
    </row>
    <row r="384" spans="2:17" hidden="1" x14ac:dyDescent="0.2">
      <c r="B384" s="58"/>
      <c r="C384" s="59"/>
      <c r="D384" s="59"/>
      <c r="E384" s="59"/>
      <c r="F384" s="59"/>
      <c r="G384" s="59"/>
      <c r="H384" s="59"/>
      <c r="I384" s="59"/>
      <c r="J384" s="59"/>
      <c r="K384" s="59"/>
      <c r="L384" s="59">
        <f>SUM(L377:L383)</f>
        <v>100</v>
      </c>
      <c r="M384" s="59">
        <f>SUM(M377:M383)</f>
        <v>0</v>
      </c>
      <c r="N384" s="60"/>
      <c r="O384" s="59"/>
      <c r="P384" s="59"/>
      <c r="Q384" s="62"/>
    </row>
    <row r="385" spans="2:17" ht="15.75" thickBot="1" x14ac:dyDescent="0.25">
      <c r="B385" s="65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7"/>
      <c r="O385" s="66"/>
      <c r="P385" s="66"/>
      <c r="Q385" s="68"/>
    </row>
    <row r="386" spans="2:17" x14ac:dyDescent="0.2">
      <c r="B386" s="42" t="s">
        <v>0</v>
      </c>
      <c r="C386" s="42" t="s">
        <v>26</v>
      </c>
      <c r="D386" s="42" t="s">
        <v>1</v>
      </c>
      <c r="E386" s="42" t="s">
        <v>2</v>
      </c>
      <c r="F386" s="42" t="s">
        <v>3</v>
      </c>
      <c r="G386" s="42" t="s">
        <v>4</v>
      </c>
      <c r="H386" s="42" t="s">
        <v>5</v>
      </c>
      <c r="I386" s="42" t="s">
        <v>6</v>
      </c>
      <c r="J386" s="42" t="s">
        <v>7</v>
      </c>
      <c r="K386" s="42" t="s">
        <v>8</v>
      </c>
      <c r="L386" s="42"/>
      <c r="M386" s="42"/>
      <c r="N386" s="52" t="s">
        <v>9</v>
      </c>
      <c r="O386" s="42"/>
      <c r="P386" s="42" t="s">
        <v>10</v>
      </c>
      <c r="Q386" s="42"/>
    </row>
    <row r="387" spans="2:17" ht="15.75" thickBot="1" x14ac:dyDescent="0.25">
      <c r="B387" s="43"/>
      <c r="C387" s="43"/>
      <c r="D387" s="43"/>
      <c r="E387" s="43" t="s">
        <v>11</v>
      </c>
      <c r="F387" s="43"/>
      <c r="G387" s="43"/>
      <c r="H387" s="43"/>
      <c r="I387" s="43"/>
      <c r="J387" s="43"/>
      <c r="K387" s="43" t="s">
        <v>12</v>
      </c>
      <c r="L387" s="43" t="s">
        <v>13</v>
      </c>
      <c r="M387" s="43" t="s">
        <v>14</v>
      </c>
      <c r="N387" s="53" t="s">
        <v>15</v>
      </c>
      <c r="O387" s="43" t="s">
        <v>16</v>
      </c>
      <c r="P387" s="43"/>
      <c r="Q387" s="43" t="s">
        <v>17</v>
      </c>
    </row>
    <row r="388" spans="2:17" x14ac:dyDescent="0.2">
      <c r="B388" s="102" t="s">
        <v>170</v>
      </c>
      <c r="C388" s="102" t="s">
        <v>171</v>
      </c>
      <c r="D388" s="57"/>
      <c r="E388" s="57"/>
      <c r="F388" s="57"/>
      <c r="G388" s="57"/>
      <c r="H388" s="57"/>
      <c r="I388" s="47"/>
      <c r="J388" s="47"/>
      <c r="K388" s="57" t="s">
        <v>169</v>
      </c>
      <c r="L388" s="47">
        <v>50</v>
      </c>
      <c r="M388" s="47">
        <v>0</v>
      </c>
      <c r="N388" s="54">
        <f>SUM(L395-M395)</f>
        <v>50</v>
      </c>
      <c r="O388" s="48"/>
      <c r="P388" s="47"/>
      <c r="Q388" s="49"/>
    </row>
    <row r="389" spans="2:17" x14ac:dyDescent="0.2">
      <c r="B389" s="50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55"/>
      <c r="O389" s="45"/>
      <c r="P389" s="44"/>
      <c r="Q389" s="51"/>
    </row>
    <row r="390" spans="2:17" x14ac:dyDescent="0.2">
      <c r="B390" s="50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55"/>
      <c r="O390" s="44"/>
      <c r="P390" s="44"/>
      <c r="Q390" s="72"/>
    </row>
    <row r="391" spans="2:17" x14ac:dyDescent="0.2">
      <c r="B391" s="50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55"/>
      <c r="O391" s="44"/>
      <c r="P391" s="44"/>
      <c r="Q391" s="51"/>
    </row>
    <row r="392" spans="2:17" x14ac:dyDescent="0.2">
      <c r="B392" s="50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55"/>
      <c r="O392" s="44"/>
      <c r="P392" s="44"/>
      <c r="Q392" s="51"/>
    </row>
    <row r="393" spans="2:17" x14ac:dyDescent="0.2">
      <c r="B393" s="50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55"/>
      <c r="O393" s="44"/>
      <c r="P393" s="44"/>
      <c r="Q393" s="51"/>
    </row>
    <row r="394" spans="2:17" x14ac:dyDescent="0.2">
      <c r="B394" s="50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55"/>
      <c r="O394" s="44"/>
      <c r="P394" s="44"/>
      <c r="Q394" s="51"/>
    </row>
    <row r="395" spans="2:17" hidden="1" x14ac:dyDescent="0.2">
      <c r="B395" s="58"/>
      <c r="C395" s="59"/>
      <c r="D395" s="59"/>
      <c r="E395" s="59"/>
      <c r="F395" s="59"/>
      <c r="G395" s="59"/>
      <c r="H395" s="59"/>
      <c r="I395" s="59"/>
      <c r="J395" s="59"/>
      <c r="K395" s="59"/>
      <c r="L395" s="59">
        <f>SUM(L388:L394)</f>
        <v>50</v>
      </c>
      <c r="M395" s="59">
        <f>SUM(M388:M394)</f>
        <v>0</v>
      </c>
      <c r="N395" s="60"/>
      <c r="O395" s="59"/>
      <c r="P395" s="59"/>
      <c r="Q395" s="62"/>
    </row>
    <row r="396" spans="2:17" ht="15.75" thickBot="1" x14ac:dyDescent="0.25">
      <c r="B396" s="65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7"/>
      <c r="O396" s="66"/>
      <c r="P396" s="66"/>
      <c r="Q396" s="68"/>
    </row>
    <row r="397" spans="2:17" x14ac:dyDescent="0.2">
      <c r="B397" s="42" t="s">
        <v>0</v>
      </c>
      <c r="C397" s="42" t="s">
        <v>26</v>
      </c>
      <c r="D397" s="42" t="s">
        <v>1</v>
      </c>
      <c r="E397" s="42" t="s">
        <v>2</v>
      </c>
      <c r="F397" s="42" t="s">
        <v>3</v>
      </c>
      <c r="G397" s="42" t="s">
        <v>4</v>
      </c>
      <c r="H397" s="42" t="s">
        <v>5</v>
      </c>
      <c r="I397" s="42" t="s">
        <v>6</v>
      </c>
      <c r="J397" s="42" t="s">
        <v>7</v>
      </c>
      <c r="K397" s="42" t="s">
        <v>8</v>
      </c>
      <c r="L397" s="42"/>
      <c r="M397" s="42"/>
      <c r="N397" s="52" t="s">
        <v>9</v>
      </c>
      <c r="O397" s="42"/>
      <c r="P397" s="42" t="s">
        <v>10</v>
      </c>
      <c r="Q397" s="42"/>
    </row>
    <row r="398" spans="2:17" ht="15.75" thickBot="1" x14ac:dyDescent="0.25">
      <c r="B398" s="43"/>
      <c r="C398" s="43"/>
      <c r="D398" s="43"/>
      <c r="E398" s="43" t="s">
        <v>11</v>
      </c>
      <c r="F398" s="43"/>
      <c r="G398" s="43"/>
      <c r="H398" s="43"/>
      <c r="I398" s="43"/>
      <c r="J398" s="43"/>
      <c r="K398" s="43" t="s">
        <v>12</v>
      </c>
      <c r="L398" s="43" t="s">
        <v>13</v>
      </c>
      <c r="M398" s="43" t="s">
        <v>14</v>
      </c>
      <c r="N398" s="53" t="s">
        <v>15</v>
      </c>
      <c r="O398" s="43" t="s">
        <v>16</v>
      </c>
      <c r="P398" s="43"/>
      <c r="Q398" s="43" t="s">
        <v>17</v>
      </c>
    </row>
    <row r="399" spans="2:17" x14ac:dyDescent="0.2">
      <c r="B399" s="110" t="s">
        <v>172</v>
      </c>
      <c r="C399" s="102" t="s">
        <v>173</v>
      </c>
      <c r="D399" s="57"/>
      <c r="E399" s="57"/>
      <c r="F399" s="57"/>
      <c r="G399" s="57"/>
      <c r="H399" s="57"/>
      <c r="I399" s="47"/>
      <c r="J399" s="47"/>
      <c r="K399" s="57" t="s">
        <v>169</v>
      </c>
      <c r="L399" s="47">
        <v>0</v>
      </c>
      <c r="M399" s="47">
        <v>0</v>
      </c>
      <c r="N399" s="54">
        <f>SUM(L406-M406)</f>
        <v>0</v>
      </c>
      <c r="O399" s="48"/>
      <c r="P399" s="47"/>
      <c r="Q399" s="49"/>
    </row>
    <row r="400" spans="2:17" x14ac:dyDescent="0.2">
      <c r="B400" s="110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55"/>
      <c r="O400" s="45"/>
      <c r="P400" s="44"/>
      <c r="Q400" s="51"/>
    </row>
    <row r="401" spans="2:17" x14ac:dyDescent="0.2">
      <c r="B401" s="50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55"/>
      <c r="O401" s="44"/>
      <c r="P401" s="44"/>
      <c r="Q401" s="72"/>
    </row>
    <row r="402" spans="2:17" x14ac:dyDescent="0.2">
      <c r="B402" s="50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55"/>
      <c r="O402" s="44"/>
      <c r="P402" s="44"/>
      <c r="Q402" s="51"/>
    </row>
    <row r="403" spans="2:17" x14ac:dyDescent="0.2">
      <c r="B403" s="50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55"/>
      <c r="O403" s="44"/>
      <c r="P403" s="44"/>
      <c r="Q403" s="51"/>
    </row>
    <row r="404" spans="2:17" x14ac:dyDescent="0.2">
      <c r="B404" s="50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55"/>
      <c r="O404" s="44"/>
      <c r="P404" s="44"/>
      <c r="Q404" s="51"/>
    </row>
    <row r="405" spans="2:17" x14ac:dyDescent="0.2">
      <c r="B405" s="50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55"/>
      <c r="O405" s="44"/>
      <c r="P405" s="44"/>
      <c r="Q405" s="51"/>
    </row>
    <row r="406" spans="2:17" x14ac:dyDescent="0.2">
      <c r="B406" s="58"/>
      <c r="C406" s="59"/>
      <c r="D406" s="59"/>
      <c r="E406" s="59"/>
      <c r="F406" s="59"/>
      <c r="G406" s="59"/>
      <c r="H406" s="59"/>
      <c r="I406" s="59"/>
      <c r="J406" s="59"/>
      <c r="K406" s="59"/>
      <c r="L406" s="59">
        <f>SUM(L399:L405)</f>
        <v>0</v>
      </c>
      <c r="M406" s="59">
        <f>SUM(M399:M405)</f>
        <v>0</v>
      </c>
      <c r="N406" s="60"/>
      <c r="O406" s="59"/>
      <c r="P406" s="59"/>
      <c r="Q406" s="62"/>
    </row>
    <row r="407" spans="2:17" ht="15.75" thickBot="1" x14ac:dyDescent="0.25">
      <c r="B407" s="65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7"/>
      <c r="O407" s="66"/>
      <c r="P407" s="66"/>
      <c r="Q407" s="68"/>
    </row>
    <row r="408" spans="2:17" x14ac:dyDescent="0.2">
      <c r="B408" s="42" t="s">
        <v>0</v>
      </c>
      <c r="C408" s="42" t="s">
        <v>26</v>
      </c>
      <c r="D408" s="42" t="s">
        <v>1</v>
      </c>
      <c r="E408" s="42" t="s">
        <v>2</v>
      </c>
      <c r="F408" s="42" t="s">
        <v>3</v>
      </c>
      <c r="G408" s="42" t="s">
        <v>4</v>
      </c>
      <c r="H408" s="42" t="s">
        <v>5</v>
      </c>
      <c r="I408" s="42" t="s">
        <v>6</v>
      </c>
      <c r="J408" s="42" t="s">
        <v>7</v>
      </c>
      <c r="K408" s="42" t="s">
        <v>8</v>
      </c>
      <c r="L408" s="42"/>
      <c r="M408" s="42"/>
      <c r="N408" s="52" t="s">
        <v>9</v>
      </c>
      <c r="O408" s="42"/>
      <c r="P408" s="42" t="s">
        <v>10</v>
      </c>
      <c r="Q408" s="42"/>
    </row>
    <row r="409" spans="2:17" x14ac:dyDescent="0.2">
      <c r="B409" s="89"/>
      <c r="C409" s="43"/>
      <c r="D409" s="43"/>
      <c r="E409" s="43" t="s">
        <v>11</v>
      </c>
      <c r="F409" s="43"/>
      <c r="G409" s="43"/>
      <c r="H409" s="43"/>
      <c r="I409" s="43"/>
      <c r="J409" s="43"/>
      <c r="K409" s="43" t="s">
        <v>12</v>
      </c>
      <c r="L409" s="43" t="s">
        <v>13</v>
      </c>
      <c r="M409" s="43" t="s">
        <v>14</v>
      </c>
      <c r="N409" s="53" t="s">
        <v>15</v>
      </c>
      <c r="O409" s="43" t="s">
        <v>16</v>
      </c>
      <c r="P409" s="43"/>
      <c r="Q409" s="43" t="s">
        <v>17</v>
      </c>
    </row>
    <row r="410" spans="2:17" ht="40.5" x14ac:dyDescent="0.2">
      <c r="B410" s="104" t="s">
        <v>174</v>
      </c>
      <c r="C410" s="100" t="s">
        <v>175</v>
      </c>
      <c r="D410" s="57"/>
      <c r="E410" s="57"/>
      <c r="F410" s="57"/>
      <c r="G410" s="57"/>
      <c r="H410" s="57"/>
      <c r="I410" s="47"/>
      <c r="J410" s="47"/>
      <c r="K410" s="57" t="s">
        <v>176</v>
      </c>
      <c r="L410" s="47">
        <v>33</v>
      </c>
      <c r="M410" s="47">
        <v>0</v>
      </c>
      <c r="N410" s="54">
        <f>SUM(L417-M417)</f>
        <v>0</v>
      </c>
      <c r="O410" s="48"/>
      <c r="P410" s="47"/>
      <c r="Q410" s="49"/>
    </row>
    <row r="411" spans="2:17" x14ac:dyDescent="0.2">
      <c r="B411" s="87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>
        <v>12</v>
      </c>
      <c r="N411" s="55"/>
      <c r="O411" s="45"/>
      <c r="P411" s="55" t="s">
        <v>177</v>
      </c>
      <c r="Q411" s="51"/>
    </row>
    <row r="412" spans="2:17" x14ac:dyDescent="0.2">
      <c r="B412" s="50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>
        <v>8</v>
      </c>
      <c r="N412" s="55"/>
      <c r="O412" s="44"/>
      <c r="P412" s="55" t="s">
        <v>153</v>
      </c>
      <c r="Q412" s="72"/>
    </row>
    <row r="413" spans="2:17" x14ac:dyDescent="0.2">
      <c r="B413" s="50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>
        <v>13</v>
      </c>
      <c r="N413" s="55"/>
      <c r="O413" s="44"/>
      <c r="P413" s="55" t="s">
        <v>178</v>
      </c>
      <c r="Q413" s="51"/>
    </row>
    <row r="414" spans="2:17" x14ac:dyDescent="0.2">
      <c r="B414" s="50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55"/>
      <c r="O414" s="44"/>
      <c r="P414" s="44"/>
      <c r="Q414" s="51"/>
    </row>
    <row r="415" spans="2:17" x14ac:dyDescent="0.2">
      <c r="B415" s="50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55"/>
      <c r="O415" s="44"/>
      <c r="P415" s="44"/>
      <c r="Q415" s="51"/>
    </row>
    <row r="416" spans="2:17" x14ac:dyDescent="0.2">
      <c r="B416" s="50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55"/>
      <c r="O416" s="44"/>
      <c r="P416" s="44"/>
      <c r="Q416" s="51"/>
    </row>
    <row r="417" spans="2:17" x14ac:dyDescent="0.2">
      <c r="B417" s="58"/>
      <c r="C417" s="59"/>
      <c r="D417" s="59"/>
      <c r="E417" s="59"/>
      <c r="F417" s="59"/>
      <c r="G417" s="59"/>
      <c r="H417" s="59"/>
      <c r="I417" s="59"/>
      <c r="J417" s="59"/>
      <c r="K417" s="59"/>
      <c r="L417" s="59">
        <f>SUM(L410:L416)</f>
        <v>33</v>
      </c>
      <c r="M417" s="59">
        <f>SUM(M410:M416)</f>
        <v>33</v>
      </c>
      <c r="N417" s="60"/>
      <c r="O417" s="59"/>
      <c r="P417" s="59"/>
      <c r="Q417" s="62"/>
    </row>
    <row r="418" spans="2:17" ht="15.75" thickBot="1" x14ac:dyDescent="0.25">
      <c r="B418" s="65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7"/>
      <c r="O418" s="66"/>
      <c r="P418" s="66"/>
      <c r="Q418" s="68"/>
    </row>
    <row r="419" spans="2:17" x14ac:dyDescent="0.2">
      <c r="B419" s="42" t="s">
        <v>0</v>
      </c>
      <c r="C419" s="42" t="s">
        <v>26</v>
      </c>
      <c r="D419" s="42" t="s">
        <v>1</v>
      </c>
      <c r="E419" s="42" t="s">
        <v>2</v>
      </c>
      <c r="F419" s="42" t="s">
        <v>3</v>
      </c>
      <c r="G419" s="42" t="s">
        <v>4</v>
      </c>
      <c r="H419" s="42" t="s">
        <v>5</v>
      </c>
      <c r="I419" s="42" t="s">
        <v>6</v>
      </c>
      <c r="J419" s="42" t="s">
        <v>7</v>
      </c>
      <c r="K419" s="42" t="s">
        <v>8</v>
      </c>
      <c r="L419" s="42"/>
      <c r="M419" s="42"/>
      <c r="N419" s="52" t="s">
        <v>9</v>
      </c>
      <c r="O419" s="42"/>
      <c r="P419" s="42" t="s">
        <v>10</v>
      </c>
      <c r="Q419" s="42"/>
    </row>
    <row r="420" spans="2:17" x14ac:dyDescent="0.2">
      <c r="B420" s="43"/>
      <c r="C420" s="43"/>
      <c r="D420" s="43"/>
      <c r="E420" s="43" t="s">
        <v>11</v>
      </c>
      <c r="F420" s="43"/>
      <c r="G420" s="43"/>
      <c r="H420" s="43"/>
      <c r="I420" s="43"/>
      <c r="J420" s="43"/>
      <c r="K420" s="43" t="s">
        <v>12</v>
      </c>
      <c r="L420" s="43" t="s">
        <v>13</v>
      </c>
      <c r="M420" s="43" t="s">
        <v>14</v>
      </c>
      <c r="N420" s="53" t="s">
        <v>15</v>
      </c>
      <c r="O420" s="43" t="s">
        <v>16</v>
      </c>
      <c r="P420" s="43"/>
      <c r="Q420" s="43" t="s">
        <v>17</v>
      </c>
    </row>
    <row r="421" spans="2:17" ht="40.5" x14ac:dyDescent="0.2">
      <c r="B421" s="111" t="s">
        <v>179</v>
      </c>
      <c r="C421" s="100" t="s">
        <v>180</v>
      </c>
      <c r="D421" s="57"/>
      <c r="E421" s="57"/>
      <c r="F421" s="57"/>
      <c r="G421" s="57"/>
      <c r="H421" s="57"/>
      <c r="I421" s="47"/>
      <c r="J421" s="47"/>
      <c r="K421" s="57" t="s">
        <v>176</v>
      </c>
      <c r="L421" s="47">
        <v>17</v>
      </c>
      <c r="M421" s="47">
        <v>0</v>
      </c>
      <c r="N421" s="54">
        <f>SUM(L428-M428)</f>
        <v>17</v>
      </c>
      <c r="O421" s="48"/>
      <c r="P421" s="47"/>
      <c r="Q421" s="49"/>
    </row>
    <row r="422" spans="2:17" x14ac:dyDescent="0.2">
      <c r="B422" s="50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55"/>
      <c r="O422" s="45"/>
      <c r="P422" s="44"/>
      <c r="Q422" s="51"/>
    </row>
    <row r="423" spans="2:17" x14ac:dyDescent="0.2">
      <c r="B423" s="50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55"/>
      <c r="O423" s="44"/>
      <c r="P423" s="44"/>
      <c r="Q423" s="72"/>
    </row>
    <row r="424" spans="2:17" x14ac:dyDescent="0.2">
      <c r="B424" s="50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55"/>
      <c r="O424" s="44"/>
      <c r="P424" s="44"/>
      <c r="Q424" s="51"/>
    </row>
    <row r="425" spans="2:17" x14ac:dyDescent="0.2">
      <c r="B425" s="50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55"/>
      <c r="O425" s="44"/>
      <c r="P425" s="44"/>
      <c r="Q425" s="51"/>
    </row>
    <row r="426" spans="2:17" x14ac:dyDescent="0.2">
      <c r="B426" s="50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55"/>
      <c r="O426" s="44"/>
      <c r="P426" s="44"/>
      <c r="Q426" s="51"/>
    </row>
    <row r="427" spans="2:17" x14ac:dyDescent="0.2">
      <c r="B427" s="50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55"/>
      <c r="O427" s="44"/>
      <c r="P427" s="44"/>
      <c r="Q427" s="51"/>
    </row>
    <row r="428" spans="2:17" hidden="1" x14ac:dyDescent="0.2">
      <c r="B428" s="58"/>
      <c r="C428" s="59"/>
      <c r="D428" s="59"/>
      <c r="E428" s="59"/>
      <c r="F428" s="59"/>
      <c r="G428" s="59"/>
      <c r="H428" s="59"/>
      <c r="I428" s="59"/>
      <c r="J428" s="59"/>
      <c r="K428" s="59"/>
      <c r="L428" s="59">
        <f>SUM(L421:L427)</f>
        <v>17</v>
      </c>
      <c r="M428" s="59">
        <f>SUM(M421:M427)</f>
        <v>0</v>
      </c>
      <c r="N428" s="60"/>
      <c r="O428" s="59"/>
      <c r="P428" s="59"/>
      <c r="Q428" s="62"/>
    </row>
    <row r="429" spans="2:17" ht="15.75" thickBot="1" x14ac:dyDescent="0.25">
      <c r="B429" s="65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7"/>
      <c r="O429" s="66"/>
      <c r="P429" s="66"/>
      <c r="Q429" s="68"/>
    </row>
    <row r="430" spans="2:17" x14ac:dyDescent="0.2">
      <c r="B430" s="42" t="s">
        <v>0</v>
      </c>
      <c r="C430" s="42" t="s">
        <v>26</v>
      </c>
      <c r="D430" s="42" t="s">
        <v>1</v>
      </c>
      <c r="E430" s="42" t="s">
        <v>2</v>
      </c>
      <c r="F430" s="42" t="s">
        <v>3</v>
      </c>
      <c r="G430" s="42" t="s">
        <v>4</v>
      </c>
      <c r="H430" s="42" t="s">
        <v>5</v>
      </c>
      <c r="I430" s="42" t="s">
        <v>6</v>
      </c>
      <c r="J430" s="42" t="s">
        <v>7</v>
      </c>
      <c r="K430" s="42" t="s">
        <v>8</v>
      </c>
      <c r="L430" s="42"/>
      <c r="M430" s="42"/>
      <c r="N430" s="52" t="s">
        <v>9</v>
      </c>
      <c r="O430" s="42"/>
      <c r="P430" s="42" t="s">
        <v>10</v>
      </c>
      <c r="Q430" s="42"/>
    </row>
    <row r="431" spans="2:17" x14ac:dyDescent="0.2">
      <c r="B431" s="43"/>
      <c r="C431" s="43"/>
      <c r="D431" s="43"/>
      <c r="E431" s="43" t="s">
        <v>11</v>
      </c>
      <c r="F431" s="43"/>
      <c r="G431" s="43"/>
      <c r="H431" s="43"/>
      <c r="I431" s="43"/>
      <c r="J431" s="43"/>
      <c r="K431" s="43" t="s">
        <v>12</v>
      </c>
      <c r="L431" s="43" t="s">
        <v>13</v>
      </c>
      <c r="M431" s="43" t="s">
        <v>14</v>
      </c>
      <c r="N431" s="53" t="s">
        <v>15</v>
      </c>
      <c r="O431" s="43" t="s">
        <v>16</v>
      </c>
      <c r="P431" s="43"/>
      <c r="Q431" s="43" t="s">
        <v>17</v>
      </c>
    </row>
    <row r="432" spans="2:17" x14ac:dyDescent="0.2">
      <c r="B432" s="102" t="s">
        <v>181</v>
      </c>
      <c r="C432" s="100" t="s">
        <v>182</v>
      </c>
      <c r="D432" s="57"/>
      <c r="E432" s="57"/>
      <c r="F432" s="57"/>
      <c r="G432" s="57"/>
      <c r="H432" s="57"/>
      <c r="I432" s="47"/>
      <c r="J432" s="47"/>
      <c r="K432" s="57" t="s">
        <v>183</v>
      </c>
      <c r="L432" s="47">
        <v>40</v>
      </c>
      <c r="M432" s="47">
        <v>0</v>
      </c>
      <c r="N432" s="54">
        <f>SUM(L439-M439)</f>
        <v>0</v>
      </c>
      <c r="O432" s="48"/>
      <c r="P432" s="47"/>
      <c r="Q432" s="49"/>
    </row>
    <row r="433" spans="2:17" x14ac:dyDescent="0.2">
      <c r="B433" s="50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>
        <v>24</v>
      </c>
      <c r="N433" s="55"/>
      <c r="O433" s="45"/>
      <c r="P433" s="55" t="s">
        <v>177</v>
      </c>
      <c r="Q433" s="51"/>
    </row>
    <row r="434" spans="2:17" x14ac:dyDescent="0.2">
      <c r="B434" s="50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>
        <v>16</v>
      </c>
      <c r="N434" s="55"/>
      <c r="O434" s="44"/>
      <c r="P434" s="55" t="s">
        <v>153</v>
      </c>
      <c r="Q434" s="72"/>
    </row>
    <row r="435" spans="2:17" x14ac:dyDescent="0.2">
      <c r="B435" s="50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55"/>
      <c r="O435" s="44"/>
      <c r="P435" s="44"/>
      <c r="Q435" s="51"/>
    </row>
    <row r="436" spans="2:17" x14ac:dyDescent="0.2">
      <c r="B436" s="50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55"/>
      <c r="O436" s="44"/>
      <c r="P436" s="44"/>
      <c r="Q436" s="51"/>
    </row>
    <row r="437" spans="2:17" x14ac:dyDescent="0.2">
      <c r="B437" s="50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55"/>
      <c r="O437" s="44"/>
      <c r="P437" s="44"/>
      <c r="Q437" s="51"/>
    </row>
    <row r="438" spans="2:17" x14ac:dyDescent="0.2">
      <c r="B438" s="50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55"/>
      <c r="O438" s="44"/>
      <c r="P438" s="44"/>
      <c r="Q438" s="51"/>
    </row>
    <row r="439" spans="2:17" x14ac:dyDescent="0.2">
      <c r="B439" s="58"/>
      <c r="C439" s="59"/>
      <c r="D439" s="59"/>
      <c r="E439" s="59"/>
      <c r="F439" s="59"/>
      <c r="G439" s="59"/>
      <c r="H439" s="59"/>
      <c r="I439" s="59"/>
      <c r="J439" s="59"/>
      <c r="K439" s="59"/>
      <c r="L439" s="59">
        <f>SUM(L432:L438)</f>
        <v>40</v>
      </c>
      <c r="M439" s="59">
        <f>SUM(M432:M438)</f>
        <v>40</v>
      </c>
      <c r="N439" s="60"/>
      <c r="O439" s="59"/>
      <c r="P439" s="59"/>
      <c r="Q439" s="62"/>
    </row>
    <row r="440" spans="2:17" ht="15.75" thickBot="1" x14ac:dyDescent="0.25">
      <c r="B440" s="65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7"/>
      <c r="O440" s="66"/>
      <c r="P440" s="66"/>
      <c r="Q440" s="68"/>
    </row>
    <row r="441" spans="2:17" x14ac:dyDescent="0.2">
      <c r="B441" s="42" t="s">
        <v>0</v>
      </c>
      <c r="C441" s="42" t="s">
        <v>26</v>
      </c>
      <c r="D441" s="42" t="s">
        <v>1</v>
      </c>
      <c r="E441" s="42" t="s">
        <v>2</v>
      </c>
      <c r="F441" s="42" t="s">
        <v>3</v>
      </c>
      <c r="G441" s="42" t="s">
        <v>4</v>
      </c>
      <c r="H441" s="42" t="s">
        <v>5</v>
      </c>
      <c r="I441" s="42" t="s">
        <v>6</v>
      </c>
      <c r="J441" s="42" t="s">
        <v>7</v>
      </c>
      <c r="K441" s="42" t="s">
        <v>8</v>
      </c>
      <c r="L441" s="42"/>
      <c r="M441" s="42"/>
      <c r="N441" s="52" t="s">
        <v>9</v>
      </c>
      <c r="O441" s="42"/>
      <c r="P441" s="42" t="s">
        <v>10</v>
      </c>
      <c r="Q441" s="42"/>
    </row>
    <row r="442" spans="2:17" x14ac:dyDescent="0.2">
      <c r="B442" s="43"/>
      <c r="C442" s="43"/>
      <c r="D442" s="43"/>
      <c r="E442" s="43" t="s">
        <v>11</v>
      </c>
      <c r="F442" s="43"/>
      <c r="G442" s="43"/>
      <c r="H442" s="43"/>
      <c r="I442" s="43"/>
      <c r="J442" s="43"/>
      <c r="K442" s="43" t="s">
        <v>12</v>
      </c>
      <c r="L442" s="43" t="s">
        <v>13</v>
      </c>
      <c r="M442" s="43" t="s">
        <v>14</v>
      </c>
      <c r="N442" s="53" t="s">
        <v>15</v>
      </c>
      <c r="O442" s="43" t="s">
        <v>16</v>
      </c>
      <c r="P442" s="43"/>
      <c r="Q442" s="43" t="s">
        <v>17</v>
      </c>
    </row>
    <row r="443" spans="2:17" x14ac:dyDescent="0.2">
      <c r="B443" s="100" t="s">
        <v>184</v>
      </c>
      <c r="C443" s="100" t="s">
        <v>185</v>
      </c>
      <c r="D443" s="57"/>
      <c r="E443" s="57"/>
      <c r="F443" s="57"/>
      <c r="G443" s="57"/>
      <c r="H443" s="57"/>
      <c r="I443" s="47"/>
      <c r="J443" s="47"/>
      <c r="K443" s="57" t="s">
        <v>186</v>
      </c>
      <c r="L443" s="47">
        <v>50</v>
      </c>
      <c r="M443" s="47">
        <v>0</v>
      </c>
      <c r="N443" s="54">
        <f>SUM(L450-M450)</f>
        <v>50</v>
      </c>
      <c r="O443" s="48"/>
      <c r="P443" s="47"/>
      <c r="Q443" s="49"/>
    </row>
    <row r="444" spans="2:17" x14ac:dyDescent="0.2">
      <c r="B444" s="50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55"/>
      <c r="O444" s="45"/>
      <c r="P444" s="44"/>
      <c r="Q444" s="51"/>
    </row>
    <row r="445" spans="2:17" x14ac:dyDescent="0.2">
      <c r="B445" s="50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55"/>
      <c r="O445" s="44"/>
      <c r="P445" s="44"/>
      <c r="Q445" s="72"/>
    </row>
    <row r="446" spans="2:17" x14ac:dyDescent="0.2">
      <c r="B446" s="50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55"/>
      <c r="O446" s="44"/>
      <c r="P446" s="44"/>
      <c r="Q446" s="51"/>
    </row>
    <row r="447" spans="2:17" x14ac:dyDescent="0.2">
      <c r="B447" s="50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55"/>
      <c r="O447" s="44"/>
      <c r="P447" s="44"/>
      <c r="Q447" s="51"/>
    </row>
    <row r="448" spans="2:17" x14ac:dyDescent="0.2">
      <c r="B448" s="50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55"/>
      <c r="O448" s="44"/>
      <c r="P448" s="44"/>
      <c r="Q448" s="51"/>
    </row>
    <row r="449" spans="2:17" x14ac:dyDescent="0.2">
      <c r="B449" s="50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55"/>
      <c r="O449" s="44"/>
      <c r="P449" s="44"/>
      <c r="Q449" s="51"/>
    </row>
    <row r="450" spans="2:17" x14ac:dyDescent="0.2">
      <c r="B450" s="58"/>
      <c r="C450" s="59"/>
      <c r="D450" s="59"/>
      <c r="E450" s="59"/>
      <c r="F450" s="59"/>
      <c r="G450" s="59"/>
      <c r="H450" s="59"/>
      <c r="I450" s="59"/>
      <c r="J450" s="59"/>
      <c r="K450" s="59"/>
      <c r="L450" s="59">
        <f>SUM(L443:L449)</f>
        <v>50</v>
      </c>
      <c r="M450" s="59">
        <f>SUM(M443:M449)</f>
        <v>0</v>
      </c>
      <c r="N450" s="60"/>
      <c r="O450" s="59"/>
      <c r="P450" s="59"/>
      <c r="Q450" s="62"/>
    </row>
    <row r="451" spans="2:17" ht="15.75" thickBot="1" x14ac:dyDescent="0.25">
      <c r="B451" s="65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7"/>
      <c r="O451" s="66"/>
      <c r="P451" s="66"/>
      <c r="Q451" s="68"/>
    </row>
    <row r="452" spans="2:17" x14ac:dyDescent="0.2">
      <c r="B452" s="42" t="s">
        <v>0</v>
      </c>
      <c r="C452" s="42" t="s">
        <v>26</v>
      </c>
      <c r="D452" s="42" t="s">
        <v>1</v>
      </c>
      <c r="E452" s="42" t="s">
        <v>2</v>
      </c>
      <c r="F452" s="42" t="s">
        <v>3</v>
      </c>
      <c r="G452" s="42" t="s">
        <v>4</v>
      </c>
      <c r="H452" s="42" t="s">
        <v>5</v>
      </c>
      <c r="I452" s="42" t="s">
        <v>6</v>
      </c>
      <c r="J452" s="42" t="s">
        <v>7</v>
      </c>
      <c r="K452" s="42" t="s">
        <v>8</v>
      </c>
      <c r="L452" s="42"/>
      <c r="M452" s="42"/>
      <c r="N452" s="52" t="s">
        <v>9</v>
      </c>
      <c r="O452" s="42"/>
      <c r="P452" s="42" t="s">
        <v>10</v>
      </c>
      <c r="Q452" s="42"/>
    </row>
    <row r="453" spans="2:17" x14ac:dyDescent="0.2">
      <c r="B453" s="43"/>
      <c r="C453" s="43"/>
      <c r="D453" s="43"/>
      <c r="E453" s="43" t="s">
        <v>11</v>
      </c>
      <c r="F453" s="43"/>
      <c r="G453" s="43"/>
      <c r="H453" s="43"/>
      <c r="I453" s="43"/>
      <c r="J453" s="43"/>
      <c r="K453" s="43" t="s">
        <v>12</v>
      </c>
      <c r="L453" s="43" t="s">
        <v>13</v>
      </c>
      <c r="M453" s="43" t="s">
        <v>14</v>
      </c>
      <c r="N453" s="53" t="s">
        <v>15</v>
      </c>
      <c r="O453" s="43" t="s">
        <v>16</v>
      </c>
      <c r="P453" s="43"/>
      <c r="Q453" s="43" t="s">
        <v>17</v>
      </c>
    </row>
    <row r="454" spans="2:17" x14ac:dyDescent="0.2">
      <c r="B454" s="100" t="s">
        <v>172</v>
      </c>
      <c r="C454" s="100" t="s">
        <v>187</v>
      </c>
      <c r="D454" s="57"/>
      <c r="E454" s="57"/>
      <c r="F454" s="57"/>
      <c r="G454" s="57"/>
      <c r="H454" s="57"/>
      <c r="I454" s="47"/>
      <c r="J454" s="47"/>
      <c r="K454" s="57" t="s">
        <v>186</v>
      </c>
      <c r="L454" s="47">
        <v>50</v>
      </c>
      <c r="M454" s="47">
        <v>0</v>
      </c>
      <c r="N454" s="54">
        <f>SUM(L461-M461)</f>
        <v>50</v>
      </c>
      <c r="O454" s="48"/>
      <c r="P454" s="47"/>
      <c r="Q454" s="49"/>
    </row>
    <row r="455" spans="2:17" x14ac:dyDescent="0.2">
      <c r="B455" s="50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55"/>
      <c r="O455" s="45"/>
      <c r="P455" s="44"/>
      <c r="Q455" s="51"/>
    </row>
    <row r="456" spans="2:17" x14ac:dyDescent="0.2">
      <c r="B456" s="50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55"/>
      <c r="O456" s="44"/>
      <c r="P456" s="44"/>
      <c r="Q456" s="72"/>
    </row>
    <row r="457" spans="2:17" x14ac:dyDescent="0.2">
      <c r="B457" s="50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55"/>
      <c r="O457" s="44"/>
      <c r="P457" s="44"/>
      <c r="Q457" s="51"/>
    </row>
    <row r="458" spans="2:17" x14ac:dyDescent="0.2">
      <c r="B458" s="50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55"/>
      <c r="O458" s="44"/>
      <c r="P458" s="44"/>
      <c r="Q458" s="51"/>
    </row>
    <row r="459" spans="2:17" x14ac:dyDescent="0.2">
      <c r="B459" s="50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55"/>
      <c r="O459" s="44"/>
      <c r="P459" s="44"/>
      <c r="Q459" s="51"/>
    </row>
    <row r="460" spans="2:17" x14ac:dyDescent="0.2">
      <c r="B460" s="50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55"/>
      <c r="O460" s="44"/>
      <c r="P460" s="44"/>
      <c r="Q460" s="51"/>
    </row>
    <row r="461" spans="2:17" x14ac:dyDescent="0.2">
      <c r="B461" s="58"/>
      <c r="C461" s="59"/>
      <c r="D461" s="59"/>
      <c r="E461" s="59"/>
      <c r="F461" s="59"/>
      <c r="G461" s="59"/>
      <c r="H461" s="59"/>
      <c r="I461" s="59"/>
      <c r="J461" s="59"/>
      <c r="K461" s="59"/>
      <c r="L461" s="59">
        <f>SUM(L454:L460)</f>
        <v>50</v>
      </c>
      <c r="M461" s="59">
        <f>SUM(M454:M460)</f>
        <v>0</v>
      </c>
      <c r="N461" s="60"/>
      <c r="O461" s="59"/>
      <c r="P461" s="59"/>
      <c r="Q461" s="62"/>
    </row>
    <row r="462" spans="2:17" ht="15.75" thickBot="1" x14ac:dyDescent="0.25">
      <c r="B462" s="65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7"/>
      <c r="O462" s="66"/>
      <c r="P462" s="66"/>
      <c r="Q462" s="68"/>
    </row>
    <row r="463" spans="2:17" x14ac:dyDescent="0.2">
      <c r="B463" s="42" t="s">
        <v>0</v>
      </c>
      <c r="C463" s="42" t="s">
        <v>26</v>
      </c>
      <c r="D463" s="42" t="s">
        <v>1</v>
      </c>
      <c r="E463" s="42" t="s">
        <v>2</v>
      </c>
      <c r="F463" s="42" t="s">
        <v>3</v>
      </c>
      <c r="G463" s="42" t="s">
        <v>4</v>
      </c>
      <c r="H463" s="42" t="s">
        <v>5</v>
      </c>
      <c r="I463" s="42" t="s">
        <v>6</v>
      </c>
      <c r="J463" s="42" t="s">
        <v>7</v>
      </c>
      <c r="K463" s="42" t="s">
        <v>8</v>
      </c>
      <c r="L463" s="42"/>
      <c r="M463" s="42"/>
      <c r="N463" s="52" t="s">
        <v>9</v>
      </c>
      <c r="O463" s="42"/>
      <c r="P463" s="42" t="s">
        <v>10</v>
      </c>
      <c r="Q463" s="42"/>
    </row>
    <row r="464" spans="2:17" x14ac:dyDescent="0.2">
      <c r="B464" s="43"/>
      <c r="C464" s="43"/>
      <c r="D464" s="43"/>
      <c r="E464" s="43" t="s">
        <v>11</v>
      </c>
      <c r="F464" s="43"/>
      <c r="G464" s="43"/>
      <c r="H464" s="43"/>
      <c r="I464" s="43"/>
      <c r="J464" s="43"/>
      <c r="K464" s="43" t="s">
        <v>12</v>
      </c>
      <c r="L464" s="43" t="s">
        <v>13</v>
      </c>
      <c r="M464" s="43" t="s">
        <v>14</v>
      </c>
      <c r="N464" s="53" t="s">
        <v>15</v>
      </c>
      <c r="O464" s="43" t="s">
        <v>16</v>
      </c>
      <c r="P464" s="43"/>
      <c r="Q464" s="43" t="s">
        <v>17</v>
      </c>
    </row>
    <row r="465" spans="1:17" x14ac:dyDescent="0.2">
      <c r="A465" s="120"/>
      <c r="B465" s="100" t="s">
        <v>188</v>
      </c>
      <c r="C465" s="100" t="s">
        <v>189</v>
      </c>
      <c r="D465" s="57"/>
      <c r="E465" s="57"/>
      <c r="F465" s="57"/>
      <c r="G465" s="57"/>
      <c r="H465" s="57"/>
      <c r="I465" s="47"/>
      <c r="J465" s="47"/>
      <c r="K465" s="57" t="s">
        <v>186</v>
      </c>
      <c r="L465" s="47">
        <v>100</v>
      </c>
      <c r="M465" s="47">
        <v>0</v>
      </c>
      <c r="N465" s="54">
        <f>SUM(L472-M472)</f>
        <v>100</v>
      </c>
      <c r="O465" s="48"/>
      <c r="P465" s="47"/>
      <c r="Q465" s="49"/>
    </row>
    <row r="466" spans="1:17" x14ac:dyDescent="0.2">
      <c r="B466" s="50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55"/>
      <c r="O466" s="45"/>
      <c r="P466" s="44"/>
      <c r="Q466" s="51"/>
    </row>
    <row r="467" spans="1:17" x14ac:dyDescent="0.2">
      <c r="B467" s="50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55"/>
      <c r="O467" s="44"/>
      <c r="P467" s="44"/>
      <c r="Q467" s="72"/>
    </row>
    <row r="468" spans="1:17" x14ac:dyDescent="0.2">
      <c r="B468" s="50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55"/>
      <c r="O468" s="44"/>
      <c r="P468" s="44"/>
      <c r="Q468" s="51"/>
    </row>
    <row r="469" spans="1:17" x14ac:dyDescent="0.2">
      <c r="B469" s="50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55"/>
      <c r="O469" s="44"/>
      <c r="P469" s="44"/>
      <c r="Q469" s="51"/>
    </row>
    <row r="470" spans="1:17" x14ac:dyDescent="0.2">
      <c r="B470" s="50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55"/>
      <c r="O470" s="44"/>
      <c r="P470" s="44"/>
      <c r="Q470" s="51"/>
    </row>
    <row r="471" spans="1:17" x14ac:dyDescent="0.2">
      <c r="B471" s="50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55"/>
      <c r="O471" s="44"/>
      <c r="P471" s="44"/>
      <c r="Q471" s="51"/>
    </row>
    <row r="472" spans="1:17" x14ac:dyDescent="0.2">
      <c r="B472" s="58"/>
      <c r="C472" s="59"/>
      <c r="D472" s="59"/>
      <c r="E472" s="59"/>
      <c r="F472" s="59"/>
      <c r="G472" s="59"/>
      <c r="H472" s="59"/>
      <c r="I472" s="59"/>
      <c r="J472" s="59"/>
      <c r="K472" s="59"/>
      <c r="L472" s="59">
        <f>SUM(L465:L471)</f>
        <v>100</v>
      </c>
      <c r="M472" s="59">
        <f>SUM(M465:M471)</f>
        <v>0</v>
      </c>
      <c r="N472" s="60"/>
      <c r="O472" s="59"/>
      <c r="P472" s="59"/>
      <c r="Q472" s="62"/>
    </row>
    <row r="473" spans="1:17" x14ac:dyDescent="0.2">
      <c r="B473" s="65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7"/>
      <c r="O473" s="66"/>
      <c r="P473" s="66"/>
      <c r="Q473" s="68"/>
    </row>
    <row r="474" spans="1:17" x14ac:dyDescent="0.2">
      <c r="B474" s="42" t="s">
        <v>0</v>
      </c>
      <c r="C474" s="42" t="s">
        <v>26</v>
      </c>
      <c r="D474" s="42" t="s">
        <v>1</v>
      </c>
      <c r="E474" s="42" t="s">
        <v>2</v>
      </c>
      <c r="F474" s="42" t="s">
        <v>3</v>
      </c>
      <c r="G474" s="42" t="s">
        <v>4</v>
      </c>
      <c r="H474" s="42" t="s">
        <v>5</v>
      </c>
      <c r="I474" s="42" t="s">
        <v>6</v>
      </c>
      <c r="J474" s="42" t="s">
        <v>7</v>
      </c>
      <c r="K474" s="42" t="s">
        <v>8</v>
      </c>
      <c r="L474" s="42"/>
      <c r="M474" s="42"/>
      <c r="N474" s="52" t="s">
        <v>9</v>
      </c>
      <c r="O474" s="42"/>
      <c r="P474" s="42" t="s">
        <v>10</v>
      </c>
      <c r="Q474" s="42"/>
    </row>
    <row r="475" spans="1:17" x14ac:dyDescent="0.2">
      <c r="B475" s="43"/>
      <c r="C475" s="43"/>
      <c r="D475" s="43"/>
      <c r="E475" s="43" t="s">
        <v>11</v>
      </c>
      <c r="F475" s="43"/>
      <c r="G475" s="43"/>
      <c r="H475" s="43"/>
      <c r="I475" s="43"/>
      <c r="J475" s="43"/>
      <c r="K475" s="43" t="s">
        <v>12</v>
      </c>
      <c r="L475" s="43" t="s">
        <v>13</v>
      </c>
      <c r="M475" s="43" t="s">
        <v>14</v>
      </c>
      <c r="N475" s="53" t="s">
        <v>15</v>
      </c>
      <c r="O475" s="43" t="s">
        <v>16</v>
      </c>
      <c r="P475" s="43"/>
      <c r="Q475" s="43" t="s">
        <v>17</v>
      </c>
    </row>
    <row r="476" spans="1:17" x14ac:dyDescent="0.2">
      <c r="B476" s="100" t="s">
        <v>190</v>
      </c>
      <c r="C476" s="100">
        <v>61804</v>
      </c>
      <c r="D476" s="57"/>
      <c r="E476" s="57"/>
      <c r="F476" s="57"/>
      <c r="G476" s="57"/>
      <c r="H476" s="57"/>
      <c r="I476" s="47"/>
      <c r="J476" s="47"/>
      <c r="K476" s="57" t="s">
        <v>186</v>
      </c>
      <c r="L476" s="47">
        <v>50</v>
      </c>
      <c r="M476" s="47">
        <v>0</v>
      </c>
      <c r="N476" s="54">
        <f>SUM(L483-M483)</f>
        <v>50</v>
      </c>
      <c r="O476" s="48"/>
      <c r="P476" s="47"/>
      <c r="Q476" s="49"/>
    </row>
    <row r="477" spans="1:17" x14ac:dyDescent="0.2">
      <c r="B477" s="50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55"/>
      <c r="O477" s="45"/>
      <c r="P477" s="44"/>
      <c r="Q477" s="51"/>
    </row>
    <row r="478" spans="1:17" x14ac:dyDescent="0.2">
      <c r="B478" s="50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55"/>
      <c r="O478" s="44"/>
      <c r="P478" s="44"/>
      <c r="Q478" s="72"/>
    </row>
    <row r="479" spans="1:17" x14ac:dyDescent="0.2">
      <c r="B479" s="50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55"/>
      <c r="O479" s="44"/>
      <c r="P479" s="44"/>
      <c r="Q479" s="51"/>
    </row>
    <row r="480" spans="1:17" x14ac:dyDescent="0.2">
      <c r="B480" s="50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55"/>
      <c r="O480" s="44"/>
      <c r="P480" s="44"/>
      <c r="Q480" s="51"/>
    </row>
    <row r="481" spans="2:17" x14ac:dyDescent="0.2">
      <c r="B481" s="50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55"/>
      <c r="O481" s="44"/>
      <c r="P481" s="44"/>
      <c r="Q481" s="51"/>
    </row>
    <row r="482" spans="2:17" x14ac:dyDescent="0.2">
      <c r="B482" s="50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55"/>
      <c r="O482" s="44"/>
      <c r="P482" s="44"/>
      <c r="Q482" s="51"/>
    </row>
    <row r="483" spans="2:17" x14ac:dyDescent="0.2">
      <c r="B483" s="58"/>
      <c r="C483" s="59"/>
      <c r="D483" s="59"/>
      <c r="E483" s="59"/>
      <c r="F483" s="59"/>
      <c r="G483" s="59"/>
      <c r="H483" s="59"/>
      <c r="I483" s="59"/>
      <c r="J483" s="59"/>
      <c r="K483" s="59"/>
      <c r="L483" s="59">
        <f>SUM(L476:L482)</f>
        <v>50</v>
      </c>
      <c r="M483" s="59">
        <f>SUM(M476:M482)</f>
        <v>0</v>
      </c>
      <c r="N483" s="60"/>
      <c r="O483" s="59"/>
      <c r="P483" s="59"/>
      <c r="Q483" s="62"/>
    </row>
    <row r="484" spans="2:17" x14ac:dyDescent="0.2">
      <c r="B484" s="65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7"/>
      <c r="O484" s="66"/>
      <c r="P484" s="66"/>
      <c r="Q484" s="68"/>
    </row>
    <row r="485" spans="2:17" x14ac:dyDescent="0.2">
      <c r="B485" s="42" t="s">
        <v>0</v>
      </c>
      <c r="C485" s="42" t="s">
        <v>26</v>
      </c>
      <c r="D485" s="42" t="s">
        <v>1</v>
      </c>
      <c r="E485" s="42" t="s">
        <v>2</v>
      </c>
      <c r="F485" s="42" t="s">
        <v>3</v>
      </c>
      <c r="G485" s="42" t="s">
        <v>4</v>
      </c>
      <c r="H485" s="42" t="s">
        <v>5</v>
      </c>
      <c r="I485" s="42" t="s">
        <v>6</v>
      </c>
      <c r="J485" s="42" t="s">
        <v>7</v>
      </c>
      <c r="K485" s="42" t="s">
        <v>8</v>
      </c>
      <c r="L485" s="42"/>
      <c r="M485" s="42"/>
      <c r="N485" s="52" t="s">
        <v>9</v>
      </c>
      <c r="O485" s="42"/>
      <c r="P485" s="42" t="s">
        <v>10</v>
      </c>
      <c r="Q485" s="42"/>
    </row>
    <row r="486" spans="2:17" x14ac:dyDescent="0.2">
      <c r="B486" s="43"/>
      <c r="C486" s="43"/>
      <c r="D486" s="43"/>
      <c r="E486" s="43" t="s">
        <v>11</v>
      </c>
      <c r="F486" s="43"/>
      <c r="G486" s="43"/>
      <c r="H486" s="43"/>
      <c r="I486" s="43"/>
      <c r="J486" s="43"/>
      <c r="K486" s="43" t="s">
        <v>12</v>
      </c>
      <c r="L486" s="43" t="s">
        <v>13</v>
      </c>
      <c r="M486" s="43" t="s">
        <v>14</v>
      </c>
      <c r="N486" s="53" t="s">
        <v>15</v>
      </c>
      <c r="O486" s="43" t="s">
        <v>16</v>
      </c>
      <c r="P486" s="43"/>
      <c r="Q486" s="43" t="s">
        <v>17</v>
      </c>
    </row>
    <row r="487" spans="2:17" x14ac:dyDescent="0.2">
      <c r="B487" s="100" t="s">
        <v>191</v>
      </c>
      <c r="C487" s="100" t="s">
        <v>192</v>
      </c>
      <c r="D487" s="57"/>
      <c r="E487" s="57"/>
      <c r="F487" s="57"/>
      <c r="G487" s="57"/>
      <c r="H487" s="57"/>
      <c r="I487" s="47"/>
      <c r="J487" s="47"/>
      <c r="K487" s="57" t="s">
        <v>186</v>
      </c>
      <c r="L487" s="47"/>
      <c r="M487" s="47">
        <v>0</v>
      </c>
      <c r="N487" s="54">
        <f>SUM(L494-M494)</f>
        <v>0</v>
      </c>
      <c r="O487" s="48"/>
      <c r="P487" s="47"/>
      <c r="Q487" s="49"/>
    </row>
    <row r="488" spans="2:17" x14ac:dyDescent="0.2">
      <c r="B488" s="50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55"/>
      <c r="O488" s="45"/>
      <c r="P488" s="44"/>
      <c r="Q488" s="51"/>
    </row>
    <row r="489" spans="2:17" x14ac:dyDescent="0.2">
      <c r="B489" s="50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55"/>
      <c r="O489" s="44"/>
      <c r="P489" s="44"/>
      <c r="Q489" s="72"/>
    </row>
    <row r="490" spans="2:17" x14ac:dyDescent="0.2">
      <c r="B490" s="50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55"/>
      <c r="O490" s="44"/>
      <c r="P490" s="44"/>
      <c r="Q490" s="51"/>
    </row>
    <row r="491" spans="2:17" x14ac:dyDescent="0.2">
      <c r="B491" s="50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55"/>
      <c r="O491" s="44"/>
      <c r="P491" s="44"/>
      <c r="Q491" s="51"/>
    </row>
    <row r="492" spans="2:17" x14ac:dyDescent="0.2">
      <c r="B492" s="50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55"/>
      <c r="O492" s="44"/>
      <c r="P492" s="44"/>
      <c r="Q492" s="51"/>
    </row>
    <row r="493" spans="2:17" x14ac:dyDescent="0.2">
      <c r="B493" s="50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55"/>
      <c r="O493" s="44"/>
      <c r="P493" s="44"/>
      <c r="Q493" s="51"/>
    </row>
    <row r="494" spans="2:17" x14ac:dyDescent="0.2">
      <c r="B494" s="58"/>
      <c r="C494" s="59"/>
      <c r="D494" s="59"/>
      <c r="E494" s="59"/>
      <c r="F494" s="59"/>
      <c r="G494" s="59"/>
      <c r="H494" s="59"/>
      <c r="I494" s="59"/>
      <c r="J494" s="59"/>
      <c r="K494" s="59"/>
      <c r="L494" s="59">
        <f>SUM(L487:L493)</f>
        <v>0</v>
      </c>
      <c r="M494" s="59">
        <f>SUM(M487:M493)</f>
        <v>0</v>
      </c>
      <c r="N494" s="60"/>
      <c r="O494" s="59"/>
      <c r="P494" s="59"/>
      <c r="Q494" s="62"/>
    </row>
    <row r="495" spans="2:17" x14ac:dyDescent="0.2">
      <c r="B495" s="42" t="s">
        <v>0</v>
      </c>
      <c r="C495" s="42" t="s">
        <v>26</v>
      </c>
      <c r="D495" s="42" t="s">
        <v>1</v>
      </c>
      <c r="E495" s="42" t="s">
        <v>2</v>
      </c>
      <c r="F495" s="42" t="s">
        <v>3</v>
      </c>
      <c r="G495" s="42" t="s">
        <v>4</v>
      </c>
      <c r="H495" s="42" t="s">
        <v>5</v>
      </c>
      <c r="I495" s="42" t="s">
        <v>6</v>
      </c>
      <c r="J495" s="42" t="s">
        <v>7</v>
      </c>
      <c r="K495" s="42" t="s">
        <v>8</v>
      </c>
      <c r="L495" s="42"/>
      <c r="M495" s="42"/>
      <c r="N495" s="52" t="s">
        <v>9</v>
      </c>
      <c r="O495" s="42"/>
      <c r="P495" s="42" t="s">
        <v>10</v>
      </c>
      <c r="Q495" s="42"/>
    </row>
    <row r="496" spans="2:17" x14ac:dyDescent="0.2">
      <c r="B496" s="43"/>
      <c r="C496" s="43"/>
      <c r="D496" s="43"/>
      <c r="E496" s="43" t="s">
        <v>11</v>
      </c>
      <c r="F496" s="43"/>
      <c r="G496" s="43"/>
      <c r="H496" s="43"/>
      <c r="I496" s="43"/>
      <c r="J496" s="43"/>
      <c r="K496" s="43" t="s">
        <v>12</v>
      </c>
      <c r="L496" s="43" t="s">
        <v>13</v>
      </c>
      <c r="M496" s="43" t="s">
        <v>14</v>
      </c>
      <c r="N496" s="53" t="s">
        <v>15</v>
      </c>
      <c r="O496" s="43" t="s">
        <v>16</v>
      </c>
      <c r="P496" s="43"/>
      <c r="Q496" s="43" t="s">
        <v>17</v>
      </c>
    </row>
    <row r="497" spans="2:17" x14ac:dyDescent="0.2">
      <c r="B497" s="100" t="s">
        <v>193</v>
      </c>
      <c r="C497" s="100" t="s">
        <v>194</v>
      </c>
      <c r="D497" s="57"/>
      <c r="E497" s="57"/>
      <c r="F497" s="57"/>
      <c r="G497" s="57"/>
      <c r="H497" s="57"/>
      <c r="I497" s="47"/>
      <c r="J497" s="47"/>
      <c r="K497" s="57" t="s">
        <v>186</v>
      </c>
      <c r="L497" s="47">
        <v>100</v>
      </c>
      <c r="M497" s="47">
        <v>0</v>
      </c>
      <c r="N497" s="54">
        <f>SUM(L504-M504)</f>
        <v>100</v>
      </c>
      <c r="O497" s="48"/>
      <c r="P497" s="47"/>
      <c r="Q497" s="49"/>
    </row>
    <row r="498" spans="2:17" x14ac:dyDescent="0.2">
      <c r="B498" s="50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55"/>
      <c r="O498" s="45"/>
      <c r="P498" s="44"/>
      <c r="Q498" s="51"/>
    </row>
    <row r="499" spans="2:17" x14ac:dyDescent="0.2">
      <c r="B499" s="50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55"/>
      <c r="O499" s="44"/>
      <c r="P499" s="44"/>
      <c r="Q499" s="72"/>
    </row>
    <row r="500" spans="2:17" x14ac:dyDescent="0.2">
      <c r="B500" s="50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55"/>
      <c r="O500" s="44"/>
      <c r="P500" s="44"/>
      <c r="Q500" s="51"/>
    </row>
    <row r="501" spans="2:17" x14ac:dyDescent="0.2">
      <c r="B501" s="50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55"/>
      <c r="O501" s="44"/>
      <c r="P501" s="44"/>
      <c r="Q501" s="51"/>
    </row>
    <row r="502" spans="2:17" x14ac:dyDescent="0.2">
      <c r="B502" s="50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55"/>
      <c r="O502" s="44"/>
      <c r="P502" s="44"/>
      <c r="Q502" s="51"/>
    </row>
    <row r="503" spans="2:17" x14ac:dyDescent="0.2">
      <c r="B503" s="50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55"/>
      <c r="O503" s="44"/>
      <c r="P503" s="44"/>
      <c r="Q503" s="51"/>
    </row>
    <row r="504" spans="2:17" x14ac:dyDescent="0.2">
      <c r="B504" s="58"/>
      <c r="C504" s="59"/>
      <c r="D504" s="59"/>
      <c r="E504" s="59"/>
      <c r="F504" s="59"/>
      <c r="G504" s="59"/>
      <c r="H504" s="59"/>
      <c r="I504" s="59"/>
      <c r="J504" s="59"/>
      <c r="K504" s="59"/>
      <c r="L504" s="59">
        <f>SUM(L497:L503)</f>
        <v>100</v>
      </c>
      <c r="M504" s="59">
        <f>SUM(M497:M503)</f>
        <v>0</v>
      </c>
      <c r="N504" s="60"/>
      <c r="O504" s="59"/>
      <c r="P504" s="59"/>
      <c r="Q504" s="62"/>
    </row>
    <row r="505" spans="2:17" x14ac:dyDescent="0.2">
      <c r="B505" s="42" t="s">
        <v>0</v>
      </c>
      <c r="C505" s="42" t="s">
        <v>26</v>
      </c>
      <c r="D505" s="42" t="s">
        <v>1</v>
      </c>
      <c r="E505" s="42" t="s">
        <v>2</v>
      </c>
      <c r="F505" s="42" t="s">
        <v>3</v>
      </c>
      <c r="G505" s="42" t="s">
        <v>4</v>
      </c>
      <c r="H505" s="42" t="s">
        <v>5</v>
      </c>
      <c r="I505" s="42" t="s">
        <v>6</v>
      </c>
      <c r="J505" s="42" t="s">
        <v>7</v>
      </c>
      <c r="K505" s="42" t="s">
        <v>8</v>
      </c>
      <c r="L505" s="42"/>
      <c r="M505" s="42"/>
      <c r="N505" s="52" t="s">
        <v>9</v>
      </c>
      <c r="O505" s="42"/>
      <c r="P505" s="42" t="s">
        <v>10</v>
      </c>
      <c r="Q505" s="42"/>
    </row>
    <row r="506" spans="2:17" x14ac:dyDescent="0.2">
      <c r="B506" s="43"/>
      <c r="C506" s="43"/>
      <c r="D506" s="43"/>
      <c r="E506" s="43" t="s">
        <v>11</v>
      </c>
      <c r="F506" s="43"/>
      <c r="G506" s="43"/>
      <c r="H506" s="43"/>
      <c r="I506" s="43"/>
      <c r="J506" s="43"/>
      <c r="K506" s="43" t="s">
        <v>12</v>
      </c>
      <c r="L506" s="43" t="s">
        <v>13</v>
      </c>
      <c r="M506" s="43" t="s">
        <v>14</v>
      </c>
      <c r="N506" s="53" t="s">
        <v>15</v>
      </c>
      <c r="O506" s="43" t="s">
        <v>16</v>
      </c>
      <c r="P506" s="43"/>
      <c r="Q506" s="43" t="s">
        <v>17</v>
      </c>
    </row>
    <row r="507" spans="2:17" x14ac:dyDescent="0.2">
      <c r="B507" s="102" t="s">
        <v>195</v>
      </c>
      <c r="C507" s="100" t="s">
        <v>196</v>
      </c>
      <c r="D507" s="57"/>
      <c r="E507" s="57"/>
      <c r="F507" s="57"/>
      <c r="G507" s="57"/>
      <c r="H507" s="57"/>
      <c r="I507" s="47"/>
      <c r="J507" s="47"/>
      <c r="K507" s="57" t="s">
        <v>186</v>
      </c>
      <c r="L507" s="47">
        <v>20</v>
      </c>
      <c r="M507" s="47">
        <v>0</v>
      </c>
      <c r="N507" s="54">
        <f>SUM(L514-M514)</f>
        <v>20</v>
      </c>
      <c r="O507" s="48"/>
      <c r="P507" s="47"/>
      <c r="Q507" s="49"/>
    </row>
    <row r="508" spans="2:17" x14ac:dyDescent="0.2">
      <c r="B508" s="50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55"/>
      <c r="O508" s="45"/>
      <c r="P508" s="44"/>
      <c r="Q508" s="51"/>
    </row>
    <row r="509" spans="2:17" x14ac:dyDescent="0.2">
      <c r="B509" s="50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55"/>
      <c r="O509" s="44"/>
      <c r="P509" s="44"/>
      <c r="Q509" s="72"/>
    </row>
    <row r="510" spans="2:17" x14ac:dyDescent="0.2">
      <c r="B510" s="50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55"/>
      <c r="O510" s="44"/>
      <c r="P510" s="44"/>
      <c r="Q510" s="51"/>
    </row>
    <row r="511" spans="2:17" x14ac:dyDescent="0.2">
      <c r="B511" s="50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55"/>
      <c r="O511" s="44"/>
      <c r="P511" s="44"/>
      <c r="Q511" s="51"/>
    </row>
    <row r="512" spans="2:17" x14ac:dyDescent="0.2">
      <c r="B512" s="50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55"/>
      <c r="O512" s="44"/>
      <c r="P512" s="44"/>
      <c r="Q512" s="51"/>
    </row>
    <row r="513" spans="2:17" x14ac:dyDescent="0.2">
      <c r="B513" s="50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55"/>
      <c r="O513" s="44"/>
      <c r="P513" s="44"/>
      <c r="Q513" s="51"/>
    </row>
    <row r="514" spans="2:17" x14ac:dyDescent="0.2">
      <c r="B514" s="58"/>
      <c r="C514" s="59"/>
      <c r="D514" s="59"/>
      <c r="E514" s="59"/>
      <c r="F514" s="59"/>
      <c r="G514" s="59"/>
      <c r="H514" s="59"/>
      <c r="I514" s="59"/>
      <c r="J514" s="59"/>
      <c r="K514" s="59"/>
      <c r="L514" s="59">
        <f>SUM(L507:L513)</f>
        <v>20</v>
      </c>
      <c r="M514" s="59">
        <f>SUM(M507:M513)</f>
        <v>0</v>
      </c>
      <c r="N514" s="60"/>
      <c r="O514" s="59"/>
      <c r="P514" s="59"/>
      <c r="Q514" s="62"/>
    </row>
    <row r="515" spans="2:17" x14ac:dyDescent="0.2">
      <c r="B515" s="65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7"/>
      <c r="O515" s="66"/>
      <c r="P515" s="66"/>
      <c r="Q515" s="68"/>
    </row>
    <row r="516" spans="2:17" x14ac:dyDescent="0.2">
      <c r="B516" s="42" t="s">
        <v>0</v>
      </c>
      <c r="C516" s="42" t="s">
        <v>26</v>
      </c>
      <c r="D516" s="42" t="s">
        <v>1</v>
      </c>
      <c r="E516" s="42" t="s">
        <v>2</v>
      </c>
      <c r="F516" s="42" t="s">
        <v>3</v>
      </c>
      <c r="G516" s="42" t="s">
        <v>4</v>
      </c>
      <c r="H516" s="42" t="s">
        <v>5</v>
      </c>
      <c r="I516" s="42" t="s">
        <v>6</v>
      </c>
      <c r="J516" s="42" t="s">
        <v>7</v>
      </c>
      <c r="K516" s="42" t="s">
        <v>8</v>
      </c>
      <c r="L516" s="42"/>
      <c r="M516" s="42"/>
      <c r="N516" s="52" t="s">
        <v>9</v>
      </c>
      <c r="O516" s="42"/>
      <c r="P516" s="42" t="s">
        <v>10</v>
      </c>
      <c r="Q516" s="42"/>
    </row>
    <row r="517" spans="2:17" x14ac:dyDescent="0.2">
      <c r="B517" s="43"/>
      <c r="C517" s="43"/>
      <c r="D517" s="43"/>
      <c r="E517" s="43" t="s">
        <v>11</v>
      </c>
      <c r="F517" s="43"/>
      <c r="G517" s="43"/>
      <c r="H517" s="43"/>
      <c r="I517" s="43"/>
      <c r="J517" s="43"/>
      <c r="K517" s="43" t="s">
        <v>12</v>
      </c>
      <c r="L517" s="43" t="s">
        <v>13</v>
      </c>
      <c r="M517" s="43" t="s">
        <v>14</v>
      </c>
      <c r="N517" s="53" t="s">
        <v>15</v>
      </c>
      <c r="O517" s="43" t="s">
        <v>16</v>
      </c>
      <c r="P517" s="43"/>
      <c r="Q517" s="43" t="s">
        <v>17</v>
      </c>
    </row>
    <row r="518" spans="2:17" x14ac:dyDescent="0.2">
      <c r="B518" s="100" t="s">
        <v>197</v>
      </c>
      <c r="C518" s="100" t="s">
        <v>198</v>
      </c>
      <c r="D518" s="57"/>
      <c r="E518" s="57"/>
      <c r="F518" s="57"/>
      <c r="G518" s="57"/>
      <c r="H518" s="57"/>
      <c r="I518" s="47"/>
      <c r="J518" s="47"/>
      <c r="K518" s="57" t="s">
        <v>186</v>
      </c>
      <c r="L518" s="47">
        <v>40</v>
      </c>
      <c r="M518" s="47">
        <v>0</v>
      </c>
      <c r="N518" s="54">
        <f>SUM(L525-M525)</f>
        <v>40</v>
      </c>
      <c r="O518" s="48"/>
      <c r="P518" s="47"/>
      <c r="Q518" s="49"/>
    </row>
    <row r="519" spans="2:17" x14ac:dyDescent="0.2">
      <c r="B519" s="50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55"/>
      <c r="O519" s="45"/>
      <c r="P519" s="44"/>
      <c r="Q519" s="51"/>
    </row>
    <row r="520" spans="2:17" x14ac:dyDescent="0.2">
      <c r="B520" s="50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55"/>
      <c r="O520" s="44"/>
      <c r="P520" s="44"/>
      <c r="Q520" s="72"/>
    </row>
    <row r="521" spans="2:17" x14ac:dyDescent="0.2">
      <c r="B521" s="50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55"/>
      <c r="O521" s="44"/>
      <c r="P521" s="44"/>
      <c r="Q521" s="51"/>
    </row>
    <row r="522" spans="2:17" x14ac:dyDescent="0.2">
      <c r="B522" s="50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55"/>
      <c r="O522" s="44"/>
      <c r="P522" s="44"/>
      <c r="Q522" s="51"/>
    </row>
    <row r="523" spans="2:17" x14ac:dyDescent="0.2">
      <c r="B523" s="50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55"/>
      <c r="O523" s="44"/>
      <c r="P523" s="44"/>
      <c r="Q523" s="51"/>
    </row>
    <row r="524" spans="2:17" x14ac:dyDescent="0.2">
      <c r="B524" s="50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55"/>
      <c r="O524" s="44"/>
      <c r="P524" s="44"/>
      <c r="Q524" s="51"/>
    </row>
    <row r="525" spans="2:17" x14ac:dyDescent="0.2">
      <c r="B525" s="58"/>
      <c r="C525" s="59"/>
      <c r="D525" s="59"/>
      <c r="E525" s="59"/>
      <c r="F525" s="59"/>
      <c r="G525" s="59"/>
      <c r="H525" s="59"/>
      <c r="I525" s="59"/>
      <c r="J525" s="59"/>
      <c r="K525" s="59"/>
      <c r="L525" s="59">
        <f>SUM(L518:L524)</f>
        <v>40</v>
      </c>
      <c r="M525" s="59">
        <f>SUM(M518:M524)</f>
        <v>0</v>
      </c>
      <c r="N525" s="60"/>
      <c r="O525" s="59"/>
      <c r="P525" s="59"/>
      <c r="Q525" s="62"/>
    </row>
    <row r="526" spans="2:17" x14ac:dyDescent="0.2">
      <c r="B526" s="43"/>
      <c r="C526" s="43"/>
      <c r="D526" s="43"/>
      <c r="E526" s="43" t="s">
        <v>11</v>
      </c>
      <c r="F526" s="43"/>
      <c r="G526" s="43"/>
      <c r="H526" s="43"/>
      <c r="I526" s="43"/>
      <c r="J526" s="43"/>
      <c r="K526" s="43" t="s">
        <v>12</v>
      </c>
      <c r="L526" s="43" t="s">
        <v>13</v>
      </c>
      <c r="M526" s="43" t="s">
        <v>14</v>
      </c>
      <c r="N526" s="53" t="s">
        <v>15</v>
      </c>
      <c r="O526" s="43" t="s">
        <v>16</v>
      </c>
      <c r="P526" s="43"/>
      <c r="Q526" s="43" t="s">
        <v>17</v>
      </c>
    </row>
    <row r="527" spans="2:17" ht="27" x14ac:dyDescent="0.2">
      <c r="B527" s="111" t="s">
        <v>199</v>
      </c>
      <c r="C527" s="100" t="s">
        <v>200</v>
      </c>
      <c r="D527" s="57"/>
      <c r="E527" s="57"/>
      <c r="F527" s="57"/>
      <c r="G527" s="57"/>
      <c r="H527" s="57"/>
      <c r="I527" s="47"/>
      <c r="J527" s="47"/>
      <c r="K527" s="57" t="s">
        <v>186</v>
      </c>
      <c r="L527" s="47">
        <v>40</v>
      </c>
      <c r="M527" s="47">
        <v>0</v>
      </c>
      <c r="N527" s="54">
        <f>SUM(L534-M534)</f>
        <v>40</v>
      </c>
      <c r="O527" s="48"/>
      <c r="P527" s="47"/>
      <c r="Q527" s="49"/>
    </row>
    <row r="528" spans="2:17" x14ac:dyDescent="0.2">
      <c r="B528" s="50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55"/>
      <c r="O528" s="45"/>
      <c r="P528" s="44"/>
      <c r="Q528" s="51"/>
    </row>
    <row r="529" spans="2:17" x14ac:dyDescent="0.2">
      <c r="B529" s="50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55"/>
      <c r="O529" s="44"/>
      <c r="P529" s="44"/>
      <c r="Q529" s="72"/>
    </row>
    <row r="530" spans="2:17" x14ac:dyDescent="0.2">
      <c r="B530" s="50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55"/>
      <c r="O530" s="44"/>
      <c r="P530" s="44"/>
      <c r="Q530" s="51"/>
    </row>
    <row r="531" spans="2:17" x14ac:dyDescent="0.2">
      <c r="B531" s="50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55"/>
      <c r="O531" s="44"/>
      <c r="P531" s="44"/>
      <c r="Q531" s="51"/>
    </row>
    <row r="532" spans="2:17" x14ac:dyDescent="0.2">
      <c r="B532" s="50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55"/>
      <c r="O532" s="44"/>
      <c r="P532" s="44"/>
      <c r="Q532" s="51"/>
    </row>
    <row r="533" spans="2:17" x14ac:dyDescent="0.2">
      <c r="B533" s="50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55"/>
      <c r="O533" s="44"/>
      <c r="P533" s="44"/>
      <c r="Q533" s="51"/>
    </row>
    <row r="534" spans="2:17" x14ac:dyDescent="0.2">
      <c r="B534" s="58"/>
      <c r="C534" s="59"/>
      <c r="D534" s="59"/>
      <c r="E534" s="59"/>
      <c r="F534" s="59"/>
      <c r="G534" s="59"/>
      <c r="H534" s="59"/>
      <c r="I534" s="59"/>
      <c r="J534" s="59"/>
      <c r="K534" s="59"/>
      <c r="L534" s="59">
        <f>SUM(L527:L533)</f>
        <v>40</v>
      </c>
      <c r="M534" s="59">
        <f>SUM(M527:M533)</f>
        <v>0</v>
      </c>
      <c r="N534" s="60"/>
      <c r="O534" s="59"/>
      <c r="P534" s="59"/>
      <c r="Q534" s="62"/>
    </row>
    <row r="535" spans="2:17" x14ac:dyDescent="0.2">
      <c r="B535" s="65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7"/>
      <c r="O535" s="66"/>
      <c r="P535" s="66"/>
      <c r="Q535" s="68"/>
    </row>
    <row r="536" spans="2:17" x14ac:dyDescent="0.2">
      <c r="B536" s="42" t="s">
        <v>0</v>
      </c>
      <c r="C536" s="42" t="s">
        <v>26</v>
      </c>
      <c r="D536" s="42" t="s">
        <v>1</v>
      </c>
      <c r="E536" s="42" t="s">
        <v>2</v>
      </c>
      <c r="F536" s="42" t="s">
        <v>3</v>
      </c>
      <c r="G536" s="42" t="s">
        <v>4</v>
      </c>
      <c r="H536" s="42" t="s">
        <v>5</v>
      </c>
      <c r="I536" s="42" t="s">
        <v>6</v>
      </c>
      <c r="J536" s="42" t="s">
        <v>7</v>
      </c>
      <c r="K536" s="42" t="s">
        <v>8</v>
      </c>
      <c r="L536" s="42"/>
      <c r="M536" s="42"/>
      <c r="N536" s="52" t="s">
        <v>9</v>
      </c>
      <c r="O536" s="42"/>
      <c r="P536" s="42" t="s">
        <v>10</v>
      </c>
      <c r="Q536" s="42"/>
    </row>
    <row r="537" spans="2:17" x14ac:dyDescent="0.2">
      <c r="B537" s="43"/>
      <c r="C537" s="43"/>
      <c r="D537" s="43"/>
      <c r="E537" s="43" t="s">
        <v>11</v>
      </c>
      <c r="F537" s="43"/>
      <c r="G537" s="43"/>
      <c r="H537" s="43"/>
      <c r="I537" s="43"/>
      <c r="J537" s="43"/>
      <c r="K537" s="43" t="s">
        <v>12</v>
      </c>
      <c r="L537" s="43" t="s">
        <v>13</v>
      </c>
      <c r="M537" s="43" t="s">
        <v>14</v>
      </c>
      <c r="N537" s="53" t="s">
        <v>15</v>
      </c>
      <c r="O537" s="43" t="s">
        <v>16</v>
      </c>
      <c r="P537" s="43"/>
      <c r="Q537" s="43" t="s">
        <v>17</v>
      </c>
    </row>
    <row r="538" spans="2:17" x14ac:dyDescent="0.2">
      <c r="B538" s="100" t="s">
        <v>201</v>
      </c>
      <c r="C538" s="100" t="s">
        <v>202</v>
      </c>
      <c r="D538" s="57"/>
      <c r="E538" s="57"/>
      <c r="F538" s="57"/>
      <c r="G538" s="57"/>
      <c r="H538" s="57"/>
      <c r="I538" s="47"/>
      <c r="J538" s="47"/>
      <c r="K538" s="57" t="s">
        <v>186</v>
      </c>
      <c r="L538" s="47">
        <v>300</v>
      </c>
      <c r="M538" s="47">
        <v>0</v>
      </c>
      <c r="N538" s="54">
        <f>SUM(L545-M545)</f>
        <v>300</v>
      </c>
      <c r="O538" s="48"/>
      <c r="P538" s="47"/>
      <c r="Q538" s="49"/>
    </row>
    <row r="539" spans="2:17" x14ac:dyDescent="0.2">
      <c r="B539" s="50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55"/>
      <c r="O539" s="45"/>
      <c r="P539" s="44"/>
      <c r="Q539" s="51"/>
    </row>
    <row r="540" spans="2:17" x14ac:dyDescent="0.2">
      <c r="B540" s="50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55"/>
      <c r="O540" s="44"/>
      <c r="P540" s="44"/>
      <c r="Q540" s="72"/>
    </row>
    <row r="541" spans="2:17" x14ac:dyDescent="0.2">
      <c r="B541" s="50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55"/>
      <c r="O541" s="44"/>
      <c r="P541" s="44"/>
      <c r="Q541" s="51"/>
    </row>
    <row r="542" spans="2:17" x14ac:dyDescent="0.2">
      <c r="B542" s="50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55"/>
      <c r="O542" s="44"/>
      <c r="P542" s="44"/>
      <c r="Q542" s="51"/>
    </row>
    <row r="543" spans="2:17" x14ac:dyDescent="0.2">
      <c r="B543" s="50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55"/>
      <c r="O543" s="44"/>
      <c r="P543" s="44"/>
      <c r="Q543" s="51"/>
    </row>
    <row r="544" spans="2:17" x14ac:dyDescent="0.2">
      <c r="B544" s="50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55"/>
      <c r="O544" s="44"/>
      <c r="P544" s="44"/>
      <c r="Q544" s="51"/>
    </row>
    <row r="545" spans="2:17" x14ac:dyDescent="0.2">
      <c r="B545" s="58"/>
      <c r="C545" s="59"/>
      <c r="D545" s="59"/>
      <c r="E545" s="59"/>
      <c r="F545" s="59"/>
      <c r="G545" s="59"/>
      <c r="H545" s="59"/>
      <c r="I545" s="59"/>
      <c r="J545" s="59"/>
      <c r="K545" s="59"/>
      <c r="L545" s="59">
        <f>SUM(L538:L544)</f>
        <v>300</v>
      </c>
      <c r="M545" s="59">
        <f>SUM(M538:M544)</f>
        <v>0</v>
      </c>
      <c r="N545" s="60"/>
      <c r="O545" s="59"/>
      <c r="P545" s="59"/>
      <c r="Q545" s="62"/>
    </row>
    <row r="546" spans="2:17" x14ac:dyDescent="0.2">
      <c r="B546" s="42" t="s">
        <v>0</v>
      </c>
      <c r="C546" s="42" t="s">
        <v>26</v>
      </c>
      <c r="D546" s="42" t="s">
        <v>1</v>
      </c>
      <c r="E546" s="42" t="s">
        <v>2</v>
      </c>
      <c r="F546" s="42" t="s">
        <v>3</v>
      </c>
      <c r="G546" s="42" t="s">
        <v>4</v>
      </c>
      <c r="H546" s="42" t="s">
        <v>5</v>
      </c>
      <c r="I546" s="42" t="s">
        <v>6</v>
      </c>
      <c r="J546" s="42" t="s">
        <v>7</v>
      </c>
      <c r="K546" s="42" t="s">
        <v>8</v>
      </c>
      <c r="L546" s="42"/>
      <c r="M546" s="42"/>
      <c r="N546" s="52" t="s">
        <v>9</v>
      </c>
      <c r="O546" s="42"/>
      <c r="P546" s="42" t="s">
        <v>10</v>
      </c>
      <c r="Q546" s="42"/>
    </row>
    <row r="547" spans="2:17" x14ac:dyDescent="0.2">
      <c r="B547" s="43"/>
      <c r="C547" s="43"/>
      <c r="D547" s="43"/>
      <c r="E547" s="43" t="s">
        <v>11</v>
      </c>
      <c r="F547" s="43"/>
      <c r="G547" s="43"/>
      <c r="H547" s="43"/>
      <c r="I547" s="43"/>
      <c r="J547" s="43"/>
      <c r="K547" s="43" t="s">
        <v>12</v>
      </c>
      <c r="L547" s="43" t="s">
        <v>13</v>
      </c>
      <c r="M547" s="43" t="s">
        <v>14</v>
      </c>
      <c r="N547" s="53" t="s">
        <v>15</v>
      </c>
      <c r="O547" s="43" t="s">
        <v>16</v>
      </c>
      <c r="P547" s="43"/>
      <c r="Q547" s="43" t="s">
        <v>17</v>
      </c>
    </row>
    <row r="548" spans="2:17" x14ac:dyDescent="0.2">
      <c r="B548" s="100" t="s">
        <v>203</v>
      </c>
      <c r="C548" s="100" t="s">
        <v>204</v>
      </c>
      <c r="D548" s="57"/>
      <c r="E548" s="57"/>
      <c r="F548" s="57"/>
      <c r="G548" s="57"/>
      <c r="H548" s="57"/>
      <c r="I548" s="47"/>
      <c r="J548" s="47"/>
      <c r="K548" s="57" t="s">
        <v>186</v>
      </c>
      <c r="L548" s="47">
        <v>300</v>
      </c>
      <c r="M548" s="47">
        <v>0</v>
      </c>
      <c r="N548" s="54">
        <f>SUM(L555-M555)</f>
        <v>300</v>
      </c>
      <c r="O548" s="48"/>
      <c r="P548" s="47"/>
      <c r="Q548" s="49"/>
    </row>
    <row r="549" spans="2:17" x14ac:dyDescent="0.2">
      <c r="B549" s="50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55"/>
      <c r="O549" s="45"/>
      <c r="P549" s="44"/>
      <c r="Q549" s="51"/>
    </row>
    <row r="550" spans="2:17" x14ac:dyDescent="0.2">
      <c r="B550" s="50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55"/>
      <c r="O550" s="44"/>
      <c r="P550" s="44"/>
      <c r="Q550" s="72"/>
    </row>
    <row r="551" spans="2:17" x14ac:dyDescent="0.2">
      <c r="B551" s="50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55"/>
      <c r="O551" s="44"/>
      <c r="P551" s="44"/>
      <c r="Q551" s="51"/>
    </row>
    <row r="552" spans="2:17" x14ac:dyDescent="0.2">
      <c r="B552" s="50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55"/>
      <c r="O552" s="44"/>
      <c r="P552" s="44"/>
      <c r="Q552" s="51"/>
    </row>
    <row r="553" spans="2:17" x14ac:dyDescent="0.2">
      <c r="B553" s="50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55"/>
      <c r="O553" s="44"/>
      <c r="P553" s="44"/>
      <c r="Q553" s="51"/>
    </row>
    <row r="554" spans="2:17" x14ac:dyDescent="0.2">
      <c r="B554" s="50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55"/>
      <c r="O554" s="44"/>
      <c r="P554" s="44"/>
      <c r="Q554" s="51"/>
    </row>
    <row r="555" spans="2:17" x14ac:dyDescent="0.2">
      <c r="B555" s="58"/>
      <c r="C555" s="59"/>
      <c r="D555" s="59"/>
      <c r="E555" s="59"/>
      <c r="F555" s="59"/>
      <c r="G555" s="59"/>
      <c r="H555" s="59"/>
      <c r="I555" s="59"/>
      <c r="J555" s="59"/>
      <c r="K555" s="59"/>
      <c r="L555" s="59">
        <f>SUM(L548:L554)</f>
        <v>300</v>
      </c>
      <c r="M555" s="59">
        <f>SUM(M548:M554)</f>
        <v>0</v>
      </c>
      <c r="N555" s="60"/>
      <c r="O555" s="59"/>
      <c r="P555" s="59"/>
      <c r="Q555" s="62"/>
    </row>
    <row r="556" spans="2:17" x14ac:dyDescent="0.2">
      <c r="B556" s="65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7"/>
      <c r="O556" s="66"/>
      <c r="P556" s="66"/>
      <c r="Q556" s="68"/>
    </row>
    <row r="557" spans="2:17" x14ac:dyDescent="0.2">
      <c r="B557" s="42" t="s">
        <v>0</v>
      </c>
      <c r="C557" s="42" t="s">
        <v>26</v>
      </c>
      <c r="D557" s="42" t="s">
        <v>1</v>
      </c>
      <c r="E557" s="42" t="s">
        <v>2</v>
      </c>
      <c r="F557" s="42" t="s">
        <v>3</v>
      </c>
      <c r="G557" s="42" t="s">
        <v>4</v>
      </c>
      <c r="H557" s="42" t="s">
        <v>5</v>
      </c>
      <c r="I557" s="42" t="s">
        <v>6</v>
      </c>
      <c r="J557" s="42" t="s">
        <v>7</v>
      </c>
      <c r="K557" s="42" t="s">
        <v>8</v>
      </c>
      <c r="L557" s="42"/>
      <c r="M557" s="42"/>
      <c r="N557" s="52" t="s">
        <v>9</v>
      </c>
      <c r="O557" s="42"/>
      <c r="P557" s="42" t="s">
        <v>10</v>
      </c>
      <c r="Q557" s="42"/>
    </row>
    <row r="558" spans="2:17" x14ac:dyDescent="0.2">
      <c r="B558" s="43"/>
      <c r="C558" s="43"/>
      <c r="D558" s="43"/>
      <c r="E558" s="43" t="s">
        <v>11</v>
      </c>
      <c r="F558" s="43"/>
      <c r="G558" s="43"/>
      <c r="H558" s="43"/>
      <c r="I558" s="43"/>
      <c r="J558" s="43"/>
      <c r="K558" s="43" t="s">
        <v>12</v>
      </c>
      <c r="L558" s="43" t="s">
        <v>13</v>
      </c>
      <c r="M558" s="43" t="s">
        <v>14</v>
      </c>
      <c r="N558" s="53" t="s">
        <v>15</v>
      </c>
      <c r="O558" s="43" t="s">
        <v>16</v>
      </c>
      <c r="P558" s="43"/>
      <c r="Q558" s="43" t="s">
        <v>17</v>
      </c>
    </row>
    <row r="559" spans="2:17" x14ac:dyDescent="0.2">
      <c r="B559" s="100" t="s">
        <v>205</v>
      </c>
      <c r="C559" s="100" t="s">
        <v>206</v>
      </c>
      <c r="D559" s="57"/>
      <c r="E559" s="57"/>
      <c r="F559" s="57"/>
      <c r="G559" s="57"/>
      <c r="H559" s="57"/>
      <c r="I559" s="47"/>
      <c r="J559" s="47"/>
      <c r="K559" s="57" t="s">
        <v>186</v>
      </c>
      <c r="L559" s="47">
        <v>100</v>
      </c>
      <c r="M559" s="47">
        <v>0</v>
      </c>
      <c r="N559" s="54">
        <f>SUM(L566-M566)</f>
        <v>60</v>
      </c>
      <c r="O559" s="48"/>
      <c r="P559" s="47"/>
      <c r="Q559" s="49"/>
    </row>
    <row r="560" spans="2:17" x14ac:dyDescent="0.2">
      <c r="B560" s="50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>
        <v>40</v>
      </c>
      <c r="N560" s="55"/>
      <c r="O560" s="45"/>
      <c r="P560" s="76" t="s">
        <v>207</v>
      </c>
      <c r="Q560" s="124" t="s">
        <v>208</v>
      </c>
    </row>
    <row r="561" spans="2:17" x14ac:dyDescent="0.2">
      <c r="B561" s="50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55"/>
      <c r="O561" s="44"/>
      <c r="P561" s="44"/>
      <c r="Q561" s="72"/>
    </row>
    <row r="562" spans="2:17" x14ac:dyDescent="0.2">
      <c r="B562" s="50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55"/>
      <c r="O562" s="44"/>
      <c r="P562" s="44"/>
      <c r="Q562" s="51"/>
    </row>
    <row r="563" spans="2:17" x14ac:dyDescent="0.2">
      <c r="B563" s="50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55"/>
      <c r="O563" s="44"/>
      <c r="P563" s="44"/>
      <c r="Q563" s="51"/>
    </row>
    <row r="564" spans="2:17" x14ac:dyDescent="0.2">
      <c r="B564" s="50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55"/>
      <c r="O564" s="44"/>
      <c r="P564" s="44"/>
      <c r="Q564" s="51"/>
    </row>
    <row r="565" spans="2:17" x14ac:dyDescent="0.2">
      <c r="B565" s="50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55"/>
      <c r="O565" s="44"/>
      <c r="P565" s="44"/>
      <c r="Q565" s="51"/>
    </row>
    <row r="566" spans="2:17" x14ac:dyDescent="0.2">
      <c r="B566" s="58"/>
      <c r="C566" s="59"/>
      <c r="D566" s="59"/>
      <c r="E566" s="59"/>
      <c r="F566" s="59"/>
      <c r="G566" s="59"/>
      <c r="H566" s="59"/>
      <c r="I566" s="59"/>
      <c r="J566" s="59"/>
      <c r="K566" s="59"/>
      <c r="L566" s="59">
        <f>SUM(L559:L565)</f>
        <v>100</v>
      </c>
      <c r="M566" s="59">
        <f>SUM(M559:M565)</f>
        <v>40</v>
      </c>
      <c r="N566" s="60"/>
      <c r="O566" s="59"/>
      <c r="P566" s="59"/>
      <c r="Q566" s="62"/>
    </row>
    <row r="567" spans="2:17" x14ac:dyDescent="0.2">
      <c r="B567" s="43"/>
      <c r="C567" s="43"/>
      <c r="D567" s="43"/>
      <c r="E567" s="43" t="s">
        <v>11</v>
      </c>
      <c r="F567" s="43"/>
      <c r="G567" s="43"/>
      <c r="H567" s="43"/>
      <c r="I567" s="43"/>
      <c r="J567" s="43"/>
      <c r="K567" s="43" t="s">
        <v>12</v>
      </c>
      <c r="L567" s="43" t="s">
        <v>13</v>
      </c>
      <c r="M567" s="43" t="s">
        <v>14</v>
      </c>
      <c r="N567" s="53" t="s">
        <v>15</v>
      </c>
      <c r="O567" s="43" t="s">
        <v>16</v>
      </c>
      <c r="P567" s="43"/>
      <c r="Q567" s="43" t="s">
        <v>17</v>
      </c>
    </row>
    <row r="568" spans="2:17" x14ac:dyDescent="0.2">
      <c r="B568" s="100" t="s">
        <v>209</v>
      </c>
      <c r="C568" s="100" t="s">
        <v>210</v>
      </c>
      <c r="D568" s="57"/>
      <c r="E568" s="57"/>
      <c r="F568" s="57"/>
      <c r="G568" s="57"/>
      <c r="H568" s="57"/>
      <c r="I568" s="47"/>
      <c r="J568" s="47"/>
      <c r="K568" s="57" t="s">
        <v>186</v>
      </c>
      <c r="L568" s="47">
        <v>50</v>
      </c>
      <c r="M568" s="47">
        <v>0</v>
      </c>
      <c r="N568" s="54">
        <f>SUM(L575-M575)</f>
        <v>50</v>
      </c>
      <c r="O568" s="48"/>
      <c r="P568" s="47"/>
      <c r="Q568" s="49"/>
    </row>
    <row r="569" spans="2:17" x14ac:dyDescent="0.2">
      <c r="B569" s="50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55"/>
      <c r="O569" s="45"/>
      <c r="P569" s="44"/>
      <c r="Q569" s="51"/>
    </row>
    <row r="570" spans="2:17" x14ac:dyDescent="0.2">
      <c r="B570" s="50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55"/>
      <c r="O570" s="44"/>
      <c r="P570" s="44"/>
      <c r="Q570" s="72"/>
    </row>
    <row r="571" spans="2:17" x14ac:dyDescent="0.2">
      <c r="B571" s="50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55"/>
      <c r="O571" s="44"/>
      <c r="P571" s="44"/>
      <c r="Q571" s="51"/>
    </row>
    <row r="572" spans="2:17" x14ac:dyDescent="0.2">
      <c r="B572" s="50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55"/>
      <c r="O572" s="44"/>
      <c r="P572" s="44"/>
      <c r="Q572" s="51"/>
    </row>
    <row r="573" spans="2:17" x14ac:dyDescent="0.2">
      <c r="B573" s="50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55"/>
      <c r="O573" s="44"/>
      <c r="P573" s="44"/>
      <c r="Q573" s="51"/>
    </row>
    <row r="574" spans="2:17" x14ac:dyDescent="0.2">
      <c r="B574" s="50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55"/>
      <c r="O574" s="44"/>
      <c r="P574" s="44"/>
      <c r="Q574" s="51"/>
    </row>
    <row r="575" spans="2:17" x14ac:dyDescent="0.2">
      <c r="B575" s="58"/>
      <c r="C575" s="59"/>
      <c r="D575" s="59"/>
      <c r="E575" s="59"/>
      <c r="F575" s="59"/>
      <c r="G575" s="59"/>
      <c r="H575" s="59"/>
      <c r="I575" s="59"/>
      <c r="J575" s="59"/>
      <c r="K575" s="59"/>
      <c r="L575" s="59">
        <f>SUM(L568:L574)</f>
        <v>50</v>
      </c>
      <c r="M575" s="59">
        <f>SUM(M568:M574)</f>
        <v>0</v>
      </c>
      <c r="N575" s="60"/>
      <c r="O575" s="59"/>
      <c r="P575" s="59"/>
      <c r="Q575" s="62"/>
    </row>
    <row r="576" spans="2:17" x14ac:dyDescent="0.2">
      <c r="B576" s="65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7"/>
      <c r="O576" s="66"/>
      <c r="P576" s="66"/>
      <c r="Q576" s="68"/>
    </row>
    <row r="577" spans="2:17" x14ac:dyDescent="0.2">
      <c r="B577" s="42" t="s">
        <v>0</v>
      </c>
      <c r="C577" s="42" t="s">
        <v>26</v>
      </c>
      <c r="D577" s="42" t="s">
        <v>1</v>
      </c>
      <c r="E577" s="42" t="s">
        <v>2</v>
      </c>
      <c r="F577" s="42" t="s">
        <v>3</v>
      </c>
      <c r="G577" s="42" t="s">
        <v>4</v>
      </c>
      <c r="H577" s="42" t="s">
        <v>5</v>
      </c>
      <c r="I577" s="42" t="s">
        <v>6</v>
      </c>
      <c r="J577" s="42" t="s">
        <v>7</v>
      </c>
      <c r="K577" s="42" t="s">
        <v>8</v>
      </c>
      <c r="L577" s="42"/>
      <c r="M577" s="42"/>
      <c r="N577" s="52" t="s">
        <v>9</v>
      </c>
      <c r="O577" s="42"/>
      <c r="P577" s="42" t="s">
        <v>10</v>
      </c>
      <c r="Q577" s="42"/>
    </row>
    <row r="578" spans="2:17" x14ac:dyDescent="0.2">
      <c r="B578" s="43"/>
      <c r="C578" s="43"/>
      <c r="D578" s="43"/>
      <c r="E578" s="43" t="s">
        <v>11</v>
      </c>
      <c r="F578" s="43"/>
      <c r="G578" s="43"/>
      <c r="H578" s="43"/>
      <c r="I578" s="43"/>
      <c r="J578" s="43"/>
      <c r="K578" s="43" t="s">
        <v>12</v>
      </c>
      <c r="L578" s="43" t="s">
        <v>13</v>
      </c>
      <c r="M578" s="43" t="s">
        <v>14</v>
      </c>
      <c r="N578" s="53" t="s">
        <v>15</v>
      </c>
      <c r="O578" s="43" t="s">
        <v>16</v>
      </c>
      <c r="P578" s="43"/>
      <c r="Q578" s="43" t="s">
        <v>17</v>
      </c>
    </row>
    <row r="579" spans="2:17" x14ac:dyDescent="0.2">
      <c r="B579" s="102" t="s">
        <v>211</v>
      </c>
      <c r="C579" s="100" t="s">
        <v>212</v>
      </c>
      <c r="D579" s="57"/>
      <c r="E579" s="57"/>
      <c r="F579" s="57"/>
      <c r="G579" s="57"/>
      <c r="H579" s="57"/>
      <c r="I579" s="47"/>
      <c r="J579" s="47"/>
      <c r="K579" s="57" t="s">
        <v>186</v>
      </c>
      <c r="L579" s="47">
        <v>20</v>
      </c>
      <c r="M579" s="47">
        <v>0</v>
      </c>
      <c r="N579" s="54">
        <f>SUM(L586-M586)</f>
        <v>20</v>
      </c>
      <c r="O579" s="48"/>
      <c r="P579" s="47"/>
      <c r="Q579" s="49"/>
    </row>
    <row r="580" spans="2:17" x14ac:dyDescent="0.2">
      <c r="B580" s="50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55"/>
      <c r="O580" s="45"/>
      <c r="P580" s="44"/>
      <c r="Q580" s="51"/>
    </row>
    <row r="581" spans="2:17" x14ac:dyDescent="0.2">
      <c r="B581" s="50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55"/>
      <c r="O581" s="44"/>
      <c r="P581" s="44"/>
      <c r="Q581" s="72"/>
    </row>
    <row r="582" spans="2:17" x14ac:dyDescent="0.2">
      <c r="B582" s="50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55"/>
      <c r="O582" s="44"/>
      <c r="P582" s="44"/>
      <c r="Q582" s="51"/>
    </row>
    <row r="583" spans="2:17" x14ac:dyDescent="0.2">
      <c r="B583" s="50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55"/>
      <c r="O583" s="44"/>
      <c r="P583" s="44"/>
      <c r="Q583" s="51"/>
    </row>
    <row r="584" spans="2:17" x14ac:dyDescent="0.2">
      <c r="B584" s="50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55"/>
      <c r="O584" s="44"/>
      <c r="P584" s="44"/>
      <c r="Q584" s="51"/>
    </row>
    <row r="585" spans="2:17" x14ac:dyDescent="0.2">
      <c r="B585" s="50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55"/>
      <c r="O585" s="44"/>
      <c r="P585" s="44"/>
      <c r="Q585" s="51"/>
    </row>
    <row r="586" spans="2:17" x14ac:dyDescent="0.2">
      <c r="B586" s="58"/>
      <c r="C586" s="59"/>
      <c r="D586" s="59"/>
      <c r="E586" s="59"/>
      <c r="F586" s="59"/>
      <c r="G586" s="59"/>
      <c r="H586" s="59"/>
      <c r="I586" s="59"/>
      <c r="J586" s="59"/>
      <c r="K586" s="59"/>
      <c r="L586" s="59">
        <f>SUM(L579:L585)</f>
        <v>20</v>
      </c>
      <c r="M586" s="59">
        <f>SUM(M579:M585)</f>
        <v>0</v>
      </c>
      <c r="N586" s="60"/>
      <c r="O586" s="59"/>
      <c r="P586" s="59"/>
      <c r="Q586" s="62"/>
    </row>
    <row r="587" spans="2:17" x14ac:dyDescent="0.2">
      <c r="B587" s="42" t="s">
        <v>0</v>
      </c>
      <c r="C587" s="42" t="s">
        <v>26</v>
      </c>
      <c r="D587" s="42" t="s">
        <v>1</v>
      </c>
      <c r="E587" s="42" t="s">
        <v>2</v>
      </c>
      <c r="F587" s="42" t="s">
        <v>3</v>
      </c>
      <c r="G587" s="42" t="s">
        <v>4</v>
      </c>
      <c r="H587" s="42" t="s">
        <v>5</v>
      </c>
      <c r="I587" s="42" t="s">
        <v>6</v>
      </c>
      <c r="J587" s="42" t="s">
        <v>7</v>
      </c>
      <c r="K587" s="42" t="s">
        <v>8</v>
      </c>
      <c r="L587" s="42"/>
      <c r="M587" s="42"/>
      <c r="N587" s="52" t="s">
        <v>9</v>
      </c>
      <c r="O587" s="42"/>
      <c r="P587" s="42" t="s">
        <v>10</v>
      </c>
      <c r="Q587" s="42"/>
    </row>
    <row r="588" spans="2:17" x14ac:dyDescent="0.2">
      <c r="B588" s="43"/>
      <c r="C588" s="43"/>
      <c r="D588" s="43"/>
      <c r="E588" s="43" t="s">
        <v>11</v>
      </c>
      <c r="F588" s="43"/>
      <c r="G588" s="43"/>
      <c r="H588" s="43"/>
      <c r="I588" s="43"/>
      <c r="J588" s="43"/>
      <c r="K588" s="43" t="s">
        <v>12</v>
      </c>
      <c r="L588" s="43" t="s">
        <v>13</v>
      </c>
      <c r="M588" s="43" t="s">
        <v>14</v>
      </c>
      <c r="N588" s="53" t="s">
        <v>15</v>
      </c>
      <c r="O588" s="43" t="s">
        <v>16</v>
      </c>
      <c r="P588" s="43"/>
      <c r="Q588" s="43" t="s">
        <v>17</v>
      </c>
    </row>
    <row r="589" spans="2:17" x14ac:dyDescent="0.2">
      <c r="B589" s="100" t="s">
        <v>213</v>
      </c>
      <c r="C589" s="100" t="s">
        <v>214</v>
      </c>
      <c r="D589" s="57"/>
      <c r="E589" s="57"/>
      <c r="F589" s="57"/>
      <c r="G589" s="57"/>
      <c r="H589" s="57"/>
      <c r="I589" s="47"/>
      <c r="J589" s="47"/>
      <c r="K589" s="57" t="s">
        <v>186</v>
      </c>
      <c r="L589" s="47">
        <v>10</v>
      </c>
      <c r="M589" s="47">
        <v>0</v>
      </c>
      <c r="N589" s="54">
        <f>SUM(L596-M596)</f>
        <v>10</v>
      </c>
      <c r="O589" s="48"/>
      <c r="P589" s="47"/>
      <c r="Q589" s="49"/>
    </row>
    <row r="590" spans="2:17" x14ac:dyDescent="0.2">
      <c r="B590" s="50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55"/>
      <c r="O590" s="45"/>
      <c r="P590" s="44"/>
      <c r="Q590" s="51"/>
    </row>
    <row r="591" spans="2:17" x14ac:dyDescent="0.2">
      <c r="B591" s="50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55"/>
      <c r="O591" s="44"/>
      <c r="P591" s="44"/>
      <c r="Q591" s="72"/>
    </row>
    <row r="592" spans="2:17" x14ac:dyDescent="0.2">
      <c r="B592" s="50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55"/>
      <c r="O592" s="44"/>
      <c r="P592" s="44"/>
      <c r="Q592" s="51"/>
    </row>
    <row r="593" spans="2:17" x14ac:dyDescent="0.2">
      <c r="B593" s="50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55"/>
      <c r="O593" s="44"/>
      <c r="P593" s="44"/>
      <c r="Q593" s="51"/>
    </row>
    <row r="594" spans="2:17" x14ac:dyDescent="0.2">
      <c r="B594" s="50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55"/>
      <c r="O594" s="44"/>
      <c r="P594" s="44"/>
      <c r="Q594" s="51"/>
    </row>
    <row r="595" spans="2:17" x14ac:dyDescent="0.2">
      <c r="B595" s="50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55"/>
      <c r="O595" s="44"/>
      <c r="P595" s="44"/>
      <c r="Q595" s="51"/>
    </row>
    <row r="596" spans="2:17" x14ac:dyDescent="0.2">
      <c r="B596" s="58"/>
      <c r="C596" s="59"/>
      <c r="D596" s="59"/>
      <c r="E596" s="59"/>
      <c r="F596" s="59"/>
      <c r="G596" s="59"/>
      <c r="H596" s="59"/>
      <c r="I596" s="59"/>
      <c r="J596" s="59"/>
      <c r="K596" s="59"/>
      <c r="L596" s="59">
        <f>SUM(L589:L595)</f>
        <v>10</v>
      </c>
      <c r="M596" s="59">
        <f>SUM(M589:M595)</f>
        <v>0</v>
      </c>
      <c r="N596" s="60"/>
      <c r="O596" s="59"/>
      <c r="P596" s="59"/>
      <c r="Q596" s="62"/>
    </row>
    <row r="597" spans="2:17" x14ac:dyDescent="0.2">
      <c r="B597" s="65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7"/>
      <c r="O597" s="66"/>
      <c r="P597" s="66"/>
      <c r="Q597" s="68"/>
    </row>
    <row r="598" spans="2:17" x14ac:dyDescent="0.2">
      <c r="B598" s="42" t="s">
        <v>0</v>
      </c>
      <c r="C598" s="42" t="s">
        <v>26</v>
      </c>
      <c r="D598" s="42" t="s">
        <v>1</v>
      </c>
      <c r="E598" s="42" t="s">
        <v>2</v>
      </c>
      <c r="F598" s="42" t="s">
        <v>3</v>
      </c>
      <c r="G598" s="42" t="s">
        <v>4</v>
      </c>
      <c r="H598" s="42" t="s">
        <v>5</v>
      </c>
      <c r="I598" s="42" t="s">
        <v>6</v>
      </c>
      <c r="J598" s="42" t="s">
        <v>7</v>
      </c>
      <c r="K598" s="42" t="s">
        <v>8</v>
      </c>
      <c r="L598" s="42"/>
      <c r="M598" s="42"/>
      <c r="N598" s="52" t="s">
        <v>9</v>
      </c>
      <c r="O598" s="42"/>
      <c r="P598" s="42" t="s">
        <v>10</v>
      </c>
      <c r="Q598" s="42"/>
    </row>
    <row r="599" spans="2:17" x14ac:dyDescent="0.2">
      <c r="B599" s="43"/>
      <c r="C599" s="43"/>
      <c r="D599" s="43"/>
      <c r="E599" s="43" t="s">
        <v>11</v>
      </c>
      <c r="F599" s="43"/>
      <c r="G599" s="43"/>
      <c r="H599" s="43"/>
      <c r="I599" s="43"/>
      <c r="J599" s="43"/>
      <c r="K599" s="43" t="s">
        <v>12</v>
      </c>
      <c r="L599" s="43" t="s">
        <v>13</v>
      </c>
      <c r="M599" s="43" t="s">
        <v>14</v>
      </c>
      <c r="N599" s="53" t="s">
        <v>15</v>
      </c>
      <c r="O599" s="43" t="s">
        <v>16</v>
      </c>
      <c r="P599" s="43"/>
      <c r="Q599" s="43" t="s">
        <v>17</v>
      </c>
    </row>
    <row r="600" spans="2:17" x14ac:dyDescent="0.2">
      <c r="B600" s="100" t="s">
        <v>215</v>
      </c>
      <c r="C600" s="100" t="s">
        <v>216</v>
      </c>
      <c r="D600" s="57"/>
      <c r="E600" s="57"/>
      <c r="F600" s="57"/>
      <c r="G600" s="57"/>
      <c r="H600" s="57"/>
      <c r="I600" s="47"/>
      <c r="J600" s="47"/>
      <c r="K600" s="57" t="s">
        <v>186</v>
      </c>
      <c r="L600" s="47">
        <v>30</v>
      </c>
      <c r="M600" s="47">
        <v>0</v>
      </c>
      <c r="N600" s="54">
        <f>SUM(L607-M607)</f>
        <v>30</v>
      </c>
      <c r="O600" s="48"/>
      <c r="P600" s="47"/>
      <c r="Q600" s="49"/>
    </row>
    <row r="601" spans="2:17" x14ac:dyDescent="0.2">
      <c r="B601" s="50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55"/>
      <c r="O601" s="45"/>
      <c r="P601" s="44"/>
      <c r="Q601" s="51"/>
    </row>
    <row r="602" spans="2:17" x14ac:dyDescent="0.2">
      <c r="B602" s="50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55"/>
      <c r="O602" s="44"/>
      <c r="P602" s="44"/>
      <c r="Q602" s="72"/>
    </row>
    <row r="603" spans="2:17" x14ac:dyDescent="0.2">
      <c r="B603" s="50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55"/>
      <c r="O603" s="44"/>
      <c r="P603" s="44"/>
      <c r="Q603" s="51"/>
    </row>
    <row r="604" spans="2:17" x14ac:dyDescent="0.2">
      <c r="B604" s="50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55"/>
      <c r="O604" s="44"/>
      <c r="P604" s="44"/>
      <c r="Q604" s="51"/>
    </row>
    <row r="605" spans="2:17" x14ac:dyDescent="0.2">
      <c r="B605" s="50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55"/>
      <c r="O605" s="44"/>
      <c r="P605" s="44"/>
      <c r="Q605" s="51"/>
    </row>
    <row r="606" spans="2:17" x14ac:dyDescent="0.2">
      <c r="B606" s="50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55"/>
      <c r="O606" s="44"/>
      <c r="P606" s="44"/>
      <c r="Q606" s="51"/>
    </row>
    <row r="607" spans="2:17" x14ac:dyDescent="0.2">
      <c r="B607" s="58"/>
      <c r="C607" s="59"/>
      <c r="D607" s="59"/>
      <c r="E607" s="59"/>
      <c r="F607" s="59"/>
      <c r="G607" s="59"/>
      <c r="H607" s="59"/>
      <c r="I607" s="59"/>
      <c r="J607" s="59"/>
      <c r="K607" s="59"/>
      <c r="L607" s="59">
        <f>SUM(L600:L606)</f>
        <v>30</v>
      </c>
      <c r="M607" s="59">
        <f>SUM(M600:M606)</f>
        <v>0</v>
      </c>
      <c r="N607" s="60"/>
      <c r="O607" s="59"/>
      <c r="P607" s="59"/>
      <c r="Q607" s="62"/>
    </row>
    <row r="608" spans="2:17" x14ac:dyDescent="0.2">
      <c r="B608" s="43"/>
      <c r="C608" s="43"/>
      <c r="D608" s="43"/>
      <c r="E608" s="43" t="s">
        <v>11</v>
      </c>
      <c r="F608" s="43"/>
      <c r="G608" s="43"/>
      <c r="H608" s="43"/>
      <c r="I608" s="43"/>
      <c r="J608" s="43"/>
      <c r="K608" s="43" t="s">
        <v>12</v>
      </c>
      <c r="L608" s="43" t="s">
        <v>13</v>
      </c>
      <c r="M608" s="43" t="s">
        <v>14</v>
      </c>
      <c r="N608" s="53" t="s">
        <v>15</v>
      </c>
      <c r="O608" s="43" t="s">
        <v>16</v>
      </c>
      <c r="P608" s="43"/>
      <c r="Q608" s="43" t="s">
        <v>17</v>
      </c>
    </row>
    <row r="609" spans="2:17" x14ac:dyDescent="0.2">
      <c r="B609" s="100" t="s">
        <v>217</v>
      </c>
      <c r="C609" s="100" t="s">
        <v>218</v>
      </c>
      <c r="D609" s="57"/>
      <c r="E609" s="57"/>
      <c r="F609" s="57"/>
      <c r="G609" s="57"/>
      <c r="H609" s="57"/>
      <c r="I609" s="47"/>
      <c r="J609" s="47"/>
      <c r="K609" s="57" t="s">
        <v>186</v>
      </c>
      <c r="L609" s="47">
        <v>30</v>
      </c>
      <c r="M609" s="47">
        <v>0</v>
      </c>
      <c r="N609" s="54">
        <f>SUM(L616-M616)</f>
        <v>30</v>
      </c>
      <c r="O609" s="48"/>
      <c r="P609" s="47"/>
      <c r="Q609" s="49"/>
    </row>
    <row r="610" spans="2:17" x14ac:dyDescent="0.2">
      <c r="B610" s="50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55"/>
      <c r="O610" s="45"/>
      <c r="P610" s="44"/>
      <c r="Q610" s="51"/>
    </row>
    <row r="611" spans="2:17" x14ac:dyDescent="0.2">
      <c r="B611" s="50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55"/>
      <c r="O611" s="44"/>
      <c r="P611" s="44"/>
      <c r="Q611" s="72"/>
    </row>
    <row r="612" spans="2:17" x14ac:dyDescent="0.2">
      <c r="B612" s="50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55"/>
      <c r="O612" s="44"/>
      <c r="P612" s="44"/>
      <c r="Q612" s="51"/>
    </row>
    <row r="613" spans="2:17" x14ac:dyDescent="0.2">
      <c r="B613" s="50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55"/>
      <c r="O613" s="44"/>
      <c r="P613" s="44"/>
      <c r="Q613" s="51"/>
    </row>
    <row r="614" spans="2:17" x14ac:dyDescent="0.2">
      <c r="B614" s="50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55"/>
      <c r="O614" s="44"/>
      <c r="P614" s="44"/>
      <c r="Q614" s="51"/>
    </row>
    <row r="615" spans="2:17" x14ac:dyDescent="0.2">
      <c r="B615" s="50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55"/>
      <c r="O615" s="44"/>
      <c r="P615" s="44"/>
      <c r="Q615" s="51"/>
    </row>
    <row r="616" spans="2:17" x14ac:dyDescent="0.2">
      <c r="B616" s="58"/>
      <c r="C616" s="59"/>
      <c r="D616" s="59"/>
      <c r="E616" s="59"/>
      <c r="F616" s="59"/>
      <c r="G616" s="59"/>
      <c r="H616" s="59"/>
      <c r="I616" s="59"/>
      <c r="J616" s="59"/>
      <c r="K616" s="59"/>
      <c r="L616" s="59">
        <f>SUM(L609:L615)</f>
        <v>30</v>
      </c>
      <c r="M616" s="59">
        <f>SUM(M609:M615)</f>
        <v>0</v>
      </c>
      <c r="N616" s="60"/>
      <c r="O616" s="59"/>
      <c r="P616" s="59"/>
      <c r="Q616" s="62"/>
    </row>
    <row r="617" spans="2:17" x14ac:dyDescent="0.2">
      <c r="B617" s="65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7"/>
      <c r="O617" s="66"/>
      <c r="P617" s="66"/>
      <c r="Q617" s="68"/>
    </row>
    <row r="618" spans="2:17" x14ac:dyDescent="0.2">
      <c r="B618" s="42" t="s">
        <v>0</v>
      </c>
      <c r="C618" s="42" t="s">
        <v>26</v>
      </c>
      <c r="D618" s="42" t="s">
        <v>1</v>
      </c>
      <c r="E618" s="42" t="s">
        <v>2</v>
      </c>
      <c r="F618" s="42" t="s">
        <v>3</v>
      </c>
      <c r="G618" s="42" t="s">
        <v>4</v>
      </c>
      <c r="H618" s="42" t="s">
        <v>5</v>
      </c>
      <c r="I618" s="42" t="s">
        <v>6</v>
      </c>
      <c r="J618" s="42" t="s">
        <v>7</v>
      </c>
      <c r="K618" s="42" t="s">
        <v>8</v>
      </c>
      <c r="L618" s="42"/>
      <c r="M618" s="42"/>
      <c r="N618" s="52" t="s">
        <v>9</v>
      </c>
      <c r="O618" s="42"/>
      <c r="P618" s="42" t="s">
        <v>10</v>
      </c>
      <c r="Q618" s="42"/>
    </row>
    <row r="619" spans="2:17" x14ac:dyDescent="0.2">
      <c r="B619" s="43"/>
      <c r="C619" s="43"/>
      <c r="D619" s="43"/>
      <c r="E619" s="43" t="s">
        <v>11</v>
      </c>
      <c r="F619" s="43"/>
      <c r="G619" s="43"/>
      <c r="H619" s="43"/>
      <c r="I619" s="43"/>
      <c r="J619" s="43"/>
      <c r="K619" s="43" t="s">
        <v>12</v>
      </c>
      <c r="L619" s="43" t="s">
        <v>13</v>
      </c>
      <c r="M619" s="43" t="s">
        <v>14</v>
      </c>
      <c r="N619" s="53" t="s">
        <v>15</v>
      </c>
      <c r="O619" s="43" t="s">
        <v>16</v>
      </c>
      <c r="P619" s="43"/>
      <c r="Q619" s="43" t="s">
        <v>17</v>
      </c>
    </row>
    <row r="620" spans="2:17" x14ac:dyDescent="0.2">
      <c r="B620" s="100" t="s">
        <v>219</v>
      </c>
      <c r="C620" s="100" t="s">
        <v>220</v>
      </c>
      <c r="D620" s="57"/>
      <c r="E620" s="57"/>
      <c r="F620" s="57"/>
      <c r="G620" s="57"/>
      <c r="H620" s="57"/>
      <c r="I620" s="47"/>
      <c r="J620" s="47"/>
      <c r="K620" s="57" t="s">
        <v>186</v>
      </c>
      <c r="L620" s="47">
        <v>20</v>
      </c>
      <c r="M620" s="47">
        <v>0</v>
      </c>
      <c r="N620" s="54">
        <f>SUM(L627-M627)</f>
        <v>20</v>
      </c>
      <c r="O620" s="48"/>
      <c r="P620" s="47"/>
      <c r="Q620" s="49"/>
    </row>
    <row r="621" spans="2:17" x14ac:dyDescent="0.2">
      <c r="B621" s="50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55"/>
      <c r="O621" s="45"/>
      <c r="P621" s="44"/>
      <c r="Q621" s="51"/>
    </row>
    <row r="622" spans="2:17" x14ac:dyDescent="0.2">
      <c r="B622" s="50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55"/>
      <c r="O622" s="44"/>
      <c r="P622" s="44"/>
      <c r="Q622" s="72"/>
    </row>
    <row r="623" spans="2:17" x14ac:dyDescent="0.2">
      <c r="B623" s="50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55"/>
      <c r="O623" s="44"/>
      <c r="P623" s="44"/>
      <c r="Q623" s="51"/>
    </row>
    <row r="624" spans="2:17" x14ac:dyDescent="0.2">
      <c r="B624" s="50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55"/>
      <c r="O624" s="44"/>
      <c r="P624" s="44"/>
      <c r="Q624" s="51"/>
    </row>
    <row r="625" spans="2:17" x14ac:dyDescent="0.2">
      <c r="B625" s="50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55"/>
      <c r="O625" s="44"/>
      <c r="P625" s="44"/>
      <c r="Q625" s="51"/>
    </row>
    <row r="626" spans="2:17" x14ac:dyDescent="0.2">
      <c r="B626" s="50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55"/>
      <c r="O626" s="44"/>
      <c r="P626" s="44"/>
      <c r="Q626" s="51"/>
    </row>
    <row r="627" spans="2:17" x14ac:dyDescent="0.2">
      <c r="B627" s="58"/>
      <c r="C627" s="59"/>
      <c r="D627" s="59"/>
      <c r="E627" s="59"/>
      <c r="F627" s="59"/>
      <c r="G627" s="59"/>
      <c r="H627" s="59"/>
      <c r="I627" s="59"/>
      <c r="J627" s="59"/>
      <c r="K627" s="59"/>
      <c r="L627" s="59">
        <f>SUM(L620:L626)</f>
        <v>20</v>
      </c>
      <c r="M627" s="59">
        <f>SUM(M620:M626)</f>
        <v>0</v>
      </c>
      <c r="N627" s="60"/>
      <c r="O627" s="59"/>
      <c r="P627" s="59"/>
      <c r="Q627" s="62"/>
    </row>
    <row r="628" spans="2:17" x14ac:dyDescent="0.2">
      <c r="B628" s="42" t="s">
        <v>0</v>
      </c>
      <c r="C628" s="42" t="s">
        <v>26</v>
      </c>
      <c r="D628" s="42" t="s">
        <v>1</v>
      </c>
      <c r="E628" s="42" t="s">
        <v>2</v>
      </c>
      <c r="F628" s="42" t="s">
        <v>3</v>
      </c>
      <c r="G628" s="42" t="s">
        <v>4</v>
      </c>
      <c r="H628" s="42" t="s">
        <v>5</v>
      </c>
      <c r="I628" s="42" t="s">
        <v>6</v>
      </c>
      <c r="J628" s="42" t="s">
        <v>7</v>
      </c>
      <c r="K628" s="42" t="s">
        <v>8</v>
      </c>
      <c r="L628" s="42"/>
      <c r="M628" s="42"/>
      <c r="N628" s="52" t="s">
        <v>9</v>
      </c>
      <c r="O628" s="42"/>
      <c r="P628" s="42" t="s">
        <v>10</v>
      </c>
      <c r="Q628" s="42"/>
    </row>
    <row r="629" spans="2:17" x14ac:dyDescent="0.2">
      <c r="B629" s="43"/>
      <c r="C629" s="43"/>
      <c r="D629" s="43"/>
      <c r="E629" s="43" t="s">
        <v>11</v>
      </c>
      <c r="F629" s="43"/>
      <c r="G629" s="43"/>
      <c r="H629" s="43"/>
      <c r="I629" s="43"/>
      <c r="J629" s="43"/>
      <c r="K629" s="43" t="s">
        <v>12</v>
      </c>
      <c r="L629" s="43" t="s">
        <v>13</v>
      </c>
      <c r="M629" s="43" t="s">
        <v>14</v>
      </c>
      <c r="N629" s="53" t="s">
        <v>15</v>
      </c>
      <c r="O629" s="43" t="s">
        <v>16</v>
      </c>
      <c r="P629" s="43"/>
      <c r="Q629" s="43" t="s">
        <v>17</v>
      </c>
    </row>
    <row r="630" spans="2:17" x14ac:dyDescent="0.2">
      <c r="B630" s="100" t="s">
        <v>97</v>
      </c>
      <c r="C630" s="100" t="s">
        <v>98</v>
      </c>
      <c r="D630" s="57"/>
      <c r="E630" s="57"/>
      <c r="F630" s="57"/>
      <c r="G630" s="57"/>
      <c r="H630" s="57"/>
      <c r="I630" s="47"/>
      <c r="J630" s="47"/>
      <c r="K630" s="57" t="s">
        <v>186</v>
      </c>
      <c r="L630" s="47">
        <v>20</v>
      </c>
      <c r="M630" s="47">
        <v>0</v>
      </c>
      <c r="N630" s="213">
        <f>SUM(L637-M637)</f>
        <v>20</v>
      </c>
      <c r="O630" s="48"/>
      <c r="P630" s="47"/>
      <c r="Q630" s="49"/>
    </row>
    <row r="631" spans="2:17" x14ac:dyDescent="0.2">
      <c r="B631" s="50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214"/>
      <c r="O631" s="45"/>
      <c r="P631" s="44"/>
      <c r="Q631" s="51"/>
    </row>
    <row r="632" spans="2:17" x14ac:dyDescent="0.2">
      <c r="B632" s="50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214"/>
      <c r="O632" s="44"/>
      <c r="P632" s="44"/>
      <c r="Q632" s="72"/>
    </row>
    <row r="633" spans="2:17" x14ac:dyDescent="0.2">
      <c r="B633" s="50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214"/>
      <c r="O633" s="44"/>
      <c r="P633" s="44"/>
      <c r="Q633" s="51"/>
    </row>
    <row r="634" spans="2:17" x14ac:dyDescent="0.2">
      <c r="B634" s="50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214"/>
      <c r="O634" s="44"/>
      <c r="P634" s="44"/>
      <c r="Q634" s="51"/>
    </row>
    <row r="635" spans="2:17" x14ac:dyDescent="0.2">
      <c r="B635" s="50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214"/>
      <c r="O635" s="44"/>
      <c r="P635" s="44"/>
      <c r="Q635" s="51"/>
    </row>
    <row r="636" spans="2:17" x14ac:dyDescent="0.2">
      <c r="B636" s="50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215"/>
      <c r="O636" s="44"/>
      <c r="P636" s="44"/>
      <c r="Q636" s="51"/>
    </row>
    <row r="637" spans="2:17" hidden="1" x14ac:dyDescent="0.2">
      <c r="B637" s="58"/>
      <c r="C637" s="59"/>
      <c r="D637" s="59"/>
      <c r="E637" s="59"/>
      <c r="F637" s="59"/>
      <c r="G637" s="59"/>
      <c r="H637" s="59"/>
      <c r="I637" s="59"/>
      <c r="J637" s="59"/>
      <c r="K637" s="59"/>
      <c r="L637" s="59">
        <f>SUM(L630:L636)</f>
        <v>20</v>
      </c>
      <c r="M637" s="59">
        <f>SUM(M630:M636)</f>
        <v>0</v>
      </c>
      <c r="N637" s="60"/>
      <c r="O637" s="59"/>
      <c r="P637" s="59"/>
      <c r="Q637" s="62"/>
    </row>
    <row r="638" spans="2:17" ht="15.75" thickBot="1" x14ac:dyDescent="0.25">
      <c r="B638" s="65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7"/>
      <c r="O638" s="66"/>
      <c r="P638" s="66"/>
      <c r="Q638" s="68"/>
    </row>
    <row r="639" spans="2:17" x14ac:dyDescent="0.2">
      <c r="B639" s="42" t="s">
        <v>0</v>
      </c>
      <c r="C639" s="42" t="s">
        <v>26</v>
      </c>
      <c r="D639" s="42" t="s">
        <v>1</v>
      </c>
      <c r="E639" s="42" t="s">
        <v>2</v>
      </c>
      <c r="F639" s="42" t="s">
        <v>3</v>
      </c>
      <c r="G639" s="42" t="s">
        <v>4</v>
      </c>
      <c r="H639" s="42" t="s">
        <v>5</v>
      </c>
      <c r="I639" s="42" t="s">
        <v>6</v>
      </c>
      <c r="J639" s="42" t="s">
        <v>7</v>
      </c>
      <c r="K639" s="42" t="s">
        <v>8</v>
      </c>
      <c r="L639" s="42"/>
      <c r="M639" s="42"/>
      <c r="N639" s="52" t="s">
        <v>9</v>
      </c>
      <c r="O639" s="42"/>
      <c r="P639" s="42" t="s">
        <v>10</v>
      </c>
      <c r="Q639" s="42"/>
    </row>
    <row r="640" spans="2:17" x14ac:dyDescent="0.2">
      <c r="B640" s="43"/>
      <c r="C640" s="43"/>
      <c r="D640" s="43"/>
      <c r="E640" s="43" t="s">
        <v>11</v>
      </c>
      <c r="F640" s="43"/>
      <c r="G640" s="43"/>
      <c r="H640" s="43"/>
      <c r="I640" s="43"/>
      <c r="J640" s="43"/>
      <c r="K640" s="43" t="s">
        <v>12</v>
      </c>
      <c r="L640" s="43" t="s">
        <v>13</v>
      </c>
      <c r="M640" s="43" t="s">
        <v>14</v>
      </c>
      <c r="N640" s="53" t="s">
        <v>15</v>
      </c>
      <c r="O640" s="43" t="s">
        <v>16</v>
      </c>
      <c r="P640" s="43"/>
      <c r="Q640" s="43" t="s">
        <v>17</v>
      </c>
    </row>
    <row r="641" spans="2:17" x14ac:dyDescent="0.2">
      <c r="B641" s="102" t="s">
        <v>221</v>
      </c>
      <c r="C641" s="102" t="s">
        <v>222</v>
      </c>
      <c r="D641" s="57"/>
      <c r="E641" s="57"/>
      <c r="F641" s="57"/>
      <c r="G641" s="57"/>
      <c r="H641" s="57"/>
      <c r="I641" s="47"/>
      <c r="J641" s="47"/>
      <c r="K641" s="57" t="s">
        <v>223</v>
      </c>
      <c r="L641" s="47">
        <v>300</v>
      </c>
      <c r="M641" s="47">
        <v>0</v>
      </c>
      <c r="N641" s="210">
        <f>SUM(L648-M648)</f>
        <v>276</v>
      </c>
      <c r="O641" s="48"/>
      <c r="P641" s="47"/>
      <c r="Q641" s="49"/>
    </row>
    <row r="642" spans="2:17" x14ac:dyDescent="0.2">
      <c r="B642" s="50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>
        <v>24</v>
      </c>
      <c r="N642" s="211"/>
      <c r="O642" s="45"/>
      <c r="P642" s="76" t="s">
        <v>79</v>
      </c>
      <c r="Q642" s="124" t="s">
        <v>224</v>
      </c>
    </row>
    <row r="643" spans="2:17" x14ac:dyDescent="0.2">
      <c r="B643" s="50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11"/>
      <c r="O643" s="44"/>
      <c r="P643" s="44"/>
      <c r="Q643" s="72"/>
    </row>
    <row r="644" spans="2:17" x14ac:dyDescent="0.2">
      <c r="B644" s="50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211"/>
      <c r="O644" s="44"/>
      <c r="P644" s="44"/>
      <c r="Q644" s="51"/>
    </row>
    <row r="645" spans="2:17" x14ac:dyDescent="0.2">
      <c r="B645" s="50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211"/>
      <c r="O645" s="44"/>
      <c r="P645" s="44"/>
      <c r="Q645" s="51"/>
    </row>
    <row r="646" spans="2:17" x14ac:dyDescent="0.2">
      <c r="B646" s="50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211"/>
      <c r="O646" s="44"/>
      <c r="P646" s="44"/>
      <c r="Q646" s="51"/>
    </row>
    <row r="647" spans="2:17" x14ac:dyDescent="0.2">
      <c r="B647" s="50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212"/>
      <c r="O647" s="44"/>
      <c r="P647" s="44"/>
      <c r="Q647" s="51"/>
    </row>
    <row r="648" spans="2:17" x14ac:dyDescent="0.2">
      <c r="B648" s="58"/>
      <c r="C648" s="59"/>
      <c r="D648" s="59"/>
      <c r="E648" s="59"/>
      <c r="F648" s="59"/>
      <c r="G648" s="59"/>
      <c r="H648" s="59"/>
      <c r="I648" s="59"/>
      <c r="J648" s="59"/>
      <c r="K648" s="59"/>
      <c r="L648" s="59">
        <f>SUM(L641:L647)</f>
        <v>300</v>
      </c>
      <c r="M648" s="59">
        <f>SUM(M641:M647)</f>
        <v>24</v>
      </c>
      <c r="N648" s="60"/>
      <c r="O648" s="59"/>
      <c r="P648" s="59"/>
      <c r="Q648" s="62"/>
    </row>
    <row r="649" spans="2:17" x14ac:dyDescent="0.2">
      <c r="B649" s="43"/>
      <c r="C649" s="43"/>
      <c r="D649" s="43"/>
      <c r="E649" s="43" t="s">
        <v>11</v>
      </c>
      <c r="F649" s="43"/>
      <c r="G649" s="43"/>
      <c r="H649" s="43"/>
      <c r="I649" s="43"/>
      <c r="J649" s="43"/>
      <c r="K649" s="43" t="s">
        <v>12</v>
      </c>
      <c r="L649" s="43" t="s">
        <v>13</v>
      </c>
      <c r="M649" s="43" t="s">
        <v>14</v>
      </c>
      <c r="N649" s="53" t="s">
        <v>15</v>
      </c>
      <c r="O649" s="43" t="s">
        <v>16</v>
      </c>
      <c r="P649" s="43"/>
      <c r="Q649" s="43" t="s">
        <v>17</v>
      </c>
    </row>
    <row r="650" spans="2:17" ht="27.75" thickBot="1" x14ac:dyDescent="0.25">
      <c r="B650" s="102" t="s">
        <v>225</v>
      </c>
      <c r="C650" s="103" t="s">
        <v>226</v>
      </c>
      <c r="D650" s="57"/>
      <c r="E650" s="57"/>
      <c r="F650" s="57"/>
      <c r="G650" s="57"/>
      <c r="H650" s="57"/>
      <c r="I650" s="47"/>
      <c r="J650" s="47"/>
      <c r="K650" s="57" t="s">
        <v>227</v>
      </c>
      <c r="L650" s="47">
        <v>100</v>
      </c>
      <c r="M650" s="47">
        <v>0</v>
      </c>
      <c r="N650" s="54">
        <f>SUM(L657-M657)</f>
        <v>64</v>
      </c>
      <c r="O650" s="48"/>
      <c r="P650" s="47"/>
      <c r="Q650" s="49"/>
    </row>
    <row r="651" spans="2:17" x14ac:dyDescent="0.2">
      <c r="B651" s="50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>
        <v>24</v>
      </c>
      <c r="N651" s="55"/>
      <c r="O651" s="45"/>
      <c r="P651" s="75" t="s">
        <v>79</v>
      </c>
      <c r="Q651" s="124" t="s">
        <v>228</v>
      </c>
    </row>
    <row r="652" spans="2:17" x14ac:dyDescent="0.2">
      <c r="B652" s="50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>
        <v>12</v>
      </c>
      <c r="N652" s="55"/>
      <c r="O652" s="44"/>
      <c r="P652" s="76" t="s">
        <v>79</v>
      </c>
      <c r="Q652" s="122" t="s">
        <v>224</v>
      </c>
    </row>
    <row r="653" spans="2:17" x14ac:dyDescent="0.2">
      <c r="B653" s="50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55"/>
      <c r="O653" s="44"/>
      <c r="P653" s="76"/>
      <c r="Q653" s="124"/>
    </row>
    <row r="654" spans="2:17" x14ac:dyDescent="0.2">
      <c r="B654" s="50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55"/>
      <c r="O654" s="44"/>
      <c r="P654" s="76"/>
      <c r="Q654" s="124"/>
    </row>
    <row r="655" spans="2:17" x14ac:dyDescent="0.2">
      <c r="B655" s="50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55"/>
      <c r="O655" s="44"/>
      <c r="P655" s="44"/>
      <c r="Q655" s="51"/>
    </row>
    <row r="656" spans="2:17" x14ac:dyDescent="0.2">
      <c r="B656" s="50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55"/>
      <c r="O656" s="44"/>
      <c r="P656" s="44"/>
      <c r="Q656" s="51"/>
    </row>
    <row r="657" spans="2:17" x14ac:dyDescent="0.2">
      <c r="B657" s="58"/>
      <c r="C657" s="59"/>
      <c r="D657" s="59"/>
      <c r="E657" s="59"/>
      <c r="F657" s="59"/>
      <c r="G657" s="59"/>
      <c r="H657" s="59"/>
      <c r="I657" s="59"/>
      <c r="J657" s="59"/>
      <c r="K657" s="59"/>
      <c r="L657" s="59">
        <f>SUM(L650:L656)</f>
        <v>100</v>
      </c>
      <c r="M657" s="59">
        <f>SUM(M650:M656)</f>
        <v>36</v>
      </c>
      <c r="N657" s="60"/>
      <c r="O657" s="59"/>
      <c r="P657" s="59"/>
      <c r="Q657" s="62"/>
    </row>
    <row r="658" spans="2:17" x14ac:dyDescent="0.2">
      <c r="B658" s="65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7"/>
      <c r="O658" s="66"/>
      <c r="P658" s="66"/>
      <c r="Q658" s="68"/>
    </row>
    <row r="659" spans="2:17" x14ac:dyDescent="0.2">
      <c r="B659" s="42" t="s">
        <v>0</v>
      </c>
      <c r="C659" s="42" t="s">
        <v>26</v>
      </c>
      <c r="D659" s="42" t="s">
        <v>1</v>
      </c>
      <c r="E659" s="42" t="s">
        <v>2</v>
      </c>
      <c r="F659" s="42" t="s">
        <v>3</v>
      </c>
      <c r="G659" s="42" t="s">
        <v>4</v>
      </c>
      <c r="H659" s="42" t="s">
        <v>5</v>
      </c>
      <c r="I659" s="42" t="s">
        <v>6</v>
      </c>
      <c r="J659" s="42" t="s">
        <v>7</v>
      </c>
      <c r="K659" s="42" t="s">
        <v>8</v>
      </c>
      <c r="L659" s="42"/>
      <c r="M659" s="42"/>
      <c r="N659" s="52" t="s">
        <v>9</v>
      </c>
      <c r="O659" s="42"/>
      <c r="P659" s="42" t="s">
        <v>10</v>
      </c>
      <c r="Q659" s="42"/>
    </row>
    <row r="660" spans="2:17" x14ac:dyDescent="0.2">
      <c r="B660" s="43"/>
      <c r="C660" s="43"/>
      <c r="D660" s="43"/>
      <c r="E660" s="43" t="s">
        <v>11</v>
      </c>
      <c r="F660" s="43"/>
      <c r="G660" s="43"/>
      <c r="H660" s="43"/>
      <c r="I660" s="43"/>
      <c r="J660" s="43"/>
      <c r="K660" s="43" t="s">
        <v>12</v>
      </c>
      <c r="L660" s="43" t="s">
        <v>13</v>
      </c>
      <c r="M660" s="43" t="s">
        <v>14</v>
      </c>
      <c r="N660" s="53" t="s">
        <v>15</v>
      </c>
      <c r="O660" s="43" t="s">
        <v>16</v>
      </c>
      <c r="P660" s="43"/>
      <c r="Q660" s="43" t="s">
        <v>17</v>
      </c>
    </row>
    <row r="661" spans="2:17" ht="27.75" thickBot="1" x14ac:dyDescent="0.25">
      <c r="B661" s="102" t="s">
        <v>225</v>
      </c>
      <c r="C661" s="103" t="s">
        <v>229</v>
      </c>
      <c r="D661" s="57"/>
      <c r="E661" s="57"/>
      <c r="F661" s="57"/>
      <c r="G661" s="57"/>
      <c r="H661" s="57"/>
      <c r="I661" s="47"/>
      <c r="J661" s="47"/>
      <c r="K661" s="57" t="s">
        <v>227</v>
      </c>
      <c r="L661" s="47">
        <v>100</v>
      </c>
      <c r="M661" s="47">
        <v>0</v>
      </c>
      <c r="N661" s="54">
        <f>SUM(L668-M668)</f>
        <v>76</v>
      </c>
      <c r="O661" s="48"/>
      <c r="P661" s="47"/>
      <c r="Q661" s="49"/>
    </row>
    <row r="662" spans="2:17" x14ac:dyDescent="0.2">
      <c r="B662" s="50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>
        <v>12</v>
      </c>
      <c r="N662" s="55"/>
      <c r="O662" s="45"/>
      <c r="P662" s="75" t="s">
        <v>79</v>
      </c>
      <c r="Q662" s="124" t="s">
        <v>228</v>
      </c>
    </row>
    <row r="663" spans="2:17" x14ac:dyDescent="0.2">
      <c r="B663" s="50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>
        <v>12</v>
      </c>
      <c r="N663" s="55"/>
      <c r="O663" s="44"/>
      <c r="P663" s="76" t="s">
        <v>79</v>
      </c>
      <c r="Q663" s="122" t="s">
        <v>224</v>
      </c>
    </row>
    <row r="664" spans="2:17" x14ac:dyDescent="0.2">
      <c r="B664" s="50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55"/>
      <c r="O664" s="44"/>
      <c r="P664" s="76"/>
      <c r="Q664" s="124"/>
    </row>
    <row r="665" spans="2:17" x14ac:dyDescent="0.2">
      <c r="B665" s="50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55"/>
      <c r="O665" s="44"/>
      <c r="P665" s="44"/>
      <c r="Q665" s="51"/>
    </row>
    <row r="666" spans="2:17" x14ac:dyDescent="0.2">
      <c r="B666" s="50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55"/>
      <c r="O666" s="44"/>
      <c r="P666" s="44"/>
      <c r="Q666" s="51"/>
    </row>
    <row r="667" spans="2:17" x14ac:dyDescent="0.2">
      <c r="B667" s="50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55"/>
      <c r="O667" s="44"/>
      <c r="P667" s="44"/>
      <c r="Q667" s="51"/>
    </row>
    <row r="668" spans="2:17" x14ac:dyDescent="0.2">
      <c r="B668" s="58"/>
      <c r="C668" s="59"/>
      <c r="D668" s="59"/>
      <c r="E668" s="59"/>
      <c r="F668" s="59"/>
      <c r="G668" s="59"/>
      <c r="H668" s="59"/>
      <c r="I668" s="59"/>
      <c r="J668" s="59"/>
      <c r="K668" s="59"/>
      <c r="L668" s="59">
        <f>SUM(L661:L667)</f>
        <v>100</v>
      </c>
      <c r="M668" s="59">
        <f>SUM(M661:M667)</f>
        <v>24</v>
      </c>
      <c r="N668" s="60"/>
      <c r="O668" s="59"/>
      <c r="P668" s="59"/>
      <c r="Q668" s="62"/>
    </row>
    <row r="669" spans="2:17" x14ac:dyDescent="0.2">
      <c r="B669" s="42" t="s">
        <v>0</v>
      </c>
      <c r="C669" s="42" t="s">
        <v>26</v>
      </c>
      <c r="D669" s="42" t="s">
        <v>1</v>
      </c>
      <c r="E669" s="42" t="s">
        <v>2</v>
      </c>
      <c r="F669" s="42" t="s">
        <v>3</v>
      </c>
      <c r="G669" s="42" t="s">
        <v>4</v>
      </c>
      <c r="H669" s="42" t="s">
        <v>5</v>
      </c>
      <c r="I669" s="42" t="s">
        <v>6</v>
      </c>
      <c r="J669" s="42" t="s">
        <v>7</v>
      </c>
      <c r="K669" s="42" t="s">
        <v>8</v>
      </c>
      <c r="L669" s="42"/>
      <c r="M669" s="42"/>
      <c r="N669" s="52" t="s">
        <v>9</v>
      </c>
      <c r="O669" s="42"/>
      <c r="P669" s="42" t="s">
        <v>10</v>
      </c>
      <c r="Q669" s="42"/>
    </row>
    <row r="670" spans="2:17" ht="15.75" thickBot="1" x14ac:dyDescent="0.25">
      <c r="B670" s="43"/>
      <c r="C670" s="43"/>
      <c r="D670" s="43"/>
      <c r="E670" s="43" t="s">
        <v>11</v>
      </c>
      <c r="F670" s="43"/>
      <c r="G670" s="43"/>
      <c r="H670" s="43"/>
      <c r="I670" s="43"/>
      <c r="J670" s="43"/>
      <c r="K670" s="43" t="s">
        <v>12</v>
      </c>
      <c r="L670" s="43" t="s">
        <v>13</v>
      </c>
      <c r="M670" s="43" t="s">
        <v>14</v>
      </c>
      <c r="N670" s="53" t="s">
        <v>15</v>
      </c>
      <c r="O670" s="43" t="s">
        <v>16</v>
      </c>
      <c r="P670" s="43"/>
      <c r="Q670" s="43" t="s">
        <v>17</v>
      </c>
    </row>
    <row r="671" spans="2:17" ht="41.25" thickBot="1" x14ac:dyDescent="0.25">
      <c r="B671" s="102" t="s">
        <v>225</v>
      </c>
      <c r="C671" s="121" t="s">
        <v>230</v>
      </c>
      <c r="D671" s="121"/>
      <c r="E671" s="57"/>
      <c r="F671" s="57"/>
      <c r="G671" s="57"/>
      <c r="H671" s="57"/>
      <c r="I671" s="47"/>
      <c r="J671" s="47"/>
      <c r="K671" s="57" t="s">
        <v>227</v>
      </c>
      <c r="L671" s="47">
        <v>100</v>
      </c>
      <c r="M671" s="47">
        <v>0</v>
      </c>
      <c r="N671" s="54">
        <f>SUM(L678-M678)</f>
        <v>92</v>
      </c>
      <c r="O671" s="48"/>
      <c r="P671" s="47"/>
      <c r="Q671" s="49"/>
    </row>
    <row r="672" spans="2:17" x14ac:dyDescent="0.2">
      <c r="B672" s="50"/>
      <c r="C672"/>
      <c r="D672"/>
      <c r="E672" s="44"/>
      <c r="F672" s="44"/>
      <c r="G672" s="44"/>
      <c r="H672" s="44"/>
      <c r="I672" s="44"/>
      <c r="J672" s="44"/>
      <c r="K672" s="44"/>
      <c r="L672" s="44"/>
      <c r="M672" s="44">
        <v>8</v>
      </c>
      <c r="N672" s="55"/>
      <c r="O672" s="45"/>
      <c r="P672" s="75" t="s">
        <v>231</v>
      </c>
      <c r="Q672" s="124" t="s">
        <v>208</v>
      </c>
    </row>
    <row r="673" spans="2:17" x14ac:dyDescent="0.2">
      <c r="B673" s="50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55"/>
      <c r="O673" s="44"/>
      <c r="P673" s="44"/>
      <c r="Q673" s="123"/>
    </row>
    <row r="674" spans="2:17" x14ac:dyDescent="0.2">
      <c r="B674" s="50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55"/>
      <c r="O674" s="44"/>
      <c r="P674" s="44"/>
      <c r="Q674" s="51"/>
    </row>
    <row r="675" spans="2:17" x14ac:dyDescent="0.2">
      <c r="B675" s="50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55"/>
      <c r="O675" s="44"/>
      <c r="P675" s="44"/>
      <c r="Q675" s="51"/>
    </row>
    <row r="676" spans="2:17" x14ac:dyDescent="0.2">
      <c r="B676" s="50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55"/>
      <c r="O676" s="44"/>
      <c r="P676" s="44"/>
      <c r="Q676" s="51"/>
    </row>
    <row r="677" spans="2:17" x14ac:dyDescent="0.2">
      <c r="B677" s="50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55"/>
      <c r="O677" s="44"/>
      <c r="P677" s="44"/>
      <c r="Q677" s="51"/>
    </row>
    <row r="678" spans="2:17" x14ac:dyDescent="0.2">
      <c r="B678" s="58"/>
      <c r="C678" s="59"/>
      <c r="D678" s="59"/>
      <c r="E678" s="59"/>
      <c r="F678" s="59"/>
      <c r="G678" s="59"/>
      <c r="H678" s="59"/>
      <c r="I678" s="59"/>
      <c r="J678" s="59"/>
      <c r="K678" s="59"/>
      <c r="L678" s="59">
        <f>SUM(L671:L677)</f>
        <v>100</v>
      </c>
      <c r="M678" s="59">
        <f>SUM(M671:M677)</f>
        <v>8</v>
      </c>
      <c r="N678" s="60"/>
      <c r="O678" s="59"/>
      <c r="P678" s="59"/>
      <c r="Q678" s="62"/>
    </row>
    <row r="679" spans="2:17" x14ac:dyDescent="0.2">
      <c r="B679" s="65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7"/>
      <c r="O679" s="66"/>
      <c r="P679" s="66"/>
      <c r="Q679" s="68"/>
    </row>
    <row r="680" spans="2:17" x14ac:dyDescent="0.2">
      <c r="B680" s="42" t="s">
        <v>0</v>
      </c>
      <c r="C680" s="42" t="s">
        <v>26</v>
      </c>
      <c r="D680" s="42" t="s">
        <v>1</v>
      </c>
      <c r="E680" s="42" t="s">
        <v>2</v>
      </c>
      <c r="F680" s="42" t="s">
        <v>3</v>
      </c>
      <c r="G680" s="42" t="s">
        <v>4</v>
      </c>
      <c r="H680" s="42" t="s">
        <v>5</v>
      </c>
      <c r="I680" s="42" t="s">
        <v>6</v>
      </c>
      <c r="J680" s="42" t="s">
        <v>7</v>
      </c>
      <c r="K680" s="42" t="s">
        <v>8</v>
      </c>
      <c r="L680" s="42"/>
      <c r="M680" s="42"/>
      <c r="N680" s="52" t="s">
        <v>9</v>
      </c>
      <c r="O680" s="42"/>
      <c r="P680" s="42" t="s">
        <v>10</v>
      </c>
      <c r="Q680" s="42"/>
    </row>
    <row r="681" spans="2:17" x14ac:dyDescent="0.2">
      <c r="B681" s="43"/>
      <c r="C681" s="43"/>
      <c r="D681" s="43"/>
      <c r="E681" s="43" t="s">
        <v>11</v>
      </c>
      <c r="F681" s="43"/>
      <c r="G681" s="43"/>
      <c r="H681" s="43"/>
      <c r="I681" s="43"/>
      <c r="J681" s="43"/>
      <c r="K681" s="43" t="s">
        <v>12</v>
      </c>
      <c r="L681" s="43" t="s">
        <v>13</v>
      </c>
      <c r="M681" s="43" t="s">
        <v>14</v>
      </c>
      <c r="N681" s="53" t="s">
        <v>15</v>
      </c>
      <c r="O681" s="43" t="s">
        <v>16</v>
      </c>
      <c r="P681" s="43"/>
      <c r="Q681" s="43" t="s">
        <v>17</v>
      </c>
    </row>
    <row r="682" spans="2:17" ht="27" x14ac:dyDescent="0.2">
      <c r="B682" s="102" t="s">
        <v>225</v>
      </c>
      <c r="C682" s="103" t="s">
        <v>232</v>
      </c>
      <c r="D682" s="57"/>
      <c r="E682" s="57"/>
      <c r="F682" s="57"/>
      <c r="G682" s="57"/>
      <c r="H682" s="57"/>
      <c r="I682" s="47"/>
      <c r="J682" s="47"/>
      <c r="K682" s="57" t="s">
        <v>227</v>
      </c>
      <c r="L682" s="47">
        <v>100</v>
      </c>
      <c r="M682" s="47">
        <v>0</v>
      </c>
      <c r="N682" s="54">
        <f>SUM(L689-M689)</f>
        <v>88</v>
      </c>
      <c r="O682" s="48"/>
      <c r="P682" s="47"/>
      <c r="Q682" s="49"/>
    </row>
    <row r="683" spans="2:17" x14ac:dyDescent="0.2">
      <c r="B683" s="50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>
        <v>12</v>
      </c>
      <c r="N683" s="55"/>
      <c r="O683" s="45"/>
      <c r="P683" s="124" t="s">
        <v>79</v>
      </c>
      <c r="Q683" s="124" t="s">
        <v>228</v>
      </c>
    </row>
    <row r="684" spans="2:17" x14ac:dyDescent="0.2">
      <c r="B684" s="50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55"/>
      <c r="O684" s="44"/>
      <c r="P684" s="44"/>
      <c r="Q684" s="123"/>
    </row>
    <row r="685" spans="2:17" x14ac:dyDescent="0.2">
      <c r="B685" s="50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55"/>
      <c r="O685" s="44"/>
      <c r="P685" s="44"/>
      <c r="Q685" s="51"/>
    </row>
    <row r="686" spans="2:17" x14ac:dyDescent="0.2">
      <c r="B686" s="50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55"/>
      <c r="O686" s="44"/>
      <c r="P686" s="44"/>
      <c r="Q686" s="51"/>
    </row>
    <row r="687" spans="2:17" x14ac:dyDescent="0.2">
      <c r="B687" s="50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55"/>
      <c r="O687" s="44"/>
      <c r="P687" s="44"/>
      <c r="Q687" s="51"/>
    </row>
    <row r="688" spans="2:17" x14ac:dyDescent="0.2">
      <c r="B688" s="50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55"/>
      <c r="O688" s="44"/>
      <c r="P688" s="44"/>
      <c r="Q688" s="51"/>
    </row>
    <row r="689" spans="2:17" x14ac:dyDescent="0.2">
      <c r="B689" s="58"/>
      <c r="C689" s="59"/>
      <c r="D689" s="59"/>
      <c r="E689" s="59"/>
      <c r="F689" s="59"/>
      <c r="G689" s="59"/>
      <c r="H689" s="59"/>
      <c r="I689" s="59"/>
      <c r="J689" s="59"/>
      <c r="K689" s="59"/>
      <c r="L689" s="59">
        <f>SUM(L682:L688)</f>
        <v>100</v>
      </c>
      <c r="M689" s="59">
        <f>SUM(M682:M688)</f>
        <v>12</v>
      </c>
      <c r="N689" s="60"/>
      <c r="O689" s="59"/>
      <c r="P689" s="59"/>
      <c r="Q689" s="62"/>
    </row>
    <row r="690" spans="2:17" ht="15.75" thickBot="1" x14ac:dyDescent="0.25">
      <c r="B690" s="43"/>
      <c r="C690" s="43"/>
      <c r="D690" s="43"/>
      <c r="E690" s="43" t="s">
        <v>11</v>
      </c>
      <c r="F690" s="43"/>
      <c r="G690" s="43"/>
      <c r="H690" s="43"/>
      <c r="I690" s="43"/>
      <c r="J690" s="43"/>
      <c r="K690" s="43" t="s">
        <v>12</v>
      </c>
      <c r="L690" s="43" t="s">
        <v>13</v>
      </c>
      <c r="M690" s="43" t="s">
        <v>14</v>
      </c>
      <c r="N690" s="53" t="s">
        <v>15</v>
      </c>
      <c r="O690" s="43" t="s">
        <v>16</v>
      </c>
      <c r="P690" s="43"/>
      <c r="Q690" s="43" t="s">
        <v>17</v>
      </c>
    </row>
    <row r="691" spans="2:17" x14ac:dyDescent="0.2">
      <c r="B691" s="110" t="s">
        <v>233</v>
      </c>
      <c r="C691" s="102" t="s">
        <v>234</v>
      </c>
      <c r="D691" s="57"/>
      <c r="E691" s="57"/>
      <c r="F691" s="57"/>
      <c r="G691" s="57"/>
      <c r="H691" s="57"/>
      <c r="I691" s="47"/>
      <c r="J691" s="47"/>
      <c r="K691" s="57" t="s">
        <v>235</v>
      </c>
      <c r="L691" s="47">
        <v>100</v>
      </c>
      <c r="M691" s="47">
        <v>0</v>
      </c>
      <c r="N691" s="54">
        <f>SUM(L698-M698)</f>
        <v>52</v>
      </c>
      <c r="O691" s="48"/>
      <c r="P691" s="47"/>
      <c r="Q691" s="49"/>
    </row>
    <row r="692" spans="2:17" x14ac:dyDescent="0.2">
      <c r="B692" s="110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>
        <v>24</v>
      </c>
      <c r="N692" s="55"/>
      <c r="O692" s="45"/>
      <c r="P692" s="76" t="s">
        <v>236</v>
      </c>
      <c r="Q692" s="124" t="s">
        <v>237</v>
      </c>
    </row>
    <row r="693" spans="2:17" x14ac:dyDescent="0.2">
      <c r="B693" s="50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>
        <v>24</v>
      </c>
      <c r="N693" s="55"/>
      <c r="O693" s="44"/>
      <c r="P693" s="44" t="s">
        <v>231</v>
      </c>
      <c r="Q693" s="122" t="s">
        <v>238</v>
      </c>
    </row>
    <row r="694" spans="2:17" x14ac:dyDescent="0.2">
      <c r="B694" s="50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55"/>
      <c r="O694" s="44"/>
      <c r="P694" s="44"/>
      <c r="Q694" s="51"/>
    </row>
    <row r="695" spans="2:17" x14ac:dyDescent="0.2">
      <c r="B695" s="50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55"/>
      <c r="O695" s="44"/>
      <c r="P695" s="44"/>
      <c r="Q695" s="51"/>
    </row>
    <row r="696" spans="2:17" x14ac:dyDescent="0.2">
      <c r="B696" s="50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55"/>
      <c r="O696" s="44"/>
      <c r="P696" s="44"/>
      <c r="Q696" s="51"/>
    </row>
    <row r="697" spans="2:17" x14ac:dyDescent="0.2">
      <c r="B697" s="50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55"/>
      <c r="O697" s="44"/>
      <c r="P697" s="44"/>
      <c r="Q697" s="51"/>
    </row>
    <row r="698" spans="2:17" x14ac:dyDescent="0.2">
      <c r="B698" s="58"/>
      <c r="C698" s="59"/>
      <c r="D698" s="59"/>
      <c r="E698" s="59"/>
      <c r="F698" s="59"/>
      <c r="G698" s="59"/>
      <c r="H698" s="59"/>
      <c r="I698" s="59"/>
      <c r="J698" s="59"/>
      <c r="K698" s="59"/>
      <c r="L698" s="59">
        <f>SUM(L691:L697)</f>
        <v>100</v>
      </c>
      <c r="M698" s="59">
        <f>SUM(M691:M697)</f>
        <v>48</v>
      </c>
      <c r="N698" s="60"/>
      <c r="O698" s="59"/>
      <c r="P698" s="59"/>
      <c r="Q698" s="62"/>
    </row>
    <row r="699" spans="2:17" x14ac:dyDescent="0.2">
      <c r="B699" s="65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7"/>
      <c r="O699" s="66"/>
      <c r="P699" s="66"/>
      <c r="Q699" s="68"/>
    </row>
    <row r="700" spans="2:17" x14ac:dyDescent="0.2">
      <c r="B700" s="42" t="s">
        <v>0</v>
      </c>
      <c r="C700" s="42" t="s">
        <v>26</v>
      </c>
      <c r="D700" s="42" t="s">
        <v>1</v>
      </c>
      <c r="E700" s="42" t="s">
        <v>2</v>
      </c>
      <c r="F700" s="42" t="s">
        <v>3</v>
      </c>
      <c r="G700" s="42" t="s">
        <v>4</v>
      </c>
      <c r="H700" s="42" t="s">
        <v>5</v>
      </c>
      <c r="I700" s="42" t="s">
        <v>6</v>
      </c>
      <c r="J700" s="42" t="s">
        <v>7</v>
      </c>
      <c r="K700" s="42" t="s">
        <v>8</v>
      </c>
      <c r="L700" s="42"/>
      <c r="M700" s="42"/>
      <c r="N700" s="52" t="s">
        <v>9</v>
      </c>
      <c r="O700" s="42"/>
      <c r="P700" s="42" t="s">
        <v>10</v>
      </c>
      <c r="Q700" s="42"/>
    </row>
    <row r="701" spans="2:17" x14ac:dyDescent="0.2">
      <c r="B701" s="43"/>
      <c r="C701" s="43"/>
      <c r="D701" s="43"/>
      <c r="E701" s="43" t="s">
        <v>11</v>
      </c>
      <c r="F701" s="43"/>
      <c r="G701" s="43"/>
      <c r="H701" s="43"/>
      <c r="I701" s="43"/>
      <c r="J701" s="43"/>
      <c r="K701" s="43" t="s">
        <v>12</v>
      </c>
      <c r="L701" s="43" t="s">
        <v>13</v>
      </c>
      <c r="M701" s="43" t="s">
        <v>14</v>
      </c>
      <c r="N701" s="53" t="s">
        <v>15</v>
      </c>
      <c r="O701" s="43" t="s">
        <v>16</v>
      </c>
      <c r="P701" s="43"/>
      <c r="Q701" s="43" t="s">
        <v>17</v>
      </c>
    </row>
    <row r="702" spans="2:17" x14ac:dyDescent="0.2">
      <c r="B702" s="102" t="s">
        <v>233</v>
      </c>
      <c r="C702" s="102" t="s">
        <v>239</v>
      </c>
      <c r="D702" s="57"/>
      <c r="E702" s="57"/>
      <c r="F702" s="57"/>
      <c r="G702" s="57"/>
      <c r="H702" s="57"/>
      <c r="I702" s="47"/>
      <c r="J702" s="47"/>
      <c r="K702" s="57" t="s">
        <v>235</v>
      </c>
      <c r="L702" s="47">
        <v>100</v>
      </c>
      <c r="M702" s="47">
        <v>0</v>
      </c>
      <c r="N702" s="54">
        <f>SUM(L709-M709)</f>
        <v>100</v>
      </c>
      <c r="O702" s="48"/>
      <c r="P702" s="47"/>
      <c r="Q702" s="49"/>
    </row>
    <row r="703" spans="2:17" x14ac:dyDescent="0.2">
      <c r="B703" s="50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55"/>
      <c r="O703" s="45"/>
      <c r="P703" s="44"/>
      <c r="Q703" s="51"/>
    </row>
    <row r="704" spans="2:17" x14ac:dyDescent="0.2">
      <c r="B704" s="50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55"/>
      <c r="O704" s="44"/>
      <c r="P704" s="44"/>
      <c r="Q704" s="72"/>
    </row>
    <row r="705" spans="2:17" x14ac:dyDescent="0.2">
      <c r="B705" s="50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55"/>
      <c r="O705" s="44"/>
      <c r="P705" s="44"/>
      <c r="Q705" s="51"/>
    </row>
    <row r="706" spans="2:17" x14ac:dyDescent="0.2">
      <c r="B706" s="50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55"/>
      <c r="O706" s="44"/>
      <c r="P706" s="44"/>
      <c r="Q706" s="51"/>
    </row>
    <row r="707" spans="2:17" x14ac:dyDescent="0.2">
      <c r="B707" s="50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55"/>
      <c r="O707" s="44"/>
      <c r="P707" s="44"/>
      <c r="Q707" s="51"/>
    </row>
    <row r="708" spans="2:17" x14ac:dyDescent="0.2">
      <c r="B708" s="50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55"/>
      <c r="O708" s="44"/>
      <c r="P708" s="44"/>
      <c r="Q708" s="51"/>
    </row>
    <row r="709" spans="2:17" x14ac:dyDescent="0.2">
      <c r="B709" s="58"/>
      <c r="C709" s="59"/>
      <c r="D709" s="59"/>
      <c r="E709" s="59"/>
      <c r="F709" s="59"/>
      <c r="G709" s="59"/>
      <c r="H709" s="59"/>
      <c r="I709" s="59"/>
      <c r="J709" s="59"/>
      <c r="K709" s="59"/>
      <c r="L709" s="59">
        <f>SUM(L702:L708)</f>
        <v>100</v>
      </c>
      <c r="M709" s="59">
        <f>SUM(M702:M708)</f>
        <v>0</v>
      </c>
      <c r="N709" s="60"/>
      <c r="O709" s="59"/>
      <c r="P709" s="59"/>
      <c r="Q709" s="62"/>
    </row>
    <row r="710" spans="2:17" x14ac:dyDescent="0.2">
      <c r="B710" s="42" t="s">
        <v>0</v>
      </c>
      <c r="C710" s="42" t="s">
        <v>26</v>
      </c>
      <c r="D710" s="42" t="s">
        <v>1</v>
      </c>
      <c r="E710" s="42" t="s">
        <v>2</v>
      </c>
      <c r="F710" s="42" t="s">
        <v>3</v>
      </c>
      <c r="G710" s="42" t="s">
        <v>4</v>
      </c>
      <c r="H710" s="42" t="s">
        <v>5</v>
      </c>
      <c r="I710" s="42" t="s">
        <v>6</v>
      </c>
      <c r="J710" s="42" t="s">
        <v>7</v>
      </c>
      <c r="K710" s="42" t="s">
        <v>8</v>
      </c>
      <c r="L710" s="42"/>
      <c r="M710" s="42"/>
      <c r="N710" s="52" t="s">
        <v>9</v>
      </c>
      <c r="O710" s="42"/>
      <c r="P710" s="42" t="s">
        <v>10</v>
      </c>
      <c r="Q710" s="42"/>
    </row>
    <row r="711" spans="2:17" x14ac:dyDescent="0.2">
      <c r="B711" s="43"/>
      <c r="C711" s="43"/>
      <c r="D711" s="43"/>
      <c r="E711" s="43" t="s">
        <v>11</v>
      </c>
      <c r="F711" s="43"/>
      <c r="G711" s="43"/>
      <c r="H711" s="43"/>
      <c r="I711" s="43"/>
      <c r="J711" s="43"/>
      <c r="K711" s="43" t="s">
        <v>12</v>
      </c>
      <c r="L711" s="43" t="s">
        <v>13</v>
      </c>
      <c r="M711" s="43" t="s">
        <v>14</v>
      </c>
      <c r="N711" s="53" t="s">
        <v>15</v>
      </c>
      <c r="O711" s="43" t="s">
        <v>16</v>
      </c>
      <c r="P711" s="43"/>
      <c r="Q711" s="43" t="s">
        <v>17</v>
      </c>
    </row>
    <row r="712" spans="2:17" x14ac:dyDescent="0.2">
      <c r="B712" s="100"/>
      <c r="C712" s="100"/>
      <c r="D712" s="57"/>
      <c r="E712" s="57"/>
      <c r="F712" s="57"/>
      <c r="G712" s="57"/>
      <c r="H712" s="57"/>
      <c r="I712" s="47"/>
      <c r="J712" s="47"/>
      <c r="K712" s="57"/>
      <c r="L712" s="47"/>
      <c r="M712" s="47">
        <v>0</v>
      </c>
      <c r="N712" s="54">
        <f>SUM(L719-M719)</f>
        <v>0</v>
      </c>
      <c r="O712" s="48"/>
      <c r="P712" s="47"/>
      <c r="Q712" s="49"/>
    </row>
    <row r="713" spans="2:17" x14ac:dyDescent="0.2">
      <c r="B713" s="50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55"/>
      <c r="O713" s="45"/>
      <c r="P713" s="44"/>
      <c r="Q713" s="51"/>
    </row>
    <row r="714" spans="2:17" x14ac:dyDescent="0.2">
      <c r="B714" s="50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55"/>
      <c r="O714" s="44"/>
      <c r="P714" s="44"/>
      <c r="Q714" s="72"/>
    </row>
    <row r="715" spans="2:17" x14ac:dyDescent="0.2">
      <c r="B715" s="50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55"/>
      <c r="O715" s="44"/>
      <c r="P715" s="44"/>
      <c r="Q715" s="51"/>
    </row>
    <row r="716" spans="2:17" x14ac:dyDescent="0.2">
      <c r="B716" s="50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55"/>
      <c r="O716" s="44"/>
      <c r="P716" s="44"/>
      <c r="Q716" s="51"/>
    </row>
    <row r="717" spans="2:17" x14ac:dyDescent="0.2">
      <c r="B717" s="50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55"/>
      <c r="O717" s="44"/>
      <c r="P717" s="44"/>
      <c r="Q717" s="51"/>
    </row>
    <row r="718" spans="2:17" x14ac:dyDescent="0.2">
      <c r="B718" s="50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55"/>
      <c r="O718" s="44"/>
      <c r="P718" s="44"/>
      <c r="Q718" s="51"/>
    </row>
    <row r="719" spans="2:17" x14ac:dyDescent="0.2">
      <c r="B719" s="58"/>
      <c r="C719" s="59"/>
      <c r="D719" s="59"/>
      <c r="E719" s="59"/>
      <c r="F719" s="59"/>
      <c r="G719" s="59"/>
      <c r="H719" s="59"/>
      <c r="I719" s="59"/>
      <c r="J719" s="59"/>
      <c r="K719" s="59"/>
      <c r="L719" s="59">
        <f>SUM(L712:L718)</f>
        <v>0</v>
      </c>
      <c r="M719" s="59">
        <f>SUM(M712:M718)</f>
        <v>0</v>
      </c>
      <c r="N719" s="60"/>
      <c r="O719" s="59"/>
      <c r="P719" s="59"/>
      <c r="Q719" s="62"/>
    </row>
    <row r="720" spans="2:17" x14ac:dyDescent="0.2">
      <c r="B720" s="65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7"/>
      <c r="O720" s="66"/>
      <c r="P720" s="66"/>
      <c r="Q720" s="68"/>
    </row>
    <row r="721" spans="2:17" x14ac:dyDescent="0.2">
      <c r="B721" s="42" t="s">
        <v>0</v>
      </c>
      <c r="C721" s="42" t="s">
        <v>26</v>
      </c>
      <c r="D721" s="42" t="s">
        <v>1</v>
      </c>
      <c r="E721" s="42" t="s">
        <v>2</v>
      </c>
      <c r="F721" s="42" t="s">
        <v>3</v>
      </c>
      <c r="G721" s="42" t="s">
        <v>4</v>
      </c>
      <c r="H721" s="42" t="s">
        <v>5</v>
      </c>
      <c r="I721" s="42" t="s">
        <v>6</v>
      </c>
      <c r="J721" s="42" t="s">
        <v>7</v>
      </c>
      <c r="K721" s="42" t="s">
        <v>8</v>
      </c>
      <c r="L721" s="42"/>
      <c r="M721" s="42"/>
      <c r="N721" s="52" t="s">
        <v>9</v>
      </c>
      <c r="O721" s="42"/>
      <c r="P721" s="42" t="s">
        <v>10</v>
      </c>
      <c r="Q721" s="42"/>
    </row>
    <row r="722" spans="2:17" x14ac:dyDescent="0.2">
      <c r="B722" s="43"/>
      <c r="C722" s="43"/>
      <c r="D722" s="43"/>
      <c r="E722" s="43" t="s">
        <v>11</v>
      </c>
      <c r="F722" s="43"/>
      <c r="G722" s="43"/>
      <c r="H722" s="43"/>
      <c r="I722" s="43"/>
      <c r="J722" s="43"/>
      <c r="K722" s="43" t="s">
        <v>12</v>
      </c>
      <c r="L722" s="43" t="s">
        <v>13</v>
      </c>
      <c r="M722" s="43" t="s">
        <v>14</v>
      </c>
      <c r="N722" s="53" t="s">
        <v>15</v>
      </c>
      <c r="O722" s="43" t="s">
        <v>16</v>
      </c>
      <c r="P722" s="43"/>
      <c r="Q722" s="43" t="s">
        <v>17</v>
      </c>
    </row>
    <row r="723" spans="2:17" x14ac:dyDescent="0.2">
      <c r="B723" s="100"/>
      <c r="C723" s="100"/>
      <c r="D723" s="57"/>
      <c r="E723" s="57"/>
      <c r="F723" s="57"/>
      <c r="G723" s="57"/>
      <c r="H723" s="57"/>
      <c r="I723" s="47"/>
      <c r="J723" s="47"/>
      <c r="K723" s="57"/>
      <c r="L723" s="47"/>
      <c r="M723" s="47">
        <v>0</v>
      </c>
      <c r="N723" s="54">
        <f>SUM(L730-M730)</f>
        <v>0</v>
      </c>
      <c r="O723" s="48"/>
      <c r="P723" s="47"/>
      <c r="Q723" s="49"/>
    </row>
    <row r="724" spans="2:17" x14ac:dyDescent="0.2">
      <c r="B724" s="50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55"/>
      <c r="O724" s="45"/>
      <c r="P724" s="44"/>
      <c r="Q724" s="51"/>
    </row>
    <row r="725" spans="2:17" x14ac:dyDescent="0.2">
      <c r="B725" s="50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55"/>
      <c r="O725" s="44"/>
      <c r="P725" s="44"/>
      <c r="Q725" s="72"/>
    </row>
    <row r="726" spans="2:17" x14ac:dyDescent="0.2">
      <c r="B726" s="50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55"/>
      <c r="O726" s="44"/>
      <c r="P726" s="44"/>
      <c r="Q726" s="51"/>
    </row>
    <row r="727" spans="2:17" x14ac:dyDescent="0.2">
      <c r="B727" s="50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55"/>
      <c r="O727" s="44"/>
      <c r="P727" s="44"/>
      <c r="Q727" s="51"/>
    </row>
    <row r="728" spans="2:17" x14ac:dyDescent="0.2">
      <c r="B728" s="50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55"/>
      <c r="O728" s="44"/>
      <c r="P728" s="44"/>
      <c r="Q728" s="51"/>
    </row>
    <row r="729" spans="2:17" x14ac:dyDescent="0.2">
      <c r="B729" s="50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55"/>
      <c r="O729" s="44"/>
      <c r="P729" s="44"/>
      <c r="Q729" s="51"/>
    </row>
    <row r="730" spans="2:17" x14ac:dyDescent="0.2">
      <c r="B730" s="58"/>
      <c r="C730" s="59"/>
      <c r="D730" s="59"/>
      <c r="E730" s="59"/>
      <c r="F730" s="59"/>
      <c r="G730" s="59"/>
      <c r="H730" s="59"/>
      <c r="I730" s="59"/>
      <c r="J730" s="59"/>
      <c r="K730" s="59"/>
      <c r="L730" s="59">
        <f>SUM(L723:L729)</f>
        <v>0</v>
      </c>
      <c r="M730" s="59">
        <f>SUM(M723:M729)</f>
        <v>0</v>
      </c>
      <c r="N730" s="60"/>
      <c r="O730" s="59"/>
      <c r="P730" s="59"/>
      <c r="Q730" s="62"/>
    </row>
    <row r="731" spans="2:17" x14ac:dyDescent="0.2">
      <c r="B731" s="65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7"/>
      <c r="O731" s="66"/>
      <c r="P731" s="66"/>
      <c r="Q731" s="68"/>
    </row>
    <row r="732" spans="2:17" x14ac:dyDescent="0.2">
      <c r="B732" s="42" t="s">
        <v>0</v>
      </c>
      <c r="C732" s="42" t="s">
        <v>26</v>
      </c>
      <c r="D732" s="42" t="s">
        <v>1</v>
      </c>
      <c r="E732" s="42" t="s">
        <v>2</v>
      </c>
      <c r="F732" s="42" t="s">
        <v>3</v>
      </c>
      <c r="G732" s="42" t="s">
        <v>4</v>
      </c>
      <c r="H732" s="42" t="s">
        <v>5</v>
      </c>
      <c r="I732" s="42" t="s">
        <v>6</v>
      </c>
      <c r="J732" s="42" t="s">
        <v>7</v>
      </c>
      <c r="K732" s="42" t="s">
        <v>8</v>
      </c>
      <c r="L732" s="42"/>
      <c r="M732" s="42"/>
      <c r="N732" s="52" t="s">
        <v>9</v>
      </c>
      <c r="O732" s="42"/>
      <c r="P732" s="42" t="s">
        <v>10</v>
      </c>
      <c r="Q732" s="42"/>
    </row>
    <row r="733" spans="2:17" x14ac:dyDescent="0.2">
      <c r="B733" s="43"/>
      <c r="C733" s="43"/>
      <c r="D733" s="43"/>
      <c r="E733" s="43" t="s">
        <v>11</v>
      </c>
      <c r="F733" s="43"/>
      <c r="G733" s="43"/>
      <c r="H733" s="43"/>
      <c r="I733" s="43"/>
      <c r="J733" s="43"/>
      <c r="K733" s="43" t="s">
        <v>12</v>
      </c>
      <c r="L733" s="43" t="s">
        <v>13</v>
      </c>
      <c r="M733" s="43" t="s">
        <v>14</v>
      </c>
      <c r="N733" s="53" t="s">
        <v>15</v>
      </c>
      <c r="O733" s="43" t="s">
        <v>16</v>
      </c>
      <c r="P733" s="43"/>
      <c r="Q733" s="43" t="s">
        <v>17</v>
      </c>
    </row>
    <row r="734" spans="2:17" x14ac:dyDescent="0.2">
      <c r="B734" s="100"/>
      <c r="C734" s="100"/>
      <c r="D734" s="57"/>
      <c r="E734" s="57"/>
      <c r="F734" s="57"/>
      <c r="G734" s="57"/>
      <c r="H734" s="57"/>
      <c r="I734" s="47"/>
      <c r="J734" s="47"/>
      <c r="K734" s="57"/>
      <c r="L734" s="47"/>
      <c r="M734" s="47">
        <v>0</v>
      </c>
      <c r="N734" s="54">
        <f>SUM(L741-M741)</f>
        <v>0</v>
      </c>
      <c r="O734" s="48"/>
      <c r="P734" s="47"/>
      <c r="Q734" s="49"/>
    </row>
    <row r="735" spans="2:17" x14ac:dyDescent="0.2">
      <c r="B735" s="50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55"/>
      <c r="O735" s="45"/>
      <c r="P735" s="44"/>
      <c r="Q735" s="51"/>
    </row>
    <row r="736" spans="2:17" x14ac:dyDescent="0.2">
      <c r="B736" s="50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55"/>
      <c r="O736" s="44"/>
      <c r="P736" s="44"/>
      <c r="Q736" s="72"/>
    </row>
    <row r="737" spans="2:17" x14ac:dyDescent="0.2">
      <c r="B737" s="50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55"/>
      <c r="O737" s="44"/>
      <c r="P737" s="44"/>
      <c r="Q737" s="51"/>
    </row>
    <row r="738" spans="2:17" x14ac:dyDescent="0.2">
      <c r="B738" s="50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55"/>
      <c r="O738" s="44"/>
      <c r="P738" s="44"/>
      <c r="Q738" s="51"/>
    </row>
    <row r="739" spans="2:17" x14ac:dyDescent="0.2">
      <c r="B739" s="50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55"/>
      <c r="O739" s="44"/>
      <c r="P739" s="44"/>
      <c r="Q739" s="51"/>
    </row>
    <row r="740" spans="2:17" x14ac:dyDescent="0.2">
      <c r="B740" s="50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55"/>
      <c r="O740" s="44"/>
      <c r="P740" s="44"/>
      <c r="Q740" s="51"/>
    </row>
    <row r="741" spans="2:17" x14ac:dyDescent="0.2">
      <c r="B741" s="58"/>
      <c r="C741" s="59"/>
      <c r="D741" s="59"/>
      <c r="E741" s="59"/>
      <c r="F741" s="59"/>
      <c r="G741" s="59"/>
      <c r="H741" s="59"/>
      <c r="I741" s="59"/>
      <c r="J741" s="59"/>
      <c r="K741" s="59"/>
      <c r="L741" s="59">
        <f>SUM(L734:L740)</f>
        <v>0</v>
      </c>
      <c r="M741" s="59">
        <f>SUM(M734:M740)</f>
        <v>0</v>
      </c>
      <c r="N741" s="60"/>
      <c r="O741" s="59"/>
      <c r="P741" s="59"/>
      <c r="Q741" s="62"/>
    </row>
    <row r="742" spans="2:17" x14ac:dyDescent="0.2">
      <c r="B742" s="42" t="s">
        <v>0</v>
      </c>
      <c r="C742" s="42" t="s">
        <v>26</v>
      </c>
      <c r="D742" s="42" t="s">
        <v>1</v>
      </c>
      <c r="E742" s="42" t="s">
        <v>2</v>
      </c>
      <c r="F742" s="42" t="s">
        <v>3</v>
      </c>
      <c r="G742" s="42" t="s">
        <v>4</v>
      </c>
      <c r="H742" s="42" t="s">
        <v>5</v>
      </c>
      <c r="I742" s="42" t="s">
        <v>6</v>
      </c>
      <c r="J742" s="42" t="s">
        <v>7</v>
      </c>
      <c r="K742" s="42" t="s">
        <v>8</v>
      </c>
      <c r="L742" s="42"/>
      <c r="M742" s="42"/>
      <c r="N742" s="52" t="s">
        <v>9</v>
      </c>
      <c r="O742" s="42"/>
      <c r="P742" s="42" t="s">
        <v>10</v>
      </c>
      <c r="Q742" s="42"/>
    </row>
    <row r="743" spans="2:17" x14ac:dyDescent="0.2">
      <c r="B743" s="43"/>
      <c r="C743" s="43"/>
      <c r="D743" s="43"/>
      <c r="E743" s="43" t="s">
        <v>11</v>
      </c>
      <c r="F743" s="43"/>
      <c r="G743" s="43"/>
      <c r="H743" s="43"/>
      <c r="I743" s="43"/>
      <c r="J743" s="43"/>
      <c r="K743" s="43" t="s">
        <v>12</v>
      </c>
      <c r="L743" s="43" t="s">
        <v>13</v>
      </c>
      <c r="M743" s="43" t="s">
        <v>14</v>
      </c>
      <c r="N743" s="53" t="s">
        <v>15</v>
      </c>
      <c r="O743" s="43" t="s">
        <v>16</v>
      </c>
      <c r="P743" s="43"/>
      <c r="Q743" s="43" t="s">
        <v>17</v>
      </c>
    </row>
    <row r="744" spans="2:17" x14ac:dyDescent="0.2">
      <c r="B744" s="100"/>
      <c r="C744" s="100"/>
      <c r="D744" s="57"/>
      <c r="E744" s="57"/>
      <c r="F744" s="57"/>
      <c r="G744" s="57"/>
      <c r="H744" s="57"/>
      <c r="I744" s="47"/>
      <c r="J744" s="47"/>
      <c r="K744" s="57"/>
      <c r="L744" s="47"/>
      <c r="M744" s="47">
        <v>0</v>
      </c>
      <c r="N744" s="54">
        <f>SUM(L751-M751)</f>
        <v>0</v>
      </c>
      <c r="O744" s="48"/>
      <c r="P744" s="47"/>
      <c r="Q744" s="49"/>
    </row>
    <row r="745" spans="2:17" x14ac:dyDescent="0.2">
      <c r="B745" s="50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55"/>
      <c r="O745" s="45"/>
      <c r="P745" s="44"/>
      <c r="Q745" s="51"/>
    </row>
    <row r="746" spans="2:17" x14ac:dyDescent="0.2">
      <c r="B746" s="50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55"/>
      <c r="O746" s="44"/>
      <c r="P746" s="44"/>
      <c r="Q746" s="72"/>
    </row>
    <row r="747" spans="2:17" x14ac:dyDescent="0.2">
      <c r="B747" s="50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55"/>
      <c r="O747" s="44"/>
      <c r="P747" s="44"/>
      <c r="Q747" s="51"/>
    </row>
    <row r="748" spans="2:17" x14ac:dyDescent="0.2">
      <c r="B748" s="50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55"/>
      <c r="O748" s="44"/>
      <c r="P748" s="44"/>
      <c r="Q748" s="51"/>
    </row>
    <row r="749" spans="2:17" x14ac:dyDescent="0.2">
      <c r="B749" s="50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55"/>
      <c r="O749" s="44"/>
      <c r="P749" s="44"/>
      <c r="Q749" s="51"/>
    </row>
    <row r="750" spans="2:17" x14ac:dyDescent="0.2">
      <c r="B750" s="50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55"/>
      <c r="O750" s="44"/>
      <c r="P750" s="44"/>
      <c r="Q750" s="51"/>
    </row>
    <row r="751" spans="2:17" x14ac:dyDescent="0.2">
      <c r="B751" s="58"/>
      <c r="C751" s="59"/>
      <c r="D751" s="59"/>
      <c r="E751" s="59"/>
      <c r="F751" s="59"/>
      <c r="G751" s="59"/>
      <c r="H751" s="59"/>
      <c r="I751" s="59"/>
      <c r="J751" s="59"/>
      <c r="K751" s="59"/>
      <c r="L751" s="59">
        <f>SUM(L744:L750)</f>
        <v>0</v>
      </c>
      <c r="M751" s="59">
        <f>SUM(M744:M750)</f>
        <v>0</v>
      </c>
      <c r="N751" s="60"/>
      <c r="O751" s="59"/>
      <c r="P751" s="59"/>
      <c r="Q751" s="62"/>
    </row>
    <row r="752" spans="2:17" x14ac:dyDescent="0.2">
      <c r="B752" s="65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7"/>
      <c r="O752" s="66"/>
      <c r="P752" s="66"/>
      <c r="Q752" s="68"/>
    </row>
    <row r="753" spans="2:17" x14ac:dyDescent="0.2">
      <c r="B753" s="42" t="s">
        <v>0</v>
      </c>
      <c r="C753" s="42" t="s">
        <v>26</v>
      </c>
      <c r="D753" s="42" t="s">
        <v>1</v>
      </c>
      <c r="E753" s="42" t="s">
        <v>2</v>
      </c>
      <c r="F753" s="42" t="s">
        <v>3</v>
      </c>
      <c r="G753" s="42" t="s">
        <v>4</v>
      </c>
      <c r="H753" s="42" t="s">
        <v>5</v>
      </c>
      <c r="I753" s="42" t="s">
        <v>6</v>
      </c>
      <c r="J753" s="42" t="s">
        <v>7</v>
      </c>
      <c r="K753" s="42" t="s">
        <v>8</v>
      </c>
      <c r="L753" s="42"/>
      <c r="M753" s="42"/>
      <c r="N753" s="52" t="s">
        <v>9</v>
      </c>
      <c r="O753" s="42"/>
      <c r="P753" s="42" t="s">
        <v>10</v>
      </c>
      <c r="Q753" s="42"/>
    </row>
    <row r="754" spans="2:17" x14ac:dyDescent="0.2">
      <c r="B754" s="43"/>
      <c r="C754" s="43"/>
      <c r="D754" s="43"/>
      <c r="E754" s="43" t="s">
        <v>11</v>
      </c>
      <c r="F754" s="43"/>
      <c r="G754" s="43"/>
      <c r="H754" s="43"/>
      <c r="I754" s="43"/>
      <c r="J754" s="43"/>
      <c r="K754" s="43" t="s">
        <v>12</v>
      </c>
      <c r="L754" s="43" t="s">
        <v>13</v>
      </c>
      <c r="M754" s="43" t="s">
        <v>14</v>
      </c>
      <c r="N754" s="53" t="s">
        <v>15</v>
      </c>
      <c r="O754" s="43" t="s">
        <v>16</v>
      </c>
      <c r="P754" s="43"/>
      <c r="Q754" s="43" t="s">
        <v>17</v>
      </c>
    </row>
    <row r="755" spans="2:17" x14ac:dyDescent="0.2">
      <c r="B755" s="100"/>
      <c r="C755" s="100"/>
      <c r="D755" s="57"/>
      <c r="E755" s="57"/>
      <c r="F755" s="57"/>
      <c r="G755" s="57"/>
      <c r="H755" s="57"/>
      <c r="I755" s="47"/>
      <c r="J755" s="47"/>
      <c r="K755" s="57"/>
      <c r="L755" s="47"/>
      <c r="M755" s="47">
        <v>0</v>
      </c>
      <c r="N755" s="54">
        <f>SUM(L762-M762)</f>
        <v>0</v>
      </c>
      <c r="O755" s="48"/>
      <c r="P755" s="47"/>
      <c r="Q755" s="49"/>
    </row>
    <row r="756" spans="2:17" x14ac:dyDescent="0.2">
      <c r="B756" s="50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55"/>
      <c r="O756" s="45"/>
      <c r="P756" s="44"/>
      <c r="Q756" s="51"/>
    </row>
    <row r="757" spans="2:17" x14ac:dyDescent="0.2">
      <c r="B757" s="50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55"/>
      <c r="O757" s="44"/>
      <c r="P757" s="44"/>
      <c r="Q757" s="72"/>
    </row>
    <row r="758" spans="2:17" x14ac:dyDescent="0.2">
      <c r="B758" s="50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55"/>
      <c r="O758" s="44"/>
      <c r="P758" s="44"/>
      <c r="Q758" s="51"/>
    </row>
    <row r="759" spans="2:17" x14ac:dyDescent="0.2">
      <c r="B759" s="50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55"/>
      <c r="O759" s="44"/>
      <c r="P759" s="44"/>
      <c r="Q759" s="51"/>
    </row>
    <row r="760" spans="2:17" x14ac:dyDescent="0.2">
      <c r="B760" s="50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55"/>
      <c r="O760" s="44"/>
      <c r="P760" s="44"/>
      <c r="Q760" s="51"/>
    </row>
    <row r="761" spans="2:17" x14ac:dyDescent="0.2">
      <c r="B761" s="50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55"/>
      <c r="O761" s="44"/>
      <c r="P761" s="44"/>
      <c r="Q761" s="51"/>
    </row>
    <row r="762" spans="2:17" x14ac:dyDescent="0.2">
      <c r="B762" s="58"/>
      <c r="C762" s="59"/>
      <c r="D762" s="59"/>
      <c r="E762" s="59"/>
      <c r="F762" s="59"/>
      <c r="G762" s="59"/>
      <c r="H762" s="59"/>
      <c r="I762" s="59"/>
      <c r="J762" s="59"/>
      <c r="K762" s="59"/>
      <c r="L762" s="59">
        <f>SUM(L755:L761)</f>
        <v>0</v>
      </c>
      <c r="M762" s="59">
        <f>SUM(M755:M761)</f>
        <v>0</v>
      </c>
      <c r="N762" s="60"/>
      <c r="O762" s="59"/>
      <c r="P762" s="59"/>
      <c r="Q762" s="62"/>
    </row>
    <row r="763" spans="2:17" x14ac:dyDescent="0.2">
      <c r="B763" s="65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7"/>
      <c r="O763" s="66"/>
      <c r="P763" s="66"/>
      <c r="Q763" s="68"/>
    </row>
    <row r="764" spans="2:17" x14ac:dyDescent="0.2">
      <c r="B764" s="42" t="s">
        <v>0</v>
      </c>
      <c r="C764" s="42" t="s">
        <v>26</v>
      </c>
      <c r="D764" s="42" t="s">
        <v>1</v>
      </c>
      <c r="E764" s="42" t="s">
        <v>2</v>
      </c>
      <c r="F764" s="42" t="s">
        <v>3</v>
      </c>
      <c r="G764" s="42" t="s">
        <v>4</v>
      </c>
      <c r="H764" s="42" t="s">
        <v>5</v>
      </c>
      <c r="I764" s="42" t="s">
        <v>6</v>
      </c>
      <c r="J764" s="42" t="s">
        <v>7</v>
      </c>
      <c r="K764" s="42" t="s">
        <v>8</v>
      </c>
      <c r="L764" s="42"/>
      <c r="M764" s="42"/>
      <c r="N764" s="52" t="s">
        <v>9</v>
      </c>
      <c r="O764" s="42"/>
      <c r="P764" s="42" t="s">
        <v>10</v>
      </c>
      <c r="Q764" s="42"/>
    </row>
    <row r="765" spans="2:17" x14ac:dyDescent="0.2">
      <c r="B765" s="43"/>
      <c r="C765" s="43"/>
      <c r="D765" s="43"/>
      <c r="E765" s="43" t="s">
        <v>11</v>
      </c>
      <c r="F765" s="43"/>
      <c r="G765" s="43"/>
      <c r="H765" s="43"/>
      <c r="I765" s="43"/>
      <c r="J765" s="43"/>
      <c r="K765" s="43" t="s">
        <v>12</v>
      </c>
      <c r="L765" s="43" t="s">
        <v>13</v>
      </c>
      <c r="M765" s="43" t="s">
        <v>14</v>
      </c>
      <c r="N765" s="53" t="s">
        <v>15</v>
      </c>
      <c r="O765" s="43" t="s">
        <v>16</v>
      </c>
      <c r="P765" s="43"/>
      <c r="Q765" s="43" t="s">
        <v>17</v>
      </c>
    </row>
    <row r="766" spans="2:17" x14ac:dyDescent="0.2">
      <c r="B766" s="100"/>
      <c r="C766" s="100"/>
      <c r="D766" s="57"/>
      <c r="E766" s="57"/>
      <c r="F766" s="57"/>
      <c r="G766" s="57"/>
      <c r="H766" s="57"/>
      <c r="I766" s="47"/>
      <c r="J766" s="47"/>
      <c r="K766" s="57"/>
      <c r="L766" s="47"/>
      <c r="M766" s="47">
        <v>0</v>
      </c>
      <c r="N766" s="54">
        <f>SUM(L773-M773)</f>
        <v>0</v>
      </c>
      <c r="O766" s="48"/>
      <c r="P766" s="47"/>
      <c r="Q766" s="49"/>
    </row>
    <row r="767" spans="2:17" x14ac:dyDescent="0.2">
      <c r="B767" s="50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55"/>
      <c r="O767" s="45"/>
      <c r="P767" s="44"/>
      <c r="Q767" s="51"/>
    </row>
    <row r="768" spans="2:17" x14ac:dyDescent="0.2">
      <c r="B768" s="50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55"/>
      <c r="O768" s="44"/>
      <c r="P768" s="44"/>
      <c r="Q768" s="72"/>
    </row>
    <row r="769" spans="2:17" x14ac:dyDescent="0.2">
      <c r="B769" s="50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55"/>
      <c r="O769" s="44"/>
      <c r="P769" s="44"/>
      <c r="Q769" s="51"/>
    </row>
    <row r="770" spans="2:17" x14ac:dyDescent="0.2">
      <c r="B770" s="50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55"/>
      <c r="O770" s="44"/>
      <c r="P770" s="44"/>
      <c r="Q770" s="51"/>
    </row>
    <row r="771" spans="2:17" x14ac:dyDescent="0.2">
      <c r="B771" s="50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55"/>
      <c r="O771" s="44"/>
      <c r="P771" s="44"/>
      <c r="Q771" s="51"/>
    </row>
    <row r="772" spans="2:17" x14ac:dyDescent="0.2">
      <c r="B772" s="50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55"/>
      <c r="O772" s="44"/>
      <c r="P772" s="44"/>
      <c r="Q772" s="51"/>
    </row>
    <row r="773" spans="2:17" x14ac:dyDescent="0.2">
      <c r="B773" s="58"/>
      <c r="C773" s="59"/>
      <c r="D773" s="59"/>
      <c r="E773" s="59"/>
      <c r="F773" s="59"/>
      <c r="G773" s="59"/>
      <c r="H773" s="59"/>
      <c r="I773" s="59"/>
      <c r="J773" s="59"/>
      <c r="K773" s="59"/>
      <c r="L773" s="59">
        <f>SUM(L766:L772)</f>
        <v>0</v>
      </c>
      <c r="M773" s="59">
        <f>SUM(M766:M772)</f>
        <v>0</v>
      </c>
      <c r="N773" s="60"/>
      <c r="O773" s="59"/>
      <c r="P773" s="59"/>
      <c r="Q773" s="62"/>
    </row>
    <row r="774" spans="2:17" x14ac:dyDescent="0.2">
      <c r="B774" s="65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7"/>
      <c r="O774" s="66"/>
      <c r="P774" s="66"/>
      <c r="Q774" s="68"/>
    </row>
    <row r="775" spans="2:17" x14ac:dyDescent="0.2">
      <c r="B775" s="42" t="s">
        <v>0</v>
      </c>
      <c r="C775" s="42" t="s">
        <v>26</v>
      </c>
      <c r="D775" s="42" t="s">
        <v>1</v>
      </c>
      <c r="E775" s="42" t="s">
        <v>2</v>
      </c>
      <c r="F775" s="42" t="s">
        <v>3</v>
      </c>
      <c r="G775" s="42" t="s">
        <v>4</v>
      </c>
      <c r="H775" s="42" t="s">
        <v>5</v>
      </c>
      <c r="I775" s="42" t="s">
        <v>6</v>
      </c>
      <c r="J775" s="42" t="s">
        <v>7</v>
      </c>
      <c r="K775" s="42" t="s">
        <v>8</v>
      </c>
      <c r="L775" s="42"/>
      <c r="M775" s="42"/>
      <c r="N775" s="52" t="s">
        <v>9</v>
      </c>
      <c r="O775" s="42"/>
      <c r="P775" s="42" t="s">
        <v>10</v>
      </c>
      <c r="Q775" s="42"/>
    </row>
    <row r="776" spans="2:17" x14ac:dyDescent="0.2">
      <c r="B776" s="43"/>
      <c r="C776" s="43"/>
      <c r="D776" s="43"/>
      <c r="E776" s="43" t="s">
        <v>11</v>
      </c>
      <c r="F776" s="43"/>
      <c r="G776" s="43"/>
      <c r="H776" s="43"/>
      <c r="I776" s="43"/>
      <c r="J776" s="43"/>
      <c r="K776" s="43" t="s">
        <v>12</v>
      </c>
      <c r="L776" s="43" t="s">
        <v>13</v>
      </c>
      <c r="M776" s="43" t="s">
        <v>14</v>
      </c>
      <c r="N776" s="53" t="s">
        <v>15</v>
      </c>
      <c r="O776" s="43" t="s">
        <v>16</v>
      </c>
      <c r="P776" s="43"/>
      <c r="Q776" s="43" t="s">
        <v>17</v>
      </c>
    </row>
    <row r="777" spans="2:17" x14ac:dyDescent="0.2">
      <c r="B777" s="100"/>
      <c r="C777" s="100"/>
      <c r="D777" s="57"/>
      <c r="E777" s="57"/>
      <c r="F777" s="57"/>
      <c r="G777" s="57"/>
      <c r="H777" s="57"/>
      <c r="I777" s="47"/>
      <c r="J777" s="47"/>
      <c r="K777" s="57"/>
      <c r="L777" s="47"/>
      <c r="M777" s="47">
        <v>0</v>
      </c>
      <c r="N777" s="54">
        <f>SUM(L784-M784)</f>
        <v>0</v>
      </c>
      <c r="O777" s="48"/>
      <c r="P777" s="47"/>
      <c r="Q777" s="49"/>
    </row>
    <row r="778" spans="2:17" x14ac:dyDescent="0.2">
      <c r="B778" s="50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55"/>
      <c r="O778" s="45"/>
      <c r="P778" s="44"/>
      <c r="Q778" s="51"/>
    </row>
    <row r="779" spans="2:17" x14ac:dyDescent="0.2">
      <c r="B779" s="50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55"/>
      <c r="O779" s="44"/>
      <c r="P779" s="44"/>
      <c r="Q779" s="72"/>
    </row>
    <row r="780" spans="2:17" x14ac:dyDescent="0.2">
      <c r="B780" s="50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55"/>
      <c r="O780" s="44"/>
      <c r="P780" s="44"/>
      <c r="Q780" s="51"/>
    </row>
    <row r="781" spans="2:17" x14ac:dyDescent="0.2">
      <c r="B781" s="50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55"/>
      <c r="O781" s="44"/>
      <c r="P781" s="44"/>
      <c r="Q781" s="51"/>
    </row>
    <row r="782" spans="2:17" x14ac:dyDescent="0.2">
      <c r="B782" s="50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55"/>
      <c r="O782" s="44"/>
      <c r="P782" s="44"/>
      <c r="Q782" s="51"/>
    </row>
    <row r="783" spans="2:17" x14ac:dyDescent="0.2">
      <c r="B783" s="50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55"/>
      <c r="O783" s="44"/>
      <c r="P783" s="44"/>
      <c r="Q783" s="51"/>
    </row>
    <row r="784" spans="2:17" x14ac:dyDescent="0.2">
      <c r="B784" s="58"/>
      <c r="C784" s="59"/>
      <c r="D784" s="59"/>
      <c r="E784" s="59"/>
      <c r="F784" s="59"/>
      <c r="G784" s="59"/>
      <c r="H784" s="59"/>
      <c r="I784" s="59"/>
      <c r="J784" s="59"/>
      <c r="K784" s="59"/>
      <c r="L784" s="59">
        <f>SUM(L777:L783)</f>
        <v>0</v>
      </c>
      <c r="M784" s="59">
        <f>SUM(M777:M783)</f>
        <v>0</v>
      </c>
      <c r="N784" s="60"/>
      <c r="O784" s="59"/>
      <c r="P784" s="59"/>
      <c r="Q784" s="62"/>
    </row>
    <row r="785" spans="2:17" x14ac:dyDescent="0.2">
      <c r="B785" s="65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7"/>
      <c r="O785" s="66"/>
      <c r="P785" s="66"/>
      <c r="Q785" s="68"/>
    </row>
    <row r="786" spans="2:17" x14ac:dyDescent="0.2">
      <c r="B786" s="42" t="s">
        <v>0</v>
      </c>
      <c r="C786" s="42" t="s">
        <v>26</v>
      </c>
      <c r="D786" s="42" t="s">
        <v>1</v>
      </c>
      <c r="E786" s="42" t="s">
        <v>2</v>
      </c>
      <c r="F786" s="42" t="s">
        <v>3</v>
      </c>
      <c r="G786" s="42" t="s">
        <v>4</v>
      </c>
      <c r="H786" s="42" t="s">
        <v>5</v>
      </c>
      <c r="I786" s="42" t="s">
        <v>6</v>
      </c>
      <c r="J786" s="42" t="s">
        <v>7</v>
      </c>
      <c r="K786" s="42" t="s">
        <v>8</v>
      </c>
      <c r="L786" s="42"/>
      <c r="M786" s="42"/>
      <c r="N786" s="52" t="s">
        <v>9</v>
      </c>
      <c r="O786" s="42"/>
      <c r="P786" s="42" t="s">
        <v>10</v>
      </c>
      <c r="Q786" s="42"/>
    </row>
    <row r="787" spans="2:17" x14ac:dyDescent="0.2">
      <c r="B787" s="43"/>
      <c r="C787" s="43"/>
      <c r="D787" s="43"/>
      <c r="E787" s="43" t="s">
        <v>11</v>
      </c>
      <c r="F787" s="43"/>
      <c r="G787" s="43"/>
      <c r="H787" s="43"/>
      <c r="I787" s="43"/>
      <c r="J787" s="43"/>
      <c r="K787" s="43" t="s">
        <v>12</v>
      </c>
      <c r="L787" s="43" t="s">
        <v>13</v>
      </c>
      <c r="M787" s="43" t="s">
        <v>14</v>
      </c>
      <c r="N787" s="53" t="s">
        <v>15</v>
      </c>
      <c r="O787" s="43" t="s">
        <v>16</v>
      </c>
      <c r="P787" s="43"/>
      <c r="Q787" s="43" t="s">
        <v>17</v>
      </c>
    </row>
    <row r="788" spans="2:17" x14ac:dyDescent="0.2">
      <c r="B788" s="100"/>
      <c r="C788" s="100"/>
      <c r="D788" s="57"/>
      <c r="E788" s="57"/>
      <c r="F788" s="57"/>
      <c r="G788" s="57"/>
      <c r="H788" s="57"/>
      <c r="I788" s="47"/>
      <c r="J788" s="47"/>
      <c r="K788" s="57"/>
      <c r="L788" s="47"/>
      <c r="M788" s="47">
        <v>0</v>
      </c>
      <c r="N788" s="54">
        <f>SUM(L795-M795)</f>
        <v>0</v>
      </c>
      <c r="O788" s="48"/>
      <c r="P788" s="47"/>
      <c r="Q788" s="49"/>
    </row>
    <row r="789" spans="2:17" x14ac:dyDescent="0.2">
      <c r="B789" s="50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55"/>
      <c r="O789" s="45"/>
      <c r="P789" s="44"/>
      <c r="Q789" s="51"/>
    </row>
    <row r="790" spans="2:17" x14ac:dyDescent="0.2">
      <c r="B790" s="50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55"/>
      <c r="O790" s="44"/>
      <c r="P790" s="44"/>
      <c r="Q790" s="72"/>
    </row>
    <row r="791" spans="2:17" x14ac:dyDescent="0.2">
      <c r="B791" s="50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55"/>
      <c r="O791" s="44"/>
      <c r="P791" s="44"/>
      <c r="Q791" s="51"/>
    </row>
    <row r="792" spans="2:17" x14ac:dyDescent="0.2">
      <c r="B792" s="50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55"/>
      <c r="O792" s="44"/>
      <c r="P792" s="44"/>
      <c r="Q792" s="51"/>
    </row>
    <row r="793" spans="2:17" x14ac:dyDescent="0.2">
      <c r="B793" s="50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55"/>
      <c r="O793" s="44"/>
      <c r="P793" s="44"/>
      <c r="Q793" s="51"/>
    </row>
    <row r="794" spans="2:17" x14ac:dyDescent="0.2">
      <c r="B794" s="50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55"/>
      <c r="O794" s="44"/>
      <c r="P794" s="44"/>
      <c r="Q794" s="51"/>
    </row>
    <row r="795" spans="2:17" x14ac:dyDescent="0.2">
      <c r="B795" s="58"/>
      <c r="C795" s="59"/>
      <c r="D795" s="59"/>
      <c r="E795" s="59"/>
      <c r="F795" s="59"/>
      <c r="G795" s="59"/>
      <c r="H795" s="59"/>
      <c r="I795" s="59"/>
      <c r="J795" s="59"/>
      <c r="K795" s="59"/>
      <c r="L795" s="59">
        <f>SUM(L788:L794)</f>
        <v>0</v>
      </c>
      <c r="M795" s="59">
        <f>SUM(M788:M794)</f>
        <v>0</v>
      </c>
      <c r="N795" s="60"/>
      <c r="O795" s="59"/>
      <c r="P795" s="59"/>
      <c r="Q795" s="62"/>
    </row>
    <row r="796" spans="2:17" x14ac:dyDescent="0.2">
      <c r="B796" s="65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7"/>
      <c r="O796" s="66"/>
      <c r="P796" s="66"/>
      <c r="Q796" s="68"/>
    </row>
  </sheetData>
  <mergeCells count="9">
    <mergeCell ref="N641:N647"/>
    <mergeCell ref="N630:N636"/>
    <mergeCell ref="N64:N69"/>
    <mergeCell ref="N75:N80"/>
    <mergeCell ref="N3:N8"/>
    <mergeCell ref="N14:N18"/>
    <mergeCell ref="N24:N29"/>
    <mergeCell ref="N35:N46"/>
    <mergeCell ref="N53:N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7444-64E3-4FD5-B699-B4E338B86694}">
  <sheetPr codeName="Sheet1"/>
  <dimension ref="A1:AA4735"/>
  <sheetViews>
    <sheetView tabSelected="1" zoomScale="85" zoomScaleNormal="85" workbookViewId="0">
      <pane xSplit="9" ySplit="4" topLeftCell="J3075" activePane="bottomRight" state="frozen"/>
      <selection pane="bottomLeft"/>
      <selection pane="topRight"/>
      <selection pane="bottomRight"/>
    </sheetView>
  </sheetViews>
  <sheetFormatPr defaultColWidth="9.14453125" defaultRowHeight="15" x14ac:dyDescent="0.2"/>
  <cols>
    <col min="1" max="1" width="7.3984375" customWidth="1"/>
    <col min="2" max="2" width="42.10546875" style="8" customWidth="1"/>
    <col min="3" max="3" width="21.5234375" style="8" hidden="1" customWidth="1"/>
    <col min="4" max="4" width="18.96484375" style="8" hidden="1" customWidth="1"/>
    <col min="5" max="5" width="20.17578125" style="24" hidden="1" customWidth="1"/>
    <col min="6" max="6" width="14.390625" style="8" hidden="1" customWidth="1"/>
    <col min="7" max="7" width="16.54296875" style="8" hidden="1" customWidth="1"/>
    <col min="8" max="8" width="0.1328125" style="8" customWidth="1"/>
    <col min="9" max="9" width="107.75390625" style="8" customWidth="1"/>
    <col min="10" max="10" width="9.55078125" style="5" bestFit="1" customWidth="1"/>
    <col min="11" max="12" width="9.4140625" style="5" bestFit="1" customWidth="1"/>
    <col min="13" max="13" width="15.6015625" style="5" bestFit="1" customWidth="1"/>
    <col min="14" max="14" width="41.296875" style="5" customWidth="1"/>
    <col min="15" max="15" width="26.09765625" style="5" customWidth="1"/>
    <col min="16" max="16" width="18.83203125" style="5" customWidth="1"/>
    <col min="17" max="17" width="24.48046875" style="5" customWidth="1"/>
    <col min="18" max="18" width="32.41796875" style="5" customWidth="1"/>
    <col min="19" max="19" width="17.484375" style="5" customWidth="1"/>
    <col min="20" max="20" width="23.67578125" style="5" customWidth="1"/>
    <col min="21" max="21" width="66.05078125" bestFit="1" customWidth="1"/>
    <col min="22" max="22" width="15.6015625" customWidth="1"/>
  </cols>
  <sheetData>
    <row r="1" spans="1:21" ht="18" customHeight="1" x14ac:dyDescent="0.2">
      <c r="A1" s="1" t="s">
        <v>240</v>
      </c>
      <c r="B1" s="3" t="s">
        <v>241</v>
      </c>
      <c r="C1" s="30" t="s">
        <v>242</v>
      </c>
      <c r="D1" s="30" t="s">
        <v>243</v>
      </c>
      <c r="E1" s="31" t="s">
        <v>244</v>
      </c>
      <c r="F1" s="30" t="s">
        <v>245</v>
      </c>
      <c r="G1" s="30" t="s">
        <v>17</v>
      </c>
      <c r="H1" s="3" t="s">
        <v>246</v>
      </c>
      <c r="I1" s="3" t="s">
        <v>247</v>
      </c>
      <c r="J1" s="2" t="s">
        <v>248</v>
      </c>
      <c r="K1" s="2" t="s">
        <v>5</v>
      </c>
      <c r="L1" s="2" t="s">
        <v>249</v>
      </c>
      <c r="M1" s="2" t="s">
        <v>250</v>
      </c>
      <c r="N1" s="2" t="s">
        <v>251</v>
      </c>
      <c r="O1" s="4" t="s">
        <v>252</v>
      </c>
      <c r="P1" s="4" t="s">
        <v>253</v>
      </c>
      <c r="Q1" s="4" t="s">
        <v>254</v>
      </c>
      <c r="R1" s="4" t="s">
        <v>255</v>
      </c>
      <c r="S1" s="4" t="s">
        <v>17</v>
      </c>
      <c r="T1" s="4" t="s">
        <v>256</v>
      </c>
      <c r="U1" s="4" t="s">
        <v>17</v>
      </c>
    </row>
    <row r="2" spans="1:21" x14ac:dyDescent="0.2">
      <c r="A2" s="5">
        <v>320</v>
      </c>
      <c r="B2" s="8" t="s">
        <v>257</v>
      </c>
      <c r="D2" s="8" t="s">
        <v>258</v>
      </c>
      <c r="E2" s="24">
        <v>43673</v>
      </c>
      <c r="F2" s="8" t="s">
        <v>259</v>
      </c>
      <c r="G2" s="8" t="s">
        <v>260</v>
      </c>
      <c r="H2" s="8" t="s">
        <v>261</v>
      </c>
      <c r="I2" s="8" t="s">
        <v>262</v>
      </c>
      <c r="J2" s="5">
        <f>52-3+5-1-1-3-3-3-15-3-1-2-2-2-2-6</f>
        <v>10</v>
      </c>
      <c r="K2" s="5" t="s">
        <v>21</v>
      </c>
      <c r="L2" s="5" t="s">
        <v>263</v>
      </c>
      <c r="M2" s="5" t="s">
        <v>264</v>
      </c>
      <c r="N2" s="5" t="s">
        <v>265</v>
      </c>
      <c r="O2" s="5" t="s">
        <v>266</v>
      </c>
      <c r="Q2" s="5" t="s">
        <v>267</v>
      </c>
    </row>
    <row r="3" spans="1:21" x14ac:dyDescent="0.2">
      <c r="A3" s="5">
        <v>340</v>
      </c>
      <c r="B3" s="8" t="s">
        <v>268</v>
      </c>
      <c r="D3" s="8" t="s">
        <v>269</v>
      </c>
      <c r="E3" s="24">
        <v>43686</v>
      </c>
      <c r="F3" s="8" t="s">
        <v>259</v>
      </c>
      <c r="G3" s="8" t="s">
        <v>270</v>
      </c>
      <c r="H3" s="8" t="s">
        <v>271</v>
      </c>
      <c r="I3" s="8" t="s">
        <v>272</v>
      </c>
      <c r="J3" s="5">
        <v>8</v>
      </c>
      <c r="K3" s="5" t="s">
        <v>21</v>
      </c>
      <c r="L3" s="5" t="s">
        <v>263</v>
      </c>
      <c r="M3" s="5" t="s">
        <v>264</v>
      </c>
      <c r="N3" s="5" t="s">
        <v>265</v>
      </c>
      <c r="O3" s="5" t="s">
        <v>266</v>
      </c>
      <c r="Q3" s="5" t="s">
        <v>273</v>
      </c>
    </row>
    <row r="4" spans="1:21" x14ac:dyDescent="0.2">
      <c r="A4" s="5">
        <v>322</v>
      </c>
      <c r="B4" s="8" t="s">
        <v>274</v>
      </c>
      <c r="C4" s="8">
        <v>132172</v>
      </c>
      <c r="D4" s="8" t="s">
        <v>275</v>
      </c>
      <c r="E4" s="24">
        <v>43673</v>
      </c>
      <c r="F4" s="8" t="s">
        <v>259</v>
      </c>
      <c r="G4" s="8" t="s">
        <v>276</v>
      </c>
      <c r="H4" s="8" t="s">
        <v>277</v>
      </c>
      <c r="I4" s="8" t="s">
        <v>278</v>
      </c>
      <c r="J4" s="5">
        <f>16-1+30-1-3-3-15+1-2-2-2-6-5</f>
        <v>7</v>
      </c>
      <c r="K4" s="5" t="s">
        <v>21</v>
      </c>
      <c r="L4" s="5" t="s">
        <v>263</v>
      </c>
      <c r="M4" s="5" t="s">
        <v>264</v>
      </c>
      <c r="N4" s="5" t="s">
        <v>265</v>
      </c>
      <c r="O4" s="5" t="s">
        <v>266</v>
      </c>
      <c r="Q4" s="5" t="s">
        <v>279</v>
      </c>
    </row>
    <row r="5" spans="1:21" x14ac:dyDescent="0.2">
      <c r="A5" s="5">
        <v>323</v>
      </c>
      <c r="B5" s="8" t="s">
        <v>131</v>
      </c>
      <c r="C5" s="8" t="s">
        <v>280</v>
      </c>
      <c r="D5" s="8" t="s">
        <v>281</v>
      </c>
      <c r="E5" s="24">
        <v>43673</v>
      </c>
      <c r="F5" s="8" t="s">
        <v>259</v>
      </c>
      <c r="G5" s="8" t="s">
        <v>276</v>
      </c>
      <c r="H5" s="8" t="s">
        <v>282</v>
      </c>
      <c r="I5" s="8" t="s">
        <v>283</v>
      </c>
      <c r="J5" s="5">
        <f>12-6-6+25-6-6-12+42-2-40+20+40-40</f>
        <v>21</v>
      </c>
      <c r="K5" s="5" t="s">
        <v>21</v>
      </c>
      <c r="L5" s="5" t="s">
        <v>263</v>
      </c>
      <c r="M5" s="5" t="s">
        <v>264</v>
      </c>
      <c r="N5" s="5" t="s">
        <v>43</v>
      </c>
      <c r="O5" s="5" t="s">
        <v>266</v>
      </c>
      <c r="Q5" s="5" t="s">
        <v>284</v>
      </c>
    </row>
    <row r="6" spans="1:21" x14ac:dyDescent="0.2">
      <c r="A6" s="5">
        <v>324</v>
      </c>
      <c r="C6" s="8" t="s">
        <v>285</v>
      </c>
      <c r="D6" s="8" t="s">
        <v>269</v>
      </c>
      <c r="E6" s="24">
        <v>43673</v>
      </c>
      <c r="F6" s="8" t="s">
        <v>259</v>
      </c>
      <c r="G6" s="8" t="s">
        <v>276</v>
      </c>
      <c r="H6" s="8" t="s">
        <v>286</v>
      </c>
      <c r="I6" s="8" t="s">
        <v>287</v>
      </c>
      <c r="J6" s="5">
        <f>33-6</f>
        <v>27</v>
      </c>
      <c r="K6" s="5" t="s">
        <v>21</v>
      </c>
      <c r="L6" s="5" t="s">
        <v>263</v>
      </c>
      <c r="M6" s="5" t="s">
        <v>264</v>
      </c>
      <c r="N6" s="5" t="s">
        <v>265</v>
      </c>
      <c r="O6" s="5" t="s">
        <v>266</v>
      </c>
      <c r="U6" t="s">
        <v>288</v>
      </c>
    </row>
    <row r="7" spans="1:21" x14ac:dyDescent="0.2">
      <c r="A7" s="5"/>
      <c r="B7" s="8" t="s">
        <v>289</v>
      </c>
      <c r="C7" s="8" t="s">
        <v>285</v>
      </c>
      <c r="D7" s="8" t="s">
        <v>269</v>
      </c>
      <c r="E7" s="24">
        <v>43687</v>
      </c>
      <c r="F7" s="8" t="s">
        <v>259</v>
      </c>
      <c r="G7" s="8" t="s">
        <v>276</v>
      </c>
      <c r="H7" s="8" t="s">
        <v>290</v>
      </c>
      <c r="I7" s="8" t="s">
        <v>291</v>
      </c>
      <c r="J7" s="5">
        <v>0</v>
      </c>
      <c r="K7" s="5" t="s">
        <v>292</v>
      </c>
      <c r="L7" s="5" t="s">
        <v>263</v>
      </c>
      <c r="M7" s="5" t="s">
        <v>264</v>
      </c>
      <c r="N7" s="5" t="s">
        <v>265</v>
      </c>
    </row>
    <row r="8" spans="1:21" x14ac:dyDescent="0.2">
      <c r="A8" s="5">
        <v>325</v>
      </c>
      <c r="B8" s="8">
        <v>123001</v>
      </c>
      <c r="C8" s="8">
        <v>132169</v>
      </c>
      <c r="D8" s="8" t="s">
        <v>275</v>
      </c>
      <c r="E8" s="24">
        <v>43673</v>
      </c>
      <c r="F8" s="8" t="s">
        <v>259</v>
      </c>
      <c r="G8" s="8" t="s">
        <v>276</v>
      </c>
      <c r="H8" s="8" t="s">
        <v>293</v>
      </c>
      <c r="I8" s="8" t="s">
        <v>294</v>
      </c>
      <c r="J8" s="5">
        <f>5+288-24-9-9-6-6+50-18-150+134-10-24-24</f>
        <v>197</v>
      </c>
      <c r="K8" s="5" t="s">
        <v>21</v>
      </c>
      <c r="L8" s="5" t="s">
        <v>263</v>
      </c>
      <c r="M8" s="5" t="s">
        <v>264</v>
      </c>
      <c r="N8" s="5" t="s">
        <v>43</v>
      </c>
      <c r="O8" s="5" t="s">
        <v>266</v>
      </c>
      <c r="Q8" s="5" t="s">
        <v>295</v>
      </c>
    </row>
    <row r="9" spans="1:21" x14ac:dyDescent="0.2">
      <c r="A9" s="5">
        <v>326</v>
      </c>
      <c r="B9" s="8" t="s">
        <v>296</v>
      </c>
      <c r="C9" s="8" t="s">
        <v>297</v>
      </c>
      <c r="D9" s="8" t="s">
        <v>281</v>
      </c>
      <c r="E9" s="24">
        <v>43673</v>
      </c>
      <c r="F9" s="8" t="s">
        <v>259</v>
      </c>
      <c r="G9" s="8" t="s">
        <v>276</v>
      </c>
      <c r="H9" s="8" t="s">
        <v>277</v>
      </c>
      <c r="I9" s="8" t="s">
        <v>298</v>
      </c>
      <c r="J9" s="5">
        <v>31</v>
      </c>
      <c r="K9" s="5" t="s">
        <v>21</v>
      </c>
      <c r="L9" s="5" t="s">
        <v>263</v>
      </c>
      <c r="M9" s="5" t="s">
        <v>264</v>
      </c>
      <c r="N9" s="5" t="s">
        <v>43</v>
      </c>
      <c r="O9" s="5" t="s">
        <v>266</v>
      </c>
      <c r="Q9" s="5" t="s">
        <v>299</v>
      </c>
    </row>
    <row r="10" spans="1:21" x14ac:dyDescent="0.2">
      <c r="A10" s="5">
        <v>327</v>
      </c>
      <c r="B10" s="8" t="s">
        <v>300</v>
      </c>
      <c r="D10" s="8" t="s">
        <v>301</v>
      </c>
      <c r="E10" s="24">
        <v>43673</v>
      </c>
      <c r="F10" s="8" t="s">
        <v>259</v>
      </c>
      <c r="G10" s="8" t="s">
        <v>260</v>
      </c>
      <c r="H10" s="8" t="s">
        <v>302</v>
      </c>
      <c r="I10" s="8" t="s">
        <v>303</v>
      </c>
      <c r="J10" s="5">
        <v>10</v>
      </c>
      <c r="K10" s="5" t="s">
        <v>21</v>
      </c>
      <c r="L10" s="5" t="s">
        <v>263</v>
      </c>
      <c r="M10" s="5" t="s">
        <v>264</v>
      </c>
      <c r="O10" s="5" t="s">
        <v>266</v>
      </c>
      <c r="Q10" s="5" t="s">
        <v>304</v>
      </c>
    </row>
    <row r="11" spans="1:21" x14ac:dyDescent="0.2">
      <c r="A11" s="5">
        <v>328</v>
      </c>
      <c r="B11" s="8" t="s">
        <v>305</v>
      </c>
      <c r="D11" s="8" t="s">
        <v>306</v>
      </c>
      <c r="E11" s="24">
        <v>43673</v>
      </c>
      <c r="F11" s="8" t="s">
        <v>259</v>
      </c>
      <c r="G11" s="8" t="s">
        <v>260</v>
      </c>
      <c r="H11" s="8" t="s">
        <v>307</v>
      </c>
      <c r="I11" s="8" t="s">
        <v>308</v>
      </c>
      <c r="J11" s="5">
        <f>16-2-2</f>
        <v>12</v>
      </c>
      <c r="K11" s="5" t="s">
        <v>21</v>
      </c>
      <c r="L11" s="5" t="s">
        <v>263</v>
      </c>
      <c r="M11" s="5" t="s">
        <v>264</v>
      </c>
      <c r="N11" s="5" t="s">
        <v>265</v>
      </c>
      <c r="O11" s="5" t="s">
        <v>266</v>
      </c>
      <c r="Q11" s="5" t="s">
        <v>309</v>
      </c>
    </row>
    <row r="12" spans="1:21" x14ac:dyDescent="0.2">
      <c r="A12" s="5"/>
      <c r="B12" s="8" t="s">
        <v>310</v>
      </c>
      <c r="H12" s="8" t="s">
        <v>311</v>
      </c>
      <c r="I12" s="8" t="s">
        <v>311</v>
      </c>
      <c r="J12" s="5">
        <f>3-2-1+6</f>
        <v>6</v>
      </c>
      <c r="K12" s="5" t="s">
        <v>21</v>
      </c>
      <c r="L12" s="5" t="s">
        <v>263</v>
      </c>
      <c r="M12" s="5" t="s">
        <v>264</v>
      </c>
      <c r="Q12" s="5" t="s">
        <v>312</v>
      </c>
    </row>
    <row r="13" spans="1:21" x14ac:dyDescent="0.2">
      <c r="A13" s="5"/>
      <c r="B13" s="8" t="s">
        <v>313</v>
      </c>
      <c r="I13" s="8" t="s">
        <v>314</v>
      </c>
      <c r="J13" s="5">
        <f>40</f>
        <v>40</v>
      </c>
      <c r="K13" s="5" t="s">
        <v>21</v>
      </c>
      <c r="L13" s="5" t="s">
        <v>263</v>
      </c>
      <c r="M13" s="5" t="s">
        <v>264</v>
      </c>
    </row>
    <row r="14" spans="1:21" x14ac:dyDescent="0.2">
      <c r="A14" s="5"/>
      <c r="B14" s="8" t="s">
        <v>315</v>
      </c>
      <c r="I14" s="8" t="s">
        <v>316</v>
      </c>
      <c r="J14" s="5">
        <f>20-2</f>
        <v>18</v>
      </c>
      <c r="K14" s="5" t="s">
        <v>21</v>
      </c>
      <c r="L14" s="5" t="s">
        <v>263</v>
      </c>
      <c r="M14" s="5" t="s">
        <v>264</v>
      </c>
    </row>
    <row r="15" spans="1:21" x14ac:dyDescent="0.2">
      <c r="A15" s="5"/>
      <c r="B15" s="8" t="s">
        <v>317</v>
      </c>
      <c r="H15" s="8" t="s">
        <v>318</v>
      </c>
      <c r="I15" s="8" t="s">
        <v>318</v>
      </c>
      <c r="J15" s="5">
        <f>62</f>
        <v>62</v>
      </c>
      <c r="K15" s="5" t="s">
        <v>21</v>
      </c>
      <c r="L15" s="5" t="s">
        <v>263</v>
      </c>
      <c r="M15" s="5" t="s">
        <v>319</v>
      </c>
      <c r="N15" s="5" t="s">
        <v>320</v>
      </c>
      <c r="U15" t="s">
        <v>321</v>
      </c>
    </row>
    <row r="16" spans="1:21" x14ac:dyDescent="0.2">
      <c r="A16" s="5">
        <v>313</v>
      </c>
      <c r="B16" s="8" t="s">
        <v>322</v>
      </c>
      <c r="D16" s="8" t="s">
        <v>323</v>
      </c>
      <c r="E16" s="24">
        <v>43673</v>
      </c>
      <c r="F16" s="8" t="s">
        <v>324</v>
      </c>
      <c r="G16" s="8" t="s">
        <v>260</v>
      </c>
      <c r="H16" s="8" t="s">
        <v>325</v>
      </c>
      <c r="I16" s="8" t="s">
        <v>326</v>
      </c>
      <c r="J16" s="5">
        <v>13</v>
      </c>
      <c r="K16" s="5" t="s">
        <v>21</v>
      </c>
      <c r="L16" s="5" t="s">
        <v>263</v>
      </c>
      <c r="M16" s="5" t="s">
        <v>319</v>
      </c>
      <c r="N16" s="5" t="s">
        <v>265</v>
      </c>
      <c r="O16" s="5" t="s">
        <v>266</v>
      </c>
      <c r="Q16" s="5" t="s">
        <v>327</v>
      </c>
      <c r="S16" s="5" t="s">
        <v>328</v>
      </c>
    </row>
    <row r="17" spans="1:21" x14ac:dyDescent="0.2">
      <c r="A17" s="5">
        <v>314</v>
      </c>
      <c r="B17" s="8" t="s">
        <v>329</v>
      </c>
      <c r="H17" s="8" t="s">
        <v>330</v>
      </c>
      <c r="I17" s="8" t="s">
        <v>330</v>
      </c>
      <c r="J17" s="5">
        <v>6</v>
      </c>
      <c r="K17" s="5" t="s">
        <v>21</v>
      </c>
      <c r="L17" s="5" t="s">
        <v>263</v>
      </c>
      <c r="M17" s="5" t="s">
        <v>319</v>
      </c>
      <c r="N17" s="5" t="s">
        <v>20</v>
      </c>
      <c r="O17" s="5" t="s">
        <v>266</v>
      </c>
    </row>
    <row r="18" spans="1:21" x14ac:dyDescent="0.2">
      <c r="A18" s="5">
        <v>319</v>
      </c>
      <c r="B18" s="8" t="s">
        <v>331</v>
      </c>
      <c r="D18" s="8" t="s">
        <v>332</v>
      </c>
      <c r="E18" s="24">
        <v>43673</v>
      </c>
      <c r="F18" s="8" t="s">
        <v>259</v>
      </c>
      <c r="G18" s="8" t="s">
        <v>260</v>
      </c>
      <c r="H18" s="8" t="s">
        <v>333</v>
      </c>
      <c r="I18" s="8" t="s">
        <v>334</v>
      </c>
      <c r="J18" s="5">
        <f>6-2+4</f>
        <v>8</v>
      </c>
      <c r="K18" s="5" t="s">
        <v>21</v>
      </c>
      <c r="L18" s="5" t="s">
        <v>263</v>
      </c>
      <c r="M18" s="5" t="s">
        <v>319</v>
      </c>
      <c r="N18" s="5" t="s">
        <v>43</v>
      </c>
      <c r="O18" s="5" t="s">
        <v>266</v>
      </c>
      <c r="Q18" s="5" t="s">
        <v>335</v>
      </c>
    </row>
    <row r="19" spans="1:21" x14ac:dyDescent="0.2">
      <c r="A19" s="5"/>
      <c r="B19" s="8" t="s">
        <v>336</v>
      </c>
      <c r="H19" s="8" t="s">
        <v>337</v>
      </c>
      <c r="I19" s="8" t="s">
        <v>337</v>
      </c>
      <c r="J19" s="5">
        <f>20</f>
        <v>20</v>
      </c>
      <c r="K19" s="5" t="s">
        <v>21</v>
      </c>
      <c r="L19" s="5" t="s">
        <v>263</v>
      </c>
      <c r="M19" s="5" t="s">
        <v>319</v>
      </c>
      <c r="N19" s="5" t="s">
        <v>43</v>
      </c>
    </row>
    <row r="20" spans="1:21" x14ac:dyDescent="0.2">
      <c r="A20" s="5">
        <v>316</v>
      </c>
      <c r="B20" s="8" t="s">
        <v>338</v>
      </c>
      <c r="H20" s="8" t="s">
        <v>339</v>
      </c>
      <c r="I20" s="8" t="s">
        <v>339</v>
      </c>
      <c r="J20" s="5">
        <v>107</v>
      </c>
      <c r="K20" s="5" t="s">
        <v>21</v>
      </c>
      <c r="L20" s="5" t="s">
        <v>263</v>
      </c>
      <c r="M20" s="5" t="s">
        <v>319</v>
      </c>
      <c r="N20" s="5" t="s">
        <v>20</v>
      </c>
      <c r="O20" s="5" t="s">
        <v>266</v>
      </c>
    </row>
    <row r="21" spans="1:21" x14ac:dyDescent="0.2">
      <c r="A21" s="5">
        <v>317</v>
      </c>
      <c r="B21" s="8" t="s">
        <v>340</v>
      </c>
      <c r="D21" s="8" t="s">
        <v>281</v>
      </c>
      <c r="E21" s="24">
        <v>43686</v>
      </c>
      <c r="F21" s="8" t="s">
        <v>259</v>
      </c>
      <c r="G21" s="8" t="s">
        <v>260</v>
      </c>
      <c r="H21" s="8" t="s">
        <v>341</v>
      </c>
      <c r="I21" s="8" t="s">
        <v>342</v>
      </c>
      <c r="J21" s="5">
        <v>27</v>
      </c>
      <c r="K21" s="5" t="s">
        <v>21</v>
      </c>
      <c r="L21" s="5" t="s">
        <v>263</v>
      </c>
      <c r="M21" s="5" t="s">
        <v>319</v>
      </c>
      <c r="N21" s="5" t="s">
        <v>343</v>
      </c>
      <c r="O21" s="5" t="s">
        <v>266</v>
      </c>
    </row>
    <row r="22" spans="1:21" x14ac:dyDescent="0.2">
      <c r="A22" s="5">
        <v>315</v>
      </c>
      <c r="B22" s="8" t="s">
        <v>344</v>
      </c>
      <c r="D22" s="8" t="s">
        <v>345</v>
      </c>
      <c r="E22" s="24">
        <v>43687</v>
      </c>
      <c r="F22" s="8" t="s">
        <v>259</v>
      </c>
      <c r="G22" s="8" t="s">
        <v>260</v>
      </c>
      <c r="H22" s="8" t="s">
        <v>346</v>
      </c>
      <c r="I22" s="8" t="s">
        <v>346</v>
      </c>
      <c r="J22" s="5">
        <v>215</v>
      </c>
      <c r="K22" s="5" t="s">
        <v>292</v>
      </c>
      <c r="L22" s="5" t="s">
        <v>263</v>
      </c>
      <c r="M22" s="5" t="s">
        <v>319</v>
      </c>
      <c r="N22" s="5" t="s">
        <v>265</v>
      </c>
      <c r="O22" s="5" t="s">
        <v>266</v>
      </c>
      <c r="Q22" s="5" t="s">
        <v>347</v>
      </c>
    </row>
    <row r="23" spans="1:21" x14ac:dyDescent="0.2">
      <c r="A23" s="5">
        <v>311</v>
      </c>
      <c r="B23" s="8" t="s">
        <v>348</v>
      </c>
      <c r="H23" s="8" t="s">
        <v>349</v>
      </c>
      <c r="I23" s="8" t="s">
        <v>349</v>
      </c>
      <c r="J23" s="5">
        <v>15</v>
      </c>
      <c r="K23" s="5" t="s">
        <v>21</v>
      </c>
      <c r="L23" s="5" t="s">
        <v>263</v>
      </c>
      <c r="M23" s="5" t="s">
        <v>350</v>
      </c>
      <c r="N23" s="5" t="s">
        <v>43</v>
      </c>
      <c r="O23" s="5" t="s">
        <v>266</v>
      </c>
    </row>
    <row r="24" spans="1:21" x14ac:dyDescent="0.2">
      <c r="A24" s="5">
        <v>312</v>
      </c>
      <c r="B24" s="8" t="s">
        <v>351</v>
      </c>
      <c r="H24" s="8" t="s">
        <v>352</v>
      </c>
      <c r="I24" s="8" t="s">
        <v>352</v>
      </c>
      <c r="J24" s="5">
        <f>24</f>
        <v>24</v>
      </c>
      <c r="K24" s="5" t="s">
        <v>21</v>
      </c>
      <c r="L24" s="5" t="s">
        <v>263</v>
      </c>
      <c r="M24" s="5" t="s">
        <v>350</v>
      </c>
      <c r="N24" s="5" t="s">
        <v>43</v>
      </c>
      <c r="O24" s="5" t="s">
        <v>266</v>
      </c>
      <c r="U24" t="s">
        <v>321</v>
      </c>
    </row>
    <row r="25" spans="1:21" x14ac:dyDescent="0.2">
      <c r="A25" s="5">
        <v>310</v>
      </c>
      <c r="B25" s="8" t="s">
        <v>353</v>
      </c>
      <c r="H25" s="8" t="s">
        <v>354</v>
      </c>
      <c r="I25" s="8" t="s">
        <v>354</v>
      </c>
      <c r="J25" s="5">
        <f>1785-14</f>
        <v>1771</v>
      </c>
      <c r="K25" s="5" t="s">
        <v>21</v>
      </c>
      <c r="L25" s="5" t="s">
        <v>263</v>
      </c>
      <c r="M25" s="5" t="s">
        <v>355</v>
      </c>
      <c r="O25" s="5" t="s">
        <v>266</v>
      </c>
    </row>
    <row r="26" spans="1:21" x14ac:dyDescent="0.2">
      <c r="A26" s="5">
        <v>308</v>
      </c>
      <c r="B26" s="8">
        <v>6697</v>
      </c>
      <c r="H26" s="8" t="s">
        <v>356</v>
      </c>
      <c r="I26" s="8" t="s">
        <v>356</v>
      </c>
      <c r="J26" s="5">
        <v>2</v>
      </c>
      <c r="K26" s="5" t="s">
        <v>21</v>
      </c>
      <c r="L26" s="5" t="s">
        <v>263</v>
      </c>
      <c r="M26" s="5" t="s">
        <v>357</v>
      </c>
      <c r="N26" s="5" t="s">
        <v>43</v>
      </c>
      <c r="O26" s="5" t="s">
        <v>266</v>
      </c>
      <c r="Q26" s="5" t="s">
        <v>358</v>
      </c>
    </row>
    <row r="27" spans="1:21" x14ac:dyDescent="0.2">
      <c r="A27" s="5">
        <v>309</v>
      </c>
      <c r="B27" s="8" t="s">
        <v>359</v>
      </c>
      <c r="H27" s="8" t="s">
        <v>360</v>
      </c>
      <c r="I27" s="8" t="s">
        <v>360</v>
      </c>
      <c r="J27" s="5">
        <f>2-1-1</f>
        <v>0</v>
      </c>
      <c r="K27" s="5" t="s">
        <v>21</v>
      </c>
      <c r="L27" s="5" t="s">
        <v>263</v>
      </c>
      <c r="M27" s="5" t="s">
        <v>357</v>
      </c>
      <c r="N27" s="5" t="s">
        <v>265</v>
      </c>
      <c r="O27" s="5" t="s">
        <v>266</v>
      </c>
      <c r="Q27" s="5" t="s">
        <v>361</v>
      </c>
    </row>
    <row r="28" spans="1:21" x14ac:dyDescent="0.2">
      <c r="A28" s="5"/>
      <c r="B28" s="8" t="s">
        <v>362</v>
      </c>
      <c r="H28" s="8" t="s">
        <v>363</v>
      </c>
      <c r="I28" s="8" t="s">
        <v>363</v>
      </c>
      <c r="J28" s="5">
        <f>8</f>
        <v>8</v>
      </c>
      <c r="K28" s="5" t="s">
        <v>21</v>
      </c>
      <c r="L28" s="5" t="s">
        <v>263</v>
      </c>
      <c r="M28" s="5" t="s">
        <v>357</v>
      </c>
      <c r="Q28" s="107" t="s">
        <v>364</v>
      </c>
    </row>
    <row r="29" spans="1:21" x14ac:dyDescent="0.2">
      <c r="A29" s="5"/>
      <c r="B29" s="8" t="s">
        <v>365</v>
      </c>
      <c r="H29" s="8" t="s">
        <v>366</v>
      </c>
      <c r="I29" s="8" t="s">
        <v>367</v>
      </c>
      <c r="J29" s="5">
        <f>2</f>
        <v>2</v>
      </c>
      <c r="K29" s="5" t="s">
        <v>21</v>
      </c>
      <c r="L29" s="5" t="s">
        <v>263</v>
      </c>
      <c r="M29" s="5" t="s">
        <v>357</v>
      </c>
      <c r="Q29" s="107" t="s">
        <v>368</v>
      </c>
    </row>
    <row r="30" spans="1:21" x14ac:dyDescent="0.2">
      <c r="A30" s="5">
        <v>345</v>
      </c>
      <c r="C30" s="8" t="s">
        <v>369</v>
      </c>
      <c r="D30" s="8" t="s">
        <v>370</v>
      </c>
      <c r="E30" s="24">
        <v>43686</v>
      </c>
      <c r="F30" s="8" t="s">
        <v>259</v>
      </c>
      <c r="G30" s="8" t="s">
        <v>276</v>
      </c>
      <c r="H30" s="8" t="s">
        <v>371</v>
      </c>
      <c r="I30" s="8" t="s">
        <v>371</v>
      </c>
      <c r="J30" s="5">
        <f>14</f>
        <v>14</v>
      </c>
      <c r="K30" s="5" t="s">
        <v>21</v>
      </c>
      <c r="L30" s="5" t="s">
        <v>263</v>
      </c>
      <c r="M30" s="5" t="s">
        <v>372</v>
      </c>
      <c r="N30" s="5" t="s">
        <v>71</v>
      </c>
      <c r="O30" s="5" t="s">
        <v>266</v>
      </c>
      <c r="U30" t="s">
        <v>288</v>
      </c>
    </row>
    <row r="31" spans="1:21" x14ac:dyDescent="0.2">
      <c r="A31" s="5">
        <v>341</v>
      </c>
      <c r="B31" s="8" t="s">
        <v>373</v>
      </c>
      <c r="D31" s="8" t="s">
        <v>374</v>
      </c>
      <c r="E31" s="24">
        <v>43686</v>
      </c>
      <c r="F31" s="8" t="s">
        <v>259</v>
      </c>
      <c r="G31" s="8" t="s">
        <v>375</v>
      </c>
      <c r="H31" s="8" t="s">
        <v>376</v>
      </c>
      <c r="I31" s="8" t="s">
        <v>377</v>
      </c>
      <c r="J31" s="5">
        <v>60</v>
      </c>
      <c r="K31" s="5" t="s">
        <v>21</v>
      </c>
      <c r="L31" s="5" t="s">
        <v>263</v>
      </c>
      <c r="M31" s="5" t="s">
        <v>372</v>
      </c>
      <c r="N31" s="5" t="s">
        <v>265</v>
      </c>
      <c r="O31" s="5" t="s">
        <v>266</v>
      </c>
      <c r="Q31" s="5" t="s">
        <v>378</v>
      </c>
    </row>
    <row r="32" spans="1:21" x14ac:dyDescent="0.2">
      <c r="A32" s="5">
        <v>342</v>
      </c>
      <c r="B32" s="8" t="s">
        <v>379</v>
      </c>
      <c r="D32" s="8" t="s">
        <v>374</v>
      </c>
      <c r="E32" s="24">
        <v>43686</v>
      </c>
      <c r="F32" s="8" t="s">
        <v>259</v>
      </c>
      <c r="G32" s="8" t="s">
        <v>375</v>
      </c>
      <c r="H32" s="8" t="s">
        <v>380</v>
      </c>
      <c r="I32" s="8" t="s">
        <v>381</v>
      </c>
      <c r="J32" s="5">
        <v>54</v>
      </c>
      <c r="K32" s="5" t="s">
        <v>21</v>
      </c>
      <c r="L32" s="5" t="s">
        <v>263</v>
      </c>
      <c r="M32" s="5" t="s">
        <v>372</v>
      </c>
      <c r="N32" s="5" t="s">
        <v>43</v>
      </c>
      <c r="O32" s="5" t="s">
        <v>266</v>
      </c>
      <c r="Q32" s="5" t="s">
        <v>382</v>
      </c>
    </row>
    <row r="33" spans="1:21" x14ac:dyDescent="0.2">
      <c r="A33" s="5">
        <v>343</v>
      </c>
      <c r="B33" s="8" t="s">
        <v>383</v>
      </c>
      <c r="D33" s="8" t="s">
        <v>384</v>
      </c>
      <c r="E33" s="24">
        <v>43686</v>
      </c>
      <c r="F33" s="8" t="s">
        <v>259</v>
      </c>
      <c r="G33" s="8" t="s">
        <v>375</v>
      </c>
      <c r="H33" s="8" t="s">
        <v>385</v>
      </c>
      <c r="I33" s="8" t="s">
        <v>386</v>
      </c>
      <c r="J33" s="5">
        <v>19</v>
      </c>
      <c r="K33" s="5" t="s">
        <v>21</v>
      </c>
      <c r="L33" s="5" t="s">
        <v>263</v>
      </c>
      <c r="M33" s="5" t="s">
        <v>372</v>
      </c>
      <c r="N33" s="5" t="s">
        <v>43</v>
      </c>
      <c r="O33" s="5" t="s">
        <v>266</v>
      </c>
      <c r="Q33" s="5" t="s">
        <v>387</v>
      </c>
    </row>
    <row r="34" spans="1:21" x14ac:dyDescent="0.2">
      <c r="A34" s="5">
        <v>338</v>
      </c>
      <c r="B34" s="8" t="s">
        <v>388</v>
      </c>
      <c r="C34" s="8" t="s">
        <v>388</v>
      </c>
      <c r="D34" s="8" t="s">
        <v>281</v>
      </c>
      <c r="E34" s="24">
        <v>43686</v>
      </c>
      <c r="F34" s="8" t="s">
        <v>259</v>
      </c>
      <c r="G34" s="8" t="s">
        <v>276</v>
      </c>
      <c r="H34" s="8" t="s">
        <v>389</v>
      </c>
      <c r="I34" s="8" t="s">
        <v>390</v>
      </c>
      <c r="J34" s="5">
        <v>10</v>
      </c>
      <c r="K34" s="5" t="s">
        <v>21</v>
      </c>
      <c r="L34" s="5" t="s">
        <v>263</v>
      </c>
      <c r="M34" s="5" t="s">
        <v>372</v>
      </c>
      <c r="N34" s="5" t="s">
        <v>43</v>
      </c>
      <c r="O34" s="5" t="s">
        <v>266</v>
      </c>
    </row>
    <row r="35" spans="1:21" x14ac:dyDescent="0.2">
      <c r="A35" s="5"/>
      <c r="B35" s="8" t="s">
        <v>391</v>
      </c>
      <c r="H35" s="8" t="s">
        <v>392</v>
      </c>
      <c r="I35" s="8" t="s">
        <v>392</v>
      </c>
      <c r="J35" s="5">
        <f>20</f>
        <v>20</v>
      </c>
      <c r="K35" s="5" t="s">
        <v>21</v>
      </c>
      <c r="L35" s="5" t="s">
        <v>263</v>
      </c>
      <c r="M35" s="5" t="s">
        <v>372</v>
      </c>
      <c r="O35" s="5" t="s">
        <v>266</v>
      </c>
    </row>
    <row r="36" spans="1:21" x14ac:dyDescent="0.2">
      <c r="A36" s="5">
        <v>337</v>
      </c>
      <c r="B36" s="8" t="s">
        <v>393</v>
      </c>
      <c r="C36" s="8" t="s">
        <v>394</v>
      </c>
      <c r="D36" s="8" t="s">
        <v>395</v>
      </c>
      <c r="E36" s="24">
        <v>43686</v>
      </c>
      <c r="F36" s="8" t="s">
        <v>259</v>
      </c>
      <c r="G36" s="8" t="s">
        <v>276</v>
      </c>
      <c r="H36" s="8" t="s">
        <v>396</v>
      </c>
      <c r="I36" s="8" t="s">
        <v>397</v>
      </c>
      <c r="J36" s="5">
        <f>40</f>
        <v>40</v>
      </c>
      <c r="K36" s="5" t="s">
        <v>21</v>
      </c>
      <c r="L36" s="5" t="s">
        <v>263</v>
      </c>
      <c r="M36" s="5" t="s">
        <v>372</v>
      </c>
      <c r="N36" s="5" t="s">
        <v>43</v>
      </c>
      <c r="O36" s="5" t="s">
        <v>266</v>
      </c>
      <c r="Q36" s="5" t="s">
        <v>398</v>
      </c>
    </row>
    <row r="37" spans="1:21" x14ac:dyDescent="0.2">
      <c r="A37" s="5"/>
      <c r="B37" s="8" t="s">
        <v>399</v>
      </c>
      <c r="H37" s="8" t="s">
        <v>400</v>
      </c>
      <c r="I37" s="8" t="s">
        <v>400</v>
      </c>
      <c r="J37" s="5">
        <f>58</f>
        <v>58</v>
      </c>
      <c r="K37" s="5" t="s">
        <v>21</v>
      </c>
      <c r="L37" s="5" t="s">
        <v>263</v>
      </c>
      <c r="M37" s="5" t="s">
        <v>372</v>
      </c>
      <c r="O37" s="5" t="s">
        <v>266</v>
      </c>
    </row>
    <row r="38" spans="1:21" x14ac:dyDescent="0.2">
      <c r="A38" s="5">
        <v>344</v>
      </c>
      <c r="B38" s="8" t="s">
        <v>401</v>
      </c>
      <c r="H38" s="8" t="s">
        <v>402</v>
      </c>
      <c r="I38" s="8" t="s">
        <v>402</v>
      </c>
      <c r="J38" s="5">
        <f>318-5+5</f>
        <v>318</v>
      </c>
      <c r="K38" s="5" t="s">
        <v>21</v>
      </c>
      <c r="L38" s="5" t="s">
        <v>263</v>
      </c>
      <c r="M38" s="5" t="s">
        <v>372</v>
      </c>
      <c r="N38" s="5" t="s">
        <v>43</v>
      </c>
      <c r="O38" s="5" t="s">
        <v>266</v>
      </c>
    </row>
    <row r="39" spans="1:21" x14ac:dyDescent="0.2">
      <c r="A39" s="5">
        <v>334</v>
      </c>
      <c r="H39" s="8" t="s">
        <v>403</v>
      </c>
      <c r="I39" s="8" t="s">
        <v>403</v>
      </c>
      <c r="J39" s="5">
        <f>63</f>
        <v>63</v>
      </c>
      <c r="K39" s="5" t="s">
        <v>21</v>
      </c>
      <c r="L39" s="5" t="s">
        <v>263</v>
      </c>
      <c r="M39" s="5" t="s">
        <v>404</v>
      </c>
      <c r="O39" s="5" t="s">
        <v>266</v>
      </c>
      <c r="U39" t="s">
        <v>288</v>
      </c>
    </row>
    <row r="40" spans="1:21" x14ac:dyDescent="0.2">
      <c r="A40" s="5">
        <v>332</v>
      </c>
      <c r="B40" s="8" t="s">
        <v>405</v>
      </c>
      <c r="C40" s="8">
        <v>132102</v>
      </c>
      <c r="D40" s="8" t="s">
        <v>275</v>
      </c>
      <c r="E40" s="24">
        <v>43673</v>
      </c>
      <c r="F40" s="8" t="s">
        <v>259</v>
      </c>
      <c r="G40" s="8" t="s">
        <v>276</v>
      </c>
      <c r="H40" s="8" t="s">
        <v>406</v>
      </c>
      <c r="I40" s="8" t="s">
        <v>407</v>
      </c>
      <c r="J40" s="5">
        <f>84+36</f>
        <v>120</v>
      </c>
      <c r="K40" s="5" t="s">
        <v>21</v>
      </c>
      <c r="L40" s="5" t="s">
        <v>263</v>
      </c>
      <c r="M40" s="5" t="s">
        <v>404</v>
      </c>
      <c r="N40" s="5" t="s">
        <v>408</v>
      </c>
      <c r="O40" s="5" t="s">
        <v>266</v>
      </c>
      <c r="Q40" s="5" t="s">
        <v>299</v>
      </c>
    </row>
    <row r="41" spans="1:21" x14ac:dyDescent="0.2">
      <c r="A41" s="5">
        <v>335</v>
      </c>
      <c r="B41" s="8" t="s">
        <v>409</v>
      </c>
      <c r="H41" s="8" t="s">
        <v>410</v>
      </c>
      <c r="I41" s="8" t="s">
        <v>410</v>
      </c>
      <c r="J41" s="5">
        <f>18</f>
        <v>18</v>
      </c>
      <c r="K41" s="5" t="s">
        <v>21</v>
      </c>
      <c r="L41" s="5" t="s">
        <v>263</v>
      </c>
      <c r="M41" s="5" t="s">
        <v>404</v>
      </c>
      <c r="N41" s="5" t="s">
        <v>43</v>
      </c>
      <c r="O41" s="5" t="s">
        <v>266</v>
      </c>
    </row>
    <row r="42" spans="1:21" x14ac:dyDescent="0.2">
      <c r="A42" s="5">
        <v>331</v>
      </c>
      <c r="B42" s="8" t="s">
        <v>411</v>
      </c>
      <c r="D42" s="8" t="s">
        <v>323</v>
      </c>
      <c r="E42" s="24">
        <v>43673</v>
      </c>
      <c r="F42" s="8" t="s">
        <v>259</v>
      </c>
      <c r="G42" s="8" t="s">
        <v>260</v>
      </c>
      <c r="H42" s="8" t="s">
        <v>412</v>
      </c>
      <c r="I42" s="8" t="s">
        <v>413</v>
      </c>
      <c r="J42" s="5">
        <f>69</f>
        <v>69</v>
      </c>
      <c r="K42" s="5" t="s">
        <v>21</v>
      </c>
      <c r="L42" s="5" t="s">
        <v>263</v>
      </c>
      <c r="M42" s="5" t="s">
        <v>404</v>
      </c>
      <c r="N42" s="5" t="s">
        <v>265</v>
      </c>
      <c r="O42" s="5" t="s">
        <v>266</v>
      </c>
      <c r="Q42" s="5" t="s">
        <v>327</v>
      </c>
    </row>
    <row r="43" spans="1:21" x14ac:dyDescent="0.2">
      <c r="A43" s="5">
        <v>330</v>
      </c>
      <c r="B43" s="8" t="s">
        <v>414</v>
      </c>
      <c r="C43" s="8">
        <v>132170</v>
      </c>
      <c r="D43" s="8" t="s">
        <v>275</v>
      </c>
      <c r="E43" s="24">
        <v>43673</v>
      </c>
      <c r="F43" s="8" t="s">
        <v>259</v>
      </c>
      <c r="G43" s="8" t="s">
        <v>276</v>
      </c>
      <c r="H43" s="8" t="s">
        <v>293</v>
      </c>
      <c r="I43" s="8" t="s">
        <v>415</v>
      </c>
      <c r="J43" s="5">
        <f>116-3-1-3-20-1</f>
        <v>88</v>
      </c>
      <c r="K43" s="5" t="s">
        <v>21</v>
      </c>
      <c r="L43" s="5" t="s">
        <v>263</v>
      </c>
      <c r="M43" s="5" t="s">
        <v>404</v>
      </c>
      <c r="N43" s="5" t="s">
        <v>43</v>
      </c>
      <c r="O43" s="5" t="s">
        <v>266</v>
      </c>
      <c r="Q43" s="5" t="s">
        <v>416</v>
      </c>
    </row>
    <row r="44" spans="1:21" x14ac:dyDescent="0.2">
      <c r="A44" s="5"/>
      <c r="B44" s="8" t="s">
        <v>417</v>
      </c>
      <c r="H44" s="8" t="s">
        <v>418</v>
      </c>
      <c r="I44" s="8" t="s">
        <v>418</v>
      </c>
      <c r="J44" s="5">
        <f>2-1</f>
        <v>1</v>
      </c>
      <c r="K44" s="5" t="s">
        <v>21</v>
      </c>
      <c r="L44" s="5" t="s">
        <v>263</v>
      </c>
      <c r="M44" s="5" t="s">
        <v>404</v>
      </c>
      <c r="N44" s="5" t="s">
        <v>71</v>
      </c>
      <c r="O44" s="5" t="s">
        <v>266</v>
      </c>
      <c r="Q44" s="5" t="s">
        <v>419</v>
      </c>
    </row>
    <row r="45" spans="1:21" x14ac:dyDescent="0.2">
      <c r="A45" s="5">
        <v>346</v>
      </c>
      <c r="B45" s="8" t="s">
        <v>420</v>
      </c>
      <c r="D45" s="8" t="s">
        <v>306</v>
      </c>
      <c r="E45" s="24">
        <v>43686</v>
      </c>
      <c r="F45" s="8" t="s">
        <v>259</v>
      </c>
      <c r="G45" s="8" t="s">
        <v>260</v>
      </c>
      <c r="H45" s="8" t="s">
        <v>421</v>
      </c>
      <c r="I45" s="8" t="s">
        <v>421</v>
      </c>
      <c r="J45" s="5">
        <f>5</f>
        <v>5</v>
      </c>
      <c r="K45" s="5" t="s">
        <v>21</v>
      </c>
      <c r="L45" s="5" t="s">
        <v>263</v>
      </c>
      <c r="M45" s="5" t="s">
        <v>422</v>
      </c>
      <c r="N45" s="5" t="s">
        <v>265</v>
      </c>
      <c r="O45" s="5" t="s">
        <v>266</v>
      </c>
      <c r="Q45" s="5" t="s">
        <v>423</v>
      </c>
    </row>
    <row r="46" spans="1:21" x14ac:dyDescent="0.2">
      <c r="A46" s="5">
        <v>333</v>
      </c>
      <c r="B46" s="8" t="s">
        <v>424</v>
      </c>
      <c r="D46" s="8" t="s">
        <v>269</v>
      </c>
      <c r="E46" s="24">
        <v>43673</v>
      </c>
      <c r="F46" s="8" t="s">
        <v>259</v>
      </c>
      <c r="G46" s="8" t="s">
        <v>260</v>
      </c>
      <c r="H46" s="8" t="s">
        <v>425</v>
      </c>
      <c r="I46" s="8" t="s">
        <v>426</v>
      </c>
      <c r="J46" s="5">
        <f>1</f>
        <v>1</v>
      </c>
      <c r="K46" s="5" t="s">
        <v>21</v>
      </c>
      <c r="L46" s="5" t="s">
        <v>263</v>
      </c>
      <c r="M46" s="5" t="s">
        <v>422</v>
      </c>
      <c r="N46" s="5" t="s">
        <v>265</v>
      </c>
      <c r="O46" s="5" t="s">
        <v>266</v>
      </c>
      <c r="Q46" s="5" t="s">
        <v>427</v>
      </c>
    </row>
    <row r="47" spans="1:21" x14ac:dyDescent="0.2">
      <c r="A47" s="5">
        <v>347</v>
      </c>
      <c r="B47" s="8" t="s">
        <v>428</v>
      </c>
      <c r="H47" s="8" t="s">
        <v>429</v>
      </c>
      <c r="I47" s="8" t="s">
        <v>430</v>
      </c>
      <c r="J47" s="5">
        <f>820</f>
        <v>820</v>
      </c>
      <c r="K47" s="5" t="s">
        <v>21</v>
      </c>
      <c r="L47" s="5" t="s">
        <v>263</v>
      </c>
      <c r="M47" s="5" t="s">
        <v>422</v>
      </c>
      <c r="N47" s="5" t="s">
        <v>265</v>
      </c>
      <c r="O47" s="5" t="s">
        <v>266</v>
      </c>
    </row>
    <row r="48" spans="1:21" x14ac:dyDescent="0.2">
      <c r="A48" s="5">
        <v>336</v>
      </c>
      <c r="B48" s="8" t="s">
        <v>431</v>
      </c>
      <c r="D48" s="8" t="s">
        <v>432</v>
      </c>
      <c r="E48" s="24">
        <v>43686</v>
      </c>
      <c r="F48" s="8" t="s">
        <v>259</v>
      </c>
      <c r="G48" s="8" t="s">
        <v>375</v>
      </c>
      <c r="H48" s="8" t="s">
        <v>389</v>
      </c>
      <c r="I48" s="8" t="s">
        <v>433</v>
      </c>
      <c r="J48" s="5">
        <f>109</f>
        <v>109</v>
      </c>
      <c r="K48" s="5" t="s">
        <v>21</v>
      </c>
      <c r="L48" s="5" t="s">
        <v>263</v>
      </c>
      <c r="M48" s="5" t="s">
        <v>434</v>
      </c>
      <c r="N48" s="5" t="s">
        <v>43</v>
      </c>
      <c r="O48" s="5" t="s">
        <v>266</v>
      </c>
      <c r="Q48" s="5" t="s">
        <v>416</v>
      </c>
    </row>
    <row r="49" spans="1:17" x14ac:dyDescent="0.2">
      <c r="A49" s="5">
        <v>339</v>
      </c>
      <c r="B49" s="8" t="s">
        <v>431</v>
      </c>
      <c r="D49" s="8" t="s">
        <v>432</v>
      </c>
      <c r="E49" s="24">
        <v>43686</v>
      </c>
      <c r="F49" s="8" t="s">
        <v>259</v>
      </c>
      <c r="G49" s="8" t="s">
        <v>375</v>
      </c>
      <c r="H49" s="8" t="s">
        <v>389</v>
      </c>
      <c r="I49" s="8" t="s">
        <v>433</v>
      </c>
      <c r="J49" s="5">
        <v>0</v>
      </c>
      <c r="K49" s="5" t="s">
        <v>21</v>
      </c>
      <c r="L49" s="5" t="s">
        <v>263</v>
      </c>
      <c r="M49" s="5" t="s">
        <v>434</v>
      </c>
      <c r="N49" s="5" t="s">
        <v>43</v>
      </c>
      <c r="O49" s="5" t="s">
        <v>266</v>
      </c>
      <c r="Q49" s="5" t="s">
        <v>435</v>
      </c>
    </row>
    <row r="50" spans="1:17" x14ac:dyDescent="0.2">
      <c r="A50" s="5">
        <v>348</v>
      </c>
      <c r="B50" s="8" t="s">
        <v>436</v>
      </c>
      <c r="D50" s="8" t="s">
        <v>306</v>
      </c>
      <c r="E50" s="24">
        <v>43686</v>
      </c>
      <c r="F50" s="8" t="s">
        <v>259</v>
      </c>
      <c r="G50" s="8" t="s">
        <v>260</v>
      </c>
      <c r="H50" s="8" t="s">
        <v>437</v>
      </c>
      <c r="I50" s="8" t="s">
        <v>438</v>
      </c>
      <c r="J50" s="5">
        <f>122-3-3-2-4</f>
        <v>110</v>
      </c>
      <c r="K50" s="5" t="s">
        <v>21</v>
      </c>
      <c r="L50" s="5" t="s">
        <v>263</v>
      </c>
      <c r="M50" s="5" t="s">
        <v>434</v>
      </c>
      <c r="N50" s="5" t="s">
        <v>71</v>
      </c>
      <c r="O50" s="5" t="s">
        <v>266</v>
      </c>
      <c r="Q50" s="5" t="s">
        <v>439</v>
      </c>
    </row>
    <row r="51" spans="1:17" x14ac:dyDescent="0.2">
      <c r="A51" s="5"/>
      <c r="B51" s="8">
        <v>230016003</v>
      </c>
      <c r="H51" s="8" t="s">
        <v>440</v>
      </c>
      <c r="I51" s="8" t="s">
        <v>440</v>
      </c>
      <c r="J51" s="5">
        <f>30-6-7+10-1-1</f>
        <v>25</v>
      </c>
      <c r="K51" s="5" t="s">
        <v>21</v>
      </c>
      <c r="L51" s="5" t="s">
        <v>263</v>
      </c>
      <c r="M51" s="5" t="s">
        <v>434</v>
      </c>
      <c r="N51" s="5" t="s">
        <v>43</v>
      </c>
      <c r="Q51" s="107" t="s">
        <v>441</v>
      </c>
    </row>
    <row r="52" spans="1:17" x14ac:dyDescent="0.2">
      <c r="A52" s="5"/>
      <c r="B52" s="8">
        <v>34150209</v>
      </c>
      <c r="H52" s="8" t="s">
        <v>442</v>
      </c>
      <c r="I52" s="8" t="s">
        <v>442</v>
      </c>
      <c r="J52" s="5">
        <f>30-10-7+5-1-1+6+10-4</f>
        <v>28</v>
      </c>
      <c r="K52" s="5" t="s">
        <v>21</v>
      </c>
      <c r="L52" s="5" t="s">
        <v>263</v>
      </c>
      <c r="M52" s="5" t="s">
        <v>434</v>
      </c>
      <c r="N52" s="5" t="s">
        <v>443</v>
      </c>
      <c r="Q52" s="107" t="s">
        <v>441</v>
      </c>
    </row>
    <row r="53" spans="1:17" x14ac:dyDescent="0.2">
      <c r="A53" s="5"/>
      <c r="B53" s="8">
        <v>34150215</v>
      </c>
      <c r="I53" s="8" t="s">
        <v>442</v>
      </c>
      <c r="J53" s="5">
        <f>56-8</f>
        <v>48</v>
      </c>
      <c r="K53" s="5" t="s">
        <v>21</v>
      </c>
      <c r="L53" s="5" t="s">
        <v>263</v>
      </c>
      <c r="M53" s="5" t="s">
        <v>434</v>
      </c>
      <c r="Q53" s="107"/>
    </row>
    <row r="54" spans="1:17" x14ac:dyDescent="0.2">
      <c r="A54" s="5"/>
      <c r="B54" s="8">
        <v>34150225</v>
      </c>
      <c r="I54" s="8" t="s">
        <v>80</v>
      </c>
      <c r="J54" s="5">
        <f>50-16</f>
        <v>34</v>
      </c>
      <c r="K54" s="5" t="s">
        <v>21</v>
      </c>
      <c r="L54" s="5" t="s">
        <v>263</v>
      </c>
      <c r="M54" s="5" t="s">
        <v>434</v>
      </c>
      <c r="Q54" s="107"/>
    </row>
    <row r="55" spans="1:17" x14ac:dyDescent="0.2">
      <c r="A55" s="5"/>
      <c r="B55" s="8">
        <v>210113023</v>
      </c>
      <c r="I55" s="8" t="s">
        <v>444</v>
      </c>
      <c r="J55" s="5">
        <f>14</f>
        <v>14</v>
      </c>
      <c r="K55" s="5" t="s">
        <v>21</v>
      </c>
      <c r="L55" s="5" t="s">
        <v>263</v>
      </c>
      <c r="M55" s="5" t="s">
        <v>434</v>
      </c>
      <c r="Q55" s="107"/>
    </row>
    <row r="56" spans="1:17" x14ac:dyDescent="0.2">
      <c r="A56" s="5"/>
      <c r="B56" s="8">
        <v>234016003</v>
      </c>
      <c r="I56" s="8" t="s">
        <v>445</v>
      </c>
      <c r="J56" s="5">
        <f>16-16</f>
        <v>0</v>
      </c>
      <c r="K56" s="5" t="s">
        <v>21</v>
      </c>
      <c r="L56" s="5" t="s">
        <v>263</v>
      </c>
      <c r="M56" s="5" t="s">
        <v>434</v>
      </c>
      <c r="Q56" s="107"/>
    </row>
    <row r="57" spans="1:17" x14ac:dyDescent="0.2">
      <c r="A57" s="5"/>
      <c r="B57" s="8">
        <v>232016003</v>
      </c>
      <c r="I57" s="8" t="s">
        <v>446</v>
      </c>
      <c r="J57" s="5">
        <f>8-8</f>
        <v>0</v>
      </c>
      <c r="K57" s="5" t="s">
        <v>21</v>
      </c>
      <c r="L57" s="5" t="s">
        <v>263</v>
      </c>
      <c r="M57" s="5" t="s">
        <v>434</v>
      </c>
      <c r="Q57" s="107"/>
    </row>
    <row r="58" spans="1:17" x14ac:dyDescent="0.2">
      <c r="A58" s="5">
        <v>353</v>
      </c>
      <c r="B58" s="8" t="s">
        <v>447</v>
      </c>
      <c r="H58" s="8" t="s">
        <v>448</v>
      </c>
      <c r="I58" s="8" t="s">
        <v>449</v>
      </c>
      <c r="J58" s="5">
        <f>412</f>
        <v>412</v>
      </c>
      <c r="K58" s="5" t="s">
        <v>21</v>
      </c>
      <c r="L58" s="5" t="s">
        <v>263</v>
      </c>
      <c r="M58" s="5" t="s">
        <v>450</v>
      </c>
      <c r="N58" s="5" t="s">
        <v>43</v>
      </c>
      <c r="O58" s="5" t="s">
        <v>266</v>
      </c>
      <c r="Q58" s="5" t="s">
        <v>451</v>
      </c>
    </row>
    <row r="59" spans="1:17" x14ac:dyDescent="0.2">
      <c r="A59" s="5">
        <v>352</v>
      </c>
      <c r="B59" s="8" t="s">
        <v>452</v>
      </c>
      <c r="H59" s="8" t="s">
        <v>453</v>
      </c>
      <c r="I59" s="8" t="s">
        <v>453</v>
      </c>
      <c r="J59" s="5">
        <f>536</f>
        <v>536</v>
      </c>
      <c r="K59" s="5" t="s">
        <v>21</v>
      </c>
      <c r="L59" s="5" t="s">
        <v>263</v>
      </c>
      <c r="M59" s="5" t="s">
        <v>454</v>
      </c>
      <c r="O59" s="5" t="s">
        <v>266</v>
      </c>
      <c r="Q59" s="5" t="s">
        <v>455</v>
      </c>
    </row>
    <row r="60" spans="1:17" x14ac:dyDescent="0.2">
      <c r="A60" s="5">
        <v>355</v>
      </c>
      <c r="B60" s="8" t="s">
        <v>456</v>
      </c>
      <c r="H60" s="8" t="s">
        <v>457</v>
      </c>
      <c r="I60" s="8" t="s">
        <v>458</v>
      </c>
      <c r="J60" s="5">
        <f>315-2-3-3-20-2-32-5-2+300-5-15-4-6-5-45-1-40</f>
        <v>425</v>
      </c>
      <c r="K60" s="5" t="s">
        <v>21</v>
      </c>
      <c r="L60" s="5" t="s">
        <v>263</v>
      </c>
      <c r="M60" s="5" t="s">
        <v>459</v>
      </c>
      <c r="N60" s="5" t="s">
        <v>43</v>
      </c>
      <c r="O60" s="5" t="s">
        <v>266</v>
      </c>
      <c r="Q60" s="5" t="s">
        <v>460</v>
      </c>
    </row>
    <row r="61" spans="1:17" x14ac:dyDescent="0.2">
      <c r="A61" s="5">
        <v>350</v>
      </c>
      <c r="B61" s="133" t="s">
        <v>222</v>
      </c>
      <c r="D61" s="8" t="s">
        <v>461</v>
      </c>
      <c r="E61" s="24">
        <v>43685</v>
      </c>
      <c r="F61" s="8" t="s">
        <v>259</v>
      </c>
      <c r="G61" s="8" t="s">
        <v>260</v>
      </c>
      <c r="H61" s="8" t="s">
        <v>462</v>
      </c>
      <c r="I61" s="8" t="s">
        <v>463</v>
      </c>
      <c r="J61" s="5">
        <f>200+100-6-5-7-2-19+2-26+12-15-45-40</f>
        <v>149</v>
      </c>
      <c r="K61" s="5" t="s">
        <v>21</v>
      </c>
      <c r="L61" s="5" t="s">
        <v>263</v>
      </c>
      <c r="M61" s="5" t="s">
        <v>459</v>
      </c>
      <c r="N61" s="5" t="s">
        <v>265</v>
      </c>
      <c r="O61" s="5" t="s">
        <v>266</v>
      </c>
      <c r="Q61" s="5" t="s">
        <v>464</v>
      </c>
    </row>
    <row r="62" spans="1:17" x14ac:dyDescent="0.2">
      <c r="A62" s="5">
        <v>349</v>
      </c>
      <c r="B62" s="8" t="s">
        <v>465</v>
      </c>
      <c r="H62" s="8" t="s">
        <v>466</v>
      </c>
      <c r="I62" s="8" t="s">
        <v>466</v>
      </c>
      <c r="J62" s="5">
        <f>969</f>
        <v>969</v>
      </c>
      <c r="K62" s="5" t="s">
        <v>21</v>
      </c>
      <c r="L62" s="5" t="s">
        <v>263</v>
      </c>
      <c r="M62" s="5" t="s">
        <v>467</v>
      </c>
      <c r="N62" s="5" t="s">
        <v>43</v>
      </c>
      <c r="O62" s="5" t="s">
        <v>266</v>
      </c>
      <c r="Q62" s="5" t="s">
        <v>468</v>
      </c>
    </row>
    <row r="63" spans="1:17" x14ac:dyDescent="0.2">
      <c r="A63" s="5">
        <v>351</v>
      </c>
      <c r="B63" s="8" t="s">
        <v>469</v>
      </c>
      <c r="D63" s="8" t="s">
        <v>461</v>
      </c>
      <c r="E63" s="24">
        <v>43686</v>
      </c>
      <c r="F63" s="8" t="s">
        <v>259</v>
      </c>
      <c r="G63" s="8" t="s">
        <v>260</v>
      </c>
      <c r="H63" s="8" t="s">
        <v>470</v>
      </c>
      <c r="I63" s="8" t="s">
        <v>471</v>
      </c>
      <c r="J63" s="5">
        <f>2493</f>
        <v>2493</v>
      </c>
      <c r="K63" s="5" t="s">
        <v>21</v>
      </c>
      <c r="L63" s="5" t="s">
        <v>263</v>
      </c>
      <c r="M63" s="5" t="s">
        <v>472</v>
      </c>
      <c r="N63" s="5" t="s">
        <v>43</v>
      </c>
      <c r="O63" s="5" t="s">
        <v>266</v>
      </c>
      <c r="Q63" s="5" t="s">
        <v>473</v>
      </c>
    </row>
    <row r="64" spans="1:17" x14ac:dyDescent="0.2">
      <c r="A64" s="5"/>
      <c r="B64" s="8" t="s">
        <v>474</v>
      </c>
      <c r="H64" s="8" t="s">
        <v>475</v>
      </c>
      <c r="I64" s="8" t="s">
        <v>475</v>
      </c>
      <c r="J64" s="5">
        <f>19-8</f>
        <v>11</v>
      </c>
      <c r="K64" s="5" t="s">
        <v>21</v>
      </c>
      <c r="L64" s="5" t="s">
        <v>263</v>
      </c>
      <c r="M64" s="5" t="s">
        <v>476</v>
      </c>
      <c r="N64" s="5" t="s">
        <v>43</v>
      </c>
      <c r="Q64" s="107" t="s">
        <v>477</v>
      </c>
    </row>
    <row r="65" spans="1:27" x14ac:dyDescent="0.2">
      <c r="A65" s="5"/>
      <c r="B65" s="8" t="s">
        <v>478</v>
      </c>
      <c r="H65" s="8" t="s">
        <v>479</v>
      </c>
      <c r="I65" s="8" t="s">
        <v>479</v>
      </c>
      <c r="J65" s="5">
        <f>40-8-12-16+16-1</f>
        <v>19</v>
      </c>
      <c r="K65" s="5" t="s">
        <v>21</v>
      </c>
      <c r="L65" s="5" t="s">
        <v>263</v>
      </c>
      <c r="M65" s="5" t="s">
        <v>480</v>
      </c>
      <c r="N65" s="5" t="s">
        <v>43</v>
      </c>
      <c r="Q65" s="107" t="s">
        <v>477</v>
      </c>
    </row>
    <row r="66" spans="1:27" x14ac:dyDescent="0.2">
      <c r="A66" s="5"/>
      <c r="B66" s="8" t="s">
        <v>70</v>
      </c>
      <c r="H66" s="8" t="s">
        <v>481</v>
      </c>
      <c r="I66" s="8" t="s">
        <v>482</v>
      </c>
      <c r="J66" s="5">
        <f>60-5-16-6</f>
        <v>33</v>
      </c>
      <c r="K66" s="5" t="s">
        <v>21</v>
      </c>
      <c r="L66" s="5" t="s">
        <v>263</v>
      </c>
      <c r="M66" s="5" t="s">
        <v>480</v>
      </c>
      <c r="N66" s="5" t="s">
        <v>71</v>
      </c>
      <c r="Q66" s="107" t="s">
        <v>483</v>
      </c>
    </row>
    <row r="67" spans="1:27" x14ac:dyDescent="0.2">
      <c r="A67" s="5"/>
      <c r="B67" s="8" t="s">
        <v>484</v>
      </c>
      <c r="I67" s="8" t="s">
        <v>485</v>
      </c>
      <c r="J67" s="5">
        <f>3</f>
        <v>3</v>
      </c>
      <c r="K67" s="5" t="s">
        <v>21</v>
      </c>
      <c r="L67" s="5" t="s">
        <v>263</v>
      </c>
      <c r="M67" s="5" t="s">
        <v>486</v>
      </c>
      <c r="Q67" s="107"/>
    </row>
    <row r="68" spans="1:27" x14ac:dyDescent="0.2">
      <c r="A68" s="5"/>
      <c r="B68" s="8" t="s">
        <v>487</v>
      </c>
      <c r="H68" s="8" t="s">
        <v>488</v>
      </c>
      <c r="I68" s="8" t="s">
        <v>488</v>
      </c>
      <c r="J68" s="5">
        <f>13+29</f>
        <v>42</v>
      </c>
      <c r="K68" s="5" t="s">
        <v>21</v>
      </c>
      <c r="L68" s="5" t="s">
        <v>263</v>
      </c>
      <c r="M68" s="5" t="s">
        <v>480</v>
      </c>
      <c r="U68" s="5"/>
      <c r="V68" s="5"/>
      <c r="W68" s="5"/>
      <c r="X68" s="5"/>
      <c r="Y68" s="5"/>
      <c r="Z68" s="5"/>
      <c r="AA68" s="5"/>
    </row>
    <row r="69" spans="1:27" x14ac:dyDescent="0.2">
      <c r="A69" s="5"/>
      <c r="B69" s="8" t="s">
        <v>489</v>
      </c>
      <c r="H69" s="8" t="s">
        <v>490</v>
      </c>
      <c r="I69" s="8" t="s">
        <v>490</v>
      </c>
      <c r="J69" s="5">
        <f>0</f>
        <v>0</v>
      </c>
      <c r="K69" s="5" t="s">
        <v>21</v>
      </c>
      <c r="L69" s="5" t="s">
        <v>263</v>
      </c>
      <c r="M69" s="5" t="s">
        <v>480</v>
      </c>
      <c r="Q69" s="107"/>
      <c r="R69" s="5" t="s">
        <v>491</v>
      </c>
    </row>
    <row r="70" spans="1:27" x14ac:dyDescent="0.2">
      <c r="A70" s="5"/>
      <c r="B70" s="8" t="s">
        <v>492</v>
      </c>
      <c r="H70" s="8" t="s">
        <v>493</v>
      </c>
      <c r="I70" s="8" t="s">
        <v>493</v>
      </c>
      <c r="J70" s="5">
        <f>30-7-22</f>
        <v>1</v>
      </c>
      <c r="K70" s="5" t="s">
        <v>21</v>
      </c>
      <c r="L70" s="5" t="s">
        <v>263</v>
      </c>
      <c r="M70" s="5" t="s">
        <v>480</v>
      </c>
      <c r="Q70" s="107"/>
    </row>
    <row r="71" spans="1:27" x14ac:dyDescent="0.2">
      <c r="A71" s="5"/>
      <c r="B71" s="8" t="s">
        <v>494</v>
      </c>
      <c r="I71" s="8" t="s">
        <v>495</v>
      </c>
      <c r="J71" s="5">
        <f>10-1</f>
        <v>9</v>
      </c>
      <c r="K71" s="5" t="s">
        <v>21</v>
      </c>
      <c r="L71" s="5" t="s">
        <v>263</v>
      </c>
      <c r="M71" s="5" t="s">
        <v>486</v>
      </c>
      <c r="Q71" s="107"/>
    </row>
    <row r="72" spans="1:27" x14ac:dyDescent="0.2">
      <c r="A72" s="5"/>
      <c r="B72" s="8" t="s">
        <v>496</v>
      </c>
      <c r="I72" s="8" t="s">
        <v>497</v>
      </c>
      <c r="J72" s="5">
        <f>20-1-8-8</f>
        <v>3</v>
      </c>
      <c r="K72" s="5" t="s">
        <v>21</v>
      </c>
      <c r="L72" s="5" t="s">
        <v>263</v>
      </c>
      <c r="M72" s="5" t="s">
        <v>486</v>
      </c>
      <c r="Q72" s="107"/>
    </row>
    <row r="73" spans="1:27" x14ac:dyDescent="0.2">
      <c r="A73" s="5"/>
      <c r="B73" s="8" t="s">
        <v>498</v>
      </c>
      <c r="I73" s="8" t="s">
        <v>499</v>
      </c>
      <c r="J73" s="5">
        <f>4-2</f>
        <v>2</v>
      </c>
      <c r="K73" s="5" t="s">
        <v>21</v>
      </c>
      <c r="L73" s="5" t="s">
        <v>263</v>
      </c>
      <c r="M73" s="5" t="s">
        <v>486</v>
      </c>
      <c r="Q73" s="107"/>
    </row>
    <row r="74" spans="1:27" x14ac:dyDescent="0.2">
      <c r="A74" s="5"/>
      <c r="B74" s="8" t="s">
        <v>500</v>
      </c>
      <c r="I74" s="8" t="s">
        <v>501</v>
      </c>
      <c r="J74" s="5">
        <f>10-4-1</f>
        <v>5</v>
      </c>
      <c r="K74" s="5" t="s">
        <v>21</v>
      </c>
      <c r="L74" s="5" t="s">
        <v>263</v>
      </c>
      <c r="M74" s="5" t="s">
        <v>486</v>
      </c>
      <c r="Q74" s="107"/>
    </row>
    <row r="75" spans="1:27" x14ac:dyDescent="0.2">
      <c r="A75" s="5"/>
      <c r="B75" s="8" t="s">
        <v>137</v>
      </c>
      <c r="I75" s="8" t="s">
        <v>502</v>
      </c>
      <c r="J75" s="5">
        <f>1</f>
        <v>1</v>
      </c>
      <c r="K75" s="5" t="s">
        <v>21</v>
      </c>
      <c r="L75" s="5" t="s">
        <v>263</v>
      </c>
      <c r="M75" s="5" t="s">
        <v>486</v>
      </c>
      <c r="Q75" s="107"/>
    </row>
    <row r="76" spans="1:27" x14ac:dyDescent="0.2">
      <c r="A76" s="5"/>
      <c r="B76" s="8" t="s">
        <v>503</v>
      </c>
      <c r="I76" s="8" t="s">
        <v>504</v>
      </c>
      <c r="J76" s="5">
        <v>0</v>
      </c>
      <c r="K76" s="5" t="s">
        <v>21</v>
      </c>
      <c r="L76" s="5" t="s">
        <v>263</v>
      </c>
      <c r="M76" s="5" t="s">
        <v>486</v>
      </c>
      <c r="Q76" s="107"/>
    </row>
    <row r="77" spans="1:27" x14ac:dyDescent="0.2">
      <c r="A77" s="5">
        <v>283</v>
      </c>
      <c r="B77" s="8" t="s">
        <v>505</v>
      </c>
      <c r="C77" s="8" t="s">
        <v>506</v>
      </c>
      <c r="D77" s="8" t="s">
        <v>507</v>
      </c>
      <c r="E77" s="24">
        <v>43686</v>
      </c>
      <c r="F77" s="8" t="s">
        <v>259</v>
      </c>
      <c r="G77" s="8" t="s">
        <v>276</v>
      </c>
      <c r="H77" s="8" t="s">
        <v>508</v>
      </c>
      <c r="I77" s="8" t="s">
        <v>509</v>
      </c>
      <c r="J77" s="5">
        <f>3</f>
        <v>3</v>
      </c>
      <c r="K77" s="5" t="s">
        <v>21</v>
      </c>
      <c r="L77" s="5" t="s">
        <v>263</v>
      </c>
      <c r="M77" s="5" t="s">
        <v>510</v>
      </c>
      <c r="N77" s="5" t="s">
        <v>511</v>
      </c>
      <c r="O77" s="5" t="s">
        <v>266</v>
      </c>
    </row>
    <row r="78" spans="1:27" x14ac:dyDescent="0.2">
      <c r="A78" s="5">
        <v>329</v>
      </c>
      <c r="B78" s="8" t="s">
        <v>512</v>
      </c>
      <c r="D78" s="8" t="s">
        <v>513</v>
      </c>
      <c r="E78" s="24">
        <v>43673</v>
      </c>
      <c r="F78" s="8" t="s">
        <v>259</v>
      </c>
      <c r="G78" s="8" t="s">
        <v>260</v>
      </c>
      <c r="H78" s="8" t="s">
        <v>514</v>
      </c>
      <c r="I78" s="8" t="s">
        <v>515</v>
      </c>
      <c r="J78" s="5">
        <f>7-1-1-1-3</f>
        <v>1</v>
      </c>
      <c r="K78" s="5" t="s">
        <v>21</v>
      </c>
      <c r="L78" s="5" t="s">
        <v>263</v>
      </c>
      <c r="M78" s="5" t="s">
        <v>510</v>
      </c>
      <c r="N78" s="5" t="s">
        <v>516</v>
      </c>
      <c r="O78" s="5" t="s">
        <v>266</v>
      </c>
      <c r="Q78" s="5" t="s">
        <v>517</v>
      </c>
    </row>
    <row r="79" spans="1:27" x14ac:dyDescent="0.2">
      <c r="A79" s="5">
        <v>241</v>
      </c>
      <c r="B79" s="8" t="s">
        <v>518</v>
      </c>
      <c r="H79" s="8" t="s">
        <v>519</v>
      </c>
      <c r="I79" s="8" t="s">
        <v>519</v>
      </c>
      <c r="J79" s="5">
        <f>3</f>
        <v>3</v>
      </c>
      <c r="K79" s="5" t="s">
        <v>292</v>
      </c>
      <c r="L79" s="5" t="s">
        <v>263</v>
      </c>
      <c r="M79" s="5" t="s">
        <v>510</v>
      </c>
      <c r="N79" s="5" t="s">
        <v>76</v>
      </c>
      <c r="O79" s="5" t="s">
        <v>520</v>
      </c>
      <c r="Q79" s="5" t="s">
        <v>521</v>
      </c>
      <c r="S79" s="5" t="s">
        <v>328</v>
      </c>
    </row>
    <row r="80" spans="1:27" x14ac:dyDescent="0.2">
      <c r="A80" s="5">
        <v>277</v>
      </c>
      <c r="B80" s="8" t="s">
        <v>522</v>
      </c>
      <c r="C80" s="8" t="s">
        <v>523</v>
      </c>
      <c r="D80" s="8" t="s">
        <v>524</v>
      </c>
      <c r="E80" s="24">
        <v>43686</v>
      </c>
      <c r="F80" s="8" t="s">
        <v>259</v>
      </c>
      <c r="G80" s="8" t="s">
        <v>276</v>
      </c>
      <c r="H80" s="8" t="s">
        <v>525</v>
      </c>
      <c r="I80" s="8" t="s">
        <v>526</v>
      </c>
      <c r="J80" s="5">
        <f>7</f>
        <v>7</v>
      </c>
      <c r="K80" s="5" t="s">
        <v>21</v>
      </c>
      <c r="L80" s="5" t="s">
        <v>263</v>
      </c>
      <c r="M80" s="5" t="s">
        <v>510</v>
      </c>
      <c r="N80" s="5" t="s">
        <v>265</v>
      </c>
      <c r="O80" s="5" t="s">
        <v>266</v>
      </c>
    </row>
    <row r="81" spans="1:19" x14ac:dyDescent="0.2">
      <c r="A81" s="5">
        <v>276</v>
      </c>
      <c r="B81" s="8" t="s">
        <v>527</v>
      </c>
      <c r="H81" s="8" t="s">
        <v>528</v>
      </c>
      <c r="I81" s="8" t="s">
        <v>528</v>
      </c>
      <c r="J81" s="5">
        <f>9</f>
        <v>9</v>
      </c>
      <c r="K81" s="5" t="s">
        <v>21</v>
      </c>
      <c r="L81" s="5" t="s">
        <v>263</v>
      </c>
      <c r="M81" s="5" t="s">
        <v>510</v>
      </c>
      <c r="N81" s="5" t="s">
        <v>81</v>
      </c>
      <c r="O81" s="5" t="s">
        <v>266</v>
      </c>
      <c r="Q81" s="5" t="s">
        <v>529</v>
      </c>
    </row>
    <row r="82" spans="1:19" x14ac:dyDescent="0.2">
      <c r="A82" s="5">
        <v>272</v>
      </c>
      <c r="B82" s="8" t="s">
        <v>530</v>
      </c>
      <c r="D82" s="8" t="s">
        <v>306</v>
      </c>
      <c r="E82" s="24">
        <v>43686</v>
      </c>
      <c r="F82" s="8" t="s">
        <v>259</v>
      </c>
      <c r="G82" s="8" t="s">
        <v>375</v>
      </c>
      <c r="H82" s="8" t="s">
        <v>531</v>
      </c>
      <c r="I82" s="8" t="s">
        <v>532</v>
      </c>
      <c r="J82" s="5">
        <f>3-3</f>
        <v>0</v>
      </c>
      <c r="K82" s="5" t="s">
        <v>21</v>
      </c>
      <c r="L82" s="5" t="s">
        <v>263</v>
      </c>
      <c r="M82" s="5" t="s">
        <v>510</v>
      </c>
      <c r="N82" s="5" t="s">
        <v>20</v>
      </c>
      <c r="O82" s="5" t="s">
        <v>266</v>
      </c>
      <c r="Q82" s="5" t="s">
        <v>533</v>
      </c>
      <c r="S82" s="5" t="s">
        <v>328</v>
      </c>
    </row>
    <row r="83" spans="1:19" x14ac:dyDescent="0.2">
      <c r="A83" s="5">
        <v>278</v>
      </c>
      <c r="B83" s="8" t="s">
        <v>534</v>
      </c>
      <c r="C83" s="8" t="s">
        <v>535</v>
      </c>
      <c r="D83" s="8" t="s">
        <v>536</v>
      </c>
      <c r="E83" s="24">
        <v>43686</v>
      </c>
      <c r="F83" s="8" t="s">
        <v>259</v>
      </c>
      <c r="G83" s="8" t="s">
        <v>276</v>
      </c>
      <c r="H83" s="8" t="s">
        <v>537</v>
      </c>
      <c r="I83" s="8" t="s">
        <v>538</v>
      </c>
      <c r="J83" s="5">
        <f>4</f>
        <v>4</v>
      </c>
      <c r="K83" s="5" t="s">
        <v>21</v>
      </c>
      <c r="L83" s="5" t="s">
        <v>263</v>
      </c>
      <c r="M83" s="5" t="s">
        <v>510</v>
      </c>
      <c r="N83" s="5" t="s">
        <v>265</v>
      </c>
      <c r="O83" s="5" t="s">
        <v>266</v>
      </c>
      <c r="P83" s="5" t="s">
        <v>539</v>
      </c>
    </row>
    <row r="84" spans="1:19" x14ac:dyDescent="0.2">
      <c r="A84" s="5">
        <v>275</v>
      </c>
      <c r="B84" s="8" t="s">
        <v>540</v>
      </c>
      <c r="C84" s="8" t="s">
        <v>541</v>
      </c>
      <c r="D84" s="8" t="s">
        <v>542</v>
      </c>
      <c r="E84" s="24">
        <v>43686</v>
      </c>
      <c r="F84" s="8" t="s">
        <v>259</v>
      </c>
      <c r="G84" s="8" t="s">
        <v>276</v>
      </c>
      <c r="H84" s="8" t="s">
        <v>543</v>
      </c>
      <c r="I84" s="8" t="s">
        <v>544</v>
      </c>
      <c r="J84" s="5">
        <f>10-2</f>
        <v>8</v>
      </c>
      <c r="K84" s="5" t="s">
        <v>21</v>
      </c>
      <c r="L84" s="5" t="s">
        <v>263</v>
      </c>
      <c r="M84" s="5" t="s">
        <v>510</v>
      </c>
      <c r="N84" s="5" t="s">
        <v>265</v>
      </c>
      <c r="O84" s="5" t="s">
        <v>266</v>
      </c>
      <c r="Q84" s="5" t="s">
        <v>545</v>
      </c>
    </row>
    <row r="85" spans="1:19" x14ac:dyDescent="0.2">
      <c r="A85" s="5"/>
      <c r="B85" s="8" t="s">
        <v>546</v>
      </c>
      <c r="H85" s="8" t="s">
        <v>547</v>
      </c>
      <c r="I85" s="8" t="s">
        <v>548</v>
      </c>
      <c r="J85" s="5">
        <f>13-1</f>
        <v>12</v>
      </c>
      <c r="K85" s="5" t="s">
        <v>21</v>
      </c>
      <c r="L85" s="5" t="s">
        <v>263</v>
      </c>
      <c r="M85" s="5" t="s">
        <v>510</v>
      </c>
      <c r="Q85" s="5" t="s">
        <v>549</v>
      </c>
    </row>
    <row r="86" spans="1:19" x14ac:dyDescent="0.2">
      <c r="A86" s="5">
        <v>280</v>
      </c>
      <c r="B86" s="8" t="s">
        <v>550</v>
      </c>
      <c r="H86" s="8" t="s">
        <v>551</v>
      </c>
      <c r="I86" s="8" t="s">
        <v>552</v>
      </c>
      <c r="J86" s="5">
        <f>357-60-1-37-38-39-98</f>
        <v>84</v>
      </c>
      <c r="K86" s="5" t="s">
        <v>21</v>
      </c>
      <c r="L86" s="5" t="s">
        <v>263</v>
      </c>
      <c r="M86" s="5" t="s">
        <v>510</v>
      </c>
      <c r="N86" s="5" t="s">
        <v>511</v>
      </c>
      <c r="O86" s="5" t="s">
        <v>266</v>
      </c>
      <c r="Q86" s="5" t="s">
        <v>553</v>
      </c>
    </row>
    <row r="87" spans="1:19" x14ac:dyDescent="0.2">
      <c r="A87" s="5">
        <v>274</v>
      </c>
      <c r="B87" s="8" t="s">
        <v>554</v>
      </c>
      <c r="D87" s="8" t="s">
        <v>555</v>
      </c>
      <c r="E87" s="24">
        <v>43686</v>
      </c>
      <c r="F87" s="8" t="s">
        <v>259</v>
      </c>
      <c r="G87" s="8" t="s">
        <v>260</v>
      </c>
      <c r="H87" s="8" t="s">
        <v>556</v>
      </c>
      <c r="I87" s="8" t="s">
        <v>557</v>
      </c>
      <c r="J87" s="5">
        <f>51-2</f>
        <v>49</v>
      </c>
      <c r="K87" s="5" t="s">
        <v>21</v>
      </c>
      <c r="L87" s="5" t="s">
        <v>263</v>
      </c>
      <c r="M87" s="5" t="s">
        <v>558</v>
      </c>
      <c r="N87" s="5" t="s">
        <v>43</v>
      </c>
      <c r="O87" s="5" t="s">
        <v>266</v>
      </c>
      <c r="Q87" s="5" t="s">
        <v>559</v>
      </c>
    </row>
    <row r="88" spans="1:19" x14ac:dyDescent="0.2">
      <c r="A88" s="5">
        <v>340</v>
      </c>
      <c r="B88" s="8" t="s">
        <v>560</v>
      </c>
      <c r="H88" s="8" t="s">
        <v>561</v>
      </c>
      <c r="I88" s="8" t="s">
        <v>562</v>
      </c>
      <c r="J88" s="5">
        <f>10-1-3+10</f>
        <v>16</v>
      </c>
      <c r="K88" s="5" t="s">
        <v>21</v>
      </c>
      <c r="L88" s="5" t="s">
        <v>263</v>
      </c>
      <c r="M88" s="5" t="s">
        <v>558</v>
      </c>
      <c r="N88" s="5" t="s">
        <v>563</v>
      </c>
    </row>
    <row r="89" spans="1:19" x14ac:dyDescent="0.2">
      <c r="A89" s="5">
        <v>335</v>
      </c>
      <c r="B89" s="8" t="s">
        <v>564</v>
      </c>
      <c r="H89" s="8" t="s">
        <v>565</v>
      </c>
      <c r="I89" s="8" t="s">
        <v>566</v>
      </c>
      <c r="J89" s="5">
        <f>11-3-1-1</f>
        <v>6</v>
      </c>
      <c r="K89" s="5" t="s">
        <v>292</v>
      </c>
      <c r="L89" s="5" t="s">
        <v>263</v>
      </c>
      <c r="M89" s="5" t="s">
        <v>567</v>
      </c>
      <c r="N89" s="5" t="s">
        <v>563</v>
      </c>
    </row>
    <row r="90" spans="1:19" x14ac:dyDescent="0.2">
      <c r="A90" s="5"/>
      <c r="B90" s="8" t="s">
        <v>568</v>
      </c>
      <c r="H90" s="8" t="s">
        <v>569</v>
      </c>
      <c r="I90" s="8" t="s">
        <v>569</v>
      </c>
      <c r="J90" s="5">
        <f>3-1+1-1</f>
        <v>2</v>
      </c>
      <c r="K90" s="5" t="s">
        <v>292</v>
      </c>
      <c r="L90" s="5" t="s">
        <v>263</v>
      </c>
      <c r="M90" s="5" t="s">
        <v>567</v>
      </c>
      <c r="Q90" s="107" t="s">
        <v>570</v>
      </c>
      <c r="R90" s="6"/>
      <c r="S90" s="6"/>
    </row>
    <row r="91" spans="1:19" x14ac:dyDescent="0.2">
      <c r="A91" s="5">
        <v>1598</v>
      </c>
      <c r="B91" s="8" t="s">
        <v>571</v>
      </c>
      <c r="H91" s="8" t="s">
        <v>572</v>
      </c>
      <c r="I91" s="8" t="s">
        <v>572</v>
      </c>
      <c r="J91" s="5">
        <v>0</v>
      </c>
      <c r="K91" s="5" t="s">
        <v>292</v>
      </c>
      <c r="L91" s="5" t="s">
        <v>263</v>
      </c>
      <c r="M91" s="5" t="s">
        <v>567</v>
      </c>
      <c r="N91" s="5" t="s">
        <v>573</v>
      </c>
      <c r="O91" s="5" t="s">
        <v>574</v>
      </c>
      <c r="P91" s="5" t="s">
        <v>575</v>
      </c>
      <c r="Q91" s="5" t="s">
        <v>576</v>
      </c>
      <c r="R91" s="6"/>
      <c r="S91" s="6"/>
    </row>
    <row r="92" spans="1:19" x14ac:dyDescent="0.2">
      <c r="A92" s="5">
        <v>2075</v>
      </c>
      <c r="B92" s="8" t="s">
        <v>577</v>
      </c>
      <c r="H92" s="8" t="s">
        <v>578</v>
      </c>
      <c r="I92" s="8" t="s">
        <v>578</v>
      </c>
      <c r="J92" s="5">
        <v>0</v>
      </c>
      <c r="K92" s="5" t="s">
        <v>292</v>
      </c>
      <c r="L92" s="5" t="s">
        <v>263</v>
      </c>
      <c r="M92" s="5" t="s">
        <v>567</v>
      </c>
      <c r="N92" s="5" t="s">
        <v>573</v>
      </c>
      <c r="O92" s="5" t="s">
        <v>574</v>
      </c>
      <c r="P92" s="5" t="s">
        <v>575</v>
      </c>
      <c r="Q92" s="5" t="s">
        <v>579</v>
      </c>
    </row>
    <row r="93" spans="1:19" x14ac:dyDescent="0.2">
      <c r="A93" s="5">
        <v>304</v>
      </c>
      <c r="B93" s="108" t="s">
        <v>577</v>
      </c>
      <c r="H93" s="8" t="s">
        <v>578</v>
      </c>
      <c r="I93" s="8" t="s">
        <v>578</v>
      </c>
      <c r="J93" s="5">
        <v>0</v>
      </c>
      <c r="K93" s="5" t="s">
        <v>292</v>
      </c>
      <c r="L93" s="5" t="s">
        <v>263</v>
      </c>
      <c r="M93" s="5" t="s">
        <v>567</v>
      </c>
      <c r="N93" s="5" t="s">
        <v>516</v>
      </c>
      <c r="Q93" s="5" t="s">
        <v>580</v>
      </c>
    </row>
    <row r="94" spans="1:19" x14ac:dyDescent="0.2">
      <c r="A94" s="5"/>
      <c r="B94" s="108" t="s">
        <v>581</v>
      </c>
      <c r="I94" s="8" t="s">
        <v>582</v>
      </c>
      <c r="J94" s="5">
        <f>200-15</f>
        <v>185</v>
      </c>
      <c r="K94" s="5" t="s">
        <v>292</v>
      </c>
      <c r="L94" s="5" t="s">
        <v>263</v>
      </c>
      <c r="M94" s="5" t="s">
        <v>583</v>
      </c>
    </row>
    <row r="95" spans="1:19" x14ac:dyDescent="0.2">
      <c r="A95" s="5">
        <v>281</v>
      </c>
      <c r="B95" s="8" t="s">
        <v>584</v>
      </c>
      <c r="D95" s="8" t="s">
        <v>555</v>
      </c>
      <c r="E95" s="24">
        <v>43686</v>
      </c>
      <c r="F95" s="8" t="s">
        <v>259</v>
      </c>
      <c r="G95" s="8" t="s">
        <v>260</v>
      </c>
      <c r="H95" s="8" t="s">
        <v>585</v>
      </c>
      <c r="I95" s="8" t="s">
        <v>586</v>
      </c>
      <c r="J95" s="5">
        <f>70-3-3</f>
        <v>64</v>
      </c>
      <c r="K95" s="5" t="s">
        <v>21</v>
      </c>
      <c r="L95" s="5" t="s">
        <v>263</v>
      </c>
      <c r="M95" s="5" t="s">
        <v>583</v>
      </c>
      <c r="N95" s="5" t="s">
        <v>43</v>
      </c>
      <c r="O95" s="5" t="s">
        <v>266</v>
      </c>
      <c r="Q95" s="5" t="s">
        <v>587</v>
      </c>
    </row>
    <row r="96" spans="1:19" x14ac:dyDescent="0.2">
      <c r="A96" s="5">
        <v>282</v>
      </c>
      <c r="B96" s="8" t="s">
        <v>588</v>
      </c>
      <c r="C96" s="8" t="s">
        <v>589</v>
      </c>
      <c r="D96" s="8" t="s">
        <v>555</v>
      </c>
      <c r="E96" s="24">
        <v>43686</v>
      </c>
      <c r="F96" s="8" t="s">
        <v>259</v>
      </c>
      <c r="G96" s="8" t="s">
        <v>260</v>
      </c>
      <c r="H96" s="8" t="s">
        <v>590</v>
      </c>
      <c r="I96" s="8" t="s">
        <v>591</v>
      </c>
      <c r="J96" s="5">
        <f>99-3-3</f>
        <v>93</v>
      </c>
      <c r="K96" s="5" t="s">
        <v>21</v>
      </c>
      <c r="L96" s="5" t="s">
        <v>263</v>
      </c>
      <c r="M96" s="5" t="s">
        <v>583</v>
      </c>
      <c r="N96" s="5" t="s">
        <v>43</v>
      </c>
      <c r="O96" s="5" t="s">
        <v>266</v>
      </c>
      <c r="Q96" s="5" t="s">
        <v>592</v>
      </c>
    </row>
    <row r="97" spans="1:19" x14ac:dyDescent="0.2">
      <c r="A97" s="5">
        <v>288</v>
      </c>
      <c r="B97" s="8" t="s">
        <v>593</v>
      </c>
      <c r="C97" s="8" t="s">
        <v>594</v>
      </c>
      <c r="D97" s="8" t="s">
        <v>524</v>
      </c>
      <c r="E97" s="24">
        <v>43686</v>
      </c>
      <c r="F97" s="8" t="s">
        <v>259</v>
      </c>
      <c r="G97" s="8" t="s">
        <v>276</v>
      </c>
      <c r="H97" s="8" t="s">
        <v>595</v>
      </c>
      <c r="I97" s="8" t="s">
        <v>596</v>
      </c>
      <c r="J97" s="5">
        <f>90-1</f>
        <v>89</v>
      </c>
      <c r="K97" s="5" t="s">
        <v>21</v>
      </c>
      <c r="L97" s="5" t="s">
        <v>263</v>
      </c>
      <c r="M97" s="5" t="s">
        <v>597</v>
      </c>
      <c r="N97" s="5" t="s">
        <v>43</v>
      </c>
      <c r="O97" s="5" t="s">
        <v>266</v>
      </c>
      <c r="Q97" s="5" t="s">
        <v>598</v>
      </c>
    </row>
    <row r="98" spans="1:19" x14ac:dyDescent="0.2">
      <c r="A98" s="5"/>
      <c r="B98" s="8" t="s">
        <v>128</v>
      </c>
      <c r="H98" s="8" t="s">
        <v>599</v>
      </c>
      <c r="I98" s="8" t="s">
        <v>599</v>
      </c>
      <c r="J98" s="5">
        <f>12-7+3</f>
        <v>8</v>
      </c>
      <c r="K98" s="5" t="s">
        <v>21</v>
      </c>
      <c r="L98" s="5" t="s">
        <v>263</v>
      </c>
      <c r="M98" s="5" t="s">
        <v>597</v>
      </c>
      <c r="Q98" s="107" t="s">
        <v>600</v>
      </c>
    </row>
    <row r="99" spans="1:19" x14ac:dyDescent="0.2">
      <c r="A99" s="5">
        <v>297</v>
      </c>
      <c r="B99" s="8" t="s">
        <v>601</v>
      </c>
      <c r="H99" s="8" t="s">
        <v>602</v>
      </c>
      <c r="I99" s="8" t="s">
        <v>603</v>
      </c>
      <c r="J99" s="5">
        <v>73</v>
      </c>
      <c r="K99" s="5" t="s">
        <v>21</v>
      </c>
      <c r="L99" s="5" t="s">
        <v>263</v>
      </c>
      <c r="M99" s="5" t="s">
        <v>604</v>
      </c>
      <c r="N99" s="5" t="s">
        <v>43</v>
      </c>
      <c r="O99" s="5" t="s">
        <v>266</v>
      </c>
      <c r="Q99" s="5" t="s">
        <v>605</v>
      </c>
      <c r="R99" s="5" t="s">
        <v>606</v>
      </c>
    </row>
    <row r="100" spans="1:19" x14ac:dyDescent="0.2">
      <c r="A100" s="5">
        <v>295</v>
      </c>
      <c r="B100" s="8" t="s">
        <v>607</v>
      </c>
      <c r="H100" s="8" t="s">
        <v>608</v>
      </c>
      <c r="I100" s="8" t="s">
        <v>608</v>
      </c>
      <c r="J100" s="5">
        <f>0+3-3+10-1-2-2</f>
        <v>5</v>
      </c>
      <c r="K100" s="5" t="s">
        <v>21</v>
      </c>
      <c r="L100" s="5" t="s">
        <v>263</v>
      </c>
      <c r="M100" s="5" t="s">
        <v>604</v>
      </c>
      <c r="N100" s="5" t="s">
        <v>609</v>
      </c>
      <c r="O100" s="5" t="s">
        <v>266</v>
      </c>
      <c r="Q100" s="5" t="s">
        <v>610</v>
      </c>
    </row>
    <row r="101" spans="1:19" x14ac:dyDescent="0.2">
      <c r="A101" s="5">
        <v>8</v>
      </c>
      <c r="B101" s="8" t="s">
        <v>611</v>
      </c>
      <c r="D101" s="8" t="s">
        <v>612</v>
      </c>
      <c r="E101" s="24">
        <v>43686</v>
      </c>
      <c r="F101" s="8" t="s">
        <v>259</v>
      </c>
      <c r="G101" s="8" t="s">
        <v>260</v>
      </c>
      <c r="H101" s="8" t="s">
        <v>613</v>
      </c>
      <c r="I101" s="40" t="s">
        <v>614</v>
      </c>
      <c r="J101" s="5">
        <f>15-5+42+5-1-1-1-1-6-1-2-9-1-8</f>
        <v>26</v>
      </c>
      <c r="K101" s="5" t="s">
        <v>292</v>
      </c>
      <c r="L101" s="5" t="s">
        <v>263</v>
      </c>
      <c r="M101" s="5" t="s">
        <v>615</v>
      </c>
      <c r="N101" s="5" t="s">
        <v>563</v>
      </c>
      <c r="O101" s="5" t="s">
        <v>266</v>
      </c>
      <c r="Q101" s="5" t="s">
        <v>616</v>
      </c>
    </row>
    <row r="102" spans="1:19" x14ac:dyDescent="0.2">
      <c r="A102" s="5"/>
      <c r="B102" s="8" t="s">
        <v>617</v>
      </c>
      <c r="H102" s="8" t="s">
        <v>618</v>
      </c>
      <c r="I102" s="8" t="s">
        <v>618</v>
      </c>
      <c r="J102" s="5">
        <f>4</f>
        <v>4</v>
      </c>
      <c r="K102" s="5" t="s">
        <v>292</v>
      </c>
      <c r="L102" s="5" t="s">
        <v>263</v>
      </c>
      <c r="M102" s="5" t="s">
        <v>615</v>
      </c>
      <c r="N102" s="5" t="s">
        <v>563</v>
      </c>
    </row>
    <row r="103" spans="1:19" x14ac:dyDescent="0.2">
      <c r="A103" s="5">
        <v>296</v>
      </c>
      <c r="B103" s="8" t="s">
        <v>619</v>
      </c>
      <c r="H103" s="8" t="s">
        <v>620</v>
      </c>
      <c r="I103" s="8" t="s">
        <v>620</v>
      </c>
      <c r="J103" s="5">
        <v>0</v>
      </c>
      <c r="K103" s="5" t="s">
        <v>21</v>
      </c>
      <c r="L103" s="5" t="s">
        <v>263</v>
      </c>
      <c r="M103" s="5" t="s">
        <v>615</v>
      </c>
      <c r="N103" s="5" t="s">
        <v>621</v>
      </c>
      <c r="O103" s="5" t="s">
        <v>266</v>
      </c>
      <c r="Q103" s="5" t="s">
        <v>622</v>
      </c>
    </row>
    <row r="104" spans="1:19" x14ac:dyDescent="0.2">
      <c r="A104" s="5"/>
      <c r="B104" s="8" t="s">
        <v>623</v>
      </c>
      <c r="H104" s="8" t="s">
        <v>624</v>
      </c>
      <c r="I104" s="8" t="s">
        <v>624</v>
      </c>
      <c r="J104" s="5">
        <v>0</v>
      </c>
      <c r="K104" s="5" t="s">
        <v>21</v>
      </c>
      <c r="L104" s="5" t="s">
        <v>263</v>
      </c>
      <c r="M104" s="5" t="s">
        <v>615</v>
      </c>
      <c r="N104" s="5" t="s">
        <v>621</v>
      </c>
    </row>
    <row r="105" spans="1:19" x14ac:dyDescent="0.2">
      <c r="A105" s="5"/>
      <c r="B105" s="8">
        <v>3131</v>
      </c>
      <c r="H105" s="8" t="s">
        <v>163</v>
      </c>
      <c r="I105" s="8" t="s">
        <v>163</v>
      </c>
      <c r="J105" s="5">
        <f>27+1-1+41-22+7-44</f>
        <v>9</v>
      </c>
      <c r="K105" s="5" t="s">
        <v>21</v>
      </c>
      <c r="L105" s="5" t="s">
        <v>263</v>
      </c>
      <c r="M105" s="5" t="s">
        <v>615</v>
      </c>
      <c r="Q105" s="107" t="s">
        <v>625</v>
      </c>
    </row>
    <row r="106" spans="1:19" x14ac:dyDescent="0.2">
      <c r="A106" s="5"/>
      <c r="B106" s="8">
        <v>3135</v>
      </c>
      <c r="H106" s="8" t="s">
        <v>166</v>
      </c>
      <c r="I106" s="8" t="s">
        <v>166</v>
      </c>
      <c r="J106" s="5">
        <f>22+11</f>
        <v>33</v>
      </c>
      <c r="K106" s="5" t="s">
        <v>21</v>
      </c>
      <c r="L106" s="5" t="s">
        <v>263</v>
      </c>
      <c r="M106" s="5" t="s">
        <v>615</v>
      </c>
      <c r="Q106" s="107" t="s">
        <v>625</v>
      </c>
    </row>
    <row r="107" spans="1:19" x14ac:dyDescent="0.2">
      <c r="A107" s="5"/>
      <c r="B107" s="8">
        <v>3139</v>
      </c>
      <c r="H107" s="8" t="s">
        <v>626</v>
      </c>
      <c r="I107" s="8" t="s">
        <v>626</v>
      </c>
      <c r="J107" s="5">
        <f>1-1</f>
        <v>0</v>
      </c>
      <c r="K107" s="5" t="s">
        <v>21</v>
      </c>
      <c r="L107" s="5" t="s">
        <v>263</v>
      </c>
      <c r="M107" s="5" t="s">
        <v>615</v>
      </c>
      <c r="Q107" s="107" t="s">
        <v>625</v>
      </c>
      <c r="S107" s="5" t="s">
        <v>328</v>
      </c>
    </row>
    <row r="108" spans="1:19" x14ac:dyDescent="0.2">
      <c r="A108" s="5">
        <v>290</v>
      </c>
      <c r="B108" s="8" t="s">
        <v>627</v>
      </c>
      <c r="H108" s="8" t="s">
        <v>627</v>
      </c>
      <c r="I108" s="8" t="s">
        <v>627</v>
      </c>
      <c r="J108" s="5">
        <f>24</f>
        <v>24</v>
      </c>
      <c r="K108" s="5" t="s">
        <v>21</v>
      </c>
      <c r="L108" s="5" t="s">
        <v>263</v>
      </c>
      <c r="M108" s="5" t="s">
        <v>628</v>
      </c>
      <c r="N108" s="5" t="s">
        <v>43</v>
      </c>
      <c r="O108" s="5" t="s">
        <v>266</v>
      </c>
    </row>
    <row r="109" spans="1:19" x14ac:dyDescent="0.2">
      <c r="A109" s="5">
        <v>321</v>
      </c>
      <c r="B109" s="8" t="s">
        <v>629</v>
      </c>
      <c r="D109" s="8" t="s">
        <v>269</v>
      </c>
      <c r="E109" s="24">
        <v>43673</v>
      </c>
      <c r="F109" s="8" t="s">
        <v>259</v>
      </c>
      <c r="G109" s="8" t="s">
        <v>260</v>
      </c>
      <c r="H109" s="8" t="s">
        <v>630</v>
      </c>
      <c r="I109" s="8" t="s">
        <v>631</v>
      </c>
      <c r="J109" s="5">
        <f>4</f>
        <v>4</v>
      </c>
      <c r="K109" s="5" t="s">
        <v>21</v>
      </c>
      <c r="L109" s="5" t="s">
        <v>263</v>
      </c>
      <c r="M109" s="5" t="s">
        <v>628</v>
      </c>
      <c r="N109" s="5" t="s">
        <v>265</v>
      </c>
      <c r="O109" s="5" t="s">
        <v>266</v>
      </c>
      <c r="Q109" s="5" t="s">
        <v>632</v>
      </c>
    </row>
    <row r="110" spans="1:19" x14ac:dyDescent="0.2">
      <c r="A110" s="5">
        <v>284</v>
      </c>
      <c r="B110" s="8" t="s">
        <v>633</v>
      </c>
      <c r="D110" s="8" t="s">
        <v>269</v>
      </c>
      <c r="E110" s="24">
        <v>43686</v>
      </c>
      <c r="F110" s="8" t="s">
        <v>259</v>
      </c>
      <c r="G110" s="8" t="s">
        <v>260</v>
      </c>
      <c r="H110" s="8" t="s">
        <v>634</v>
      </c>
      <c r="I110" s="8" t="s">
        <v>635</v>
      </c>
      <c r="J110" s="5">
        <f>2</f>
        <v>2</v>
      </c>
      <c r="K110" s="5" t="s">
        <v>21</v>
      </c>
      <c r="L110" s="5" t="s">
        <v>263</v>
      </c>
      <c r="M110" s="5" t="s">
        <v>628</v>
      </c>
      <c r="N110" s="5" t="s">
        <v>636</v>
      </c>
      <c r="O110" s="5" t="s">
        <v>266</v>
      </c>
      <c r="Q110" s="5" t="s">
        <v>637</v>
      </c>
    </row>
    <row r="111" spans="1:19" x14ac:dyDescent="0.2">
      <c r="A111" s="5">
        <v>289</v>
      </c>
      <c r="B111" s="8" t="s">
        <v>633</v>
      </c>
      <c r="D111" s="8" t="s">
        <v>269</v>
      </c>
      <c r="E111" s="24">
        <v>43686</v>
      </c>
      <c r="F111" s="8" t="s">
        <v>259</v>
      </c>
      <c r="G111" s="8" t="s">
        <v>260</v>
      </c>
      <c r="H111" s="8" t="s">
        <v>634</v>
      </c>
      <c r="I111" s="8" t="s">
        <v>635</v>
      </c>
      <c r="J111" s="5">
        <f>0</f>
        <v>0</v>
      </c>
      <c r="K111" s="5" t="s">
        <v>21</v>
      </c>
      <c r="L111" s="5" t="s">
        <v>263</v>
      </c>
      <c r="M111" s="5" t="s">
        <v>628</v>
      </c>
      <c r="O111" s="5" t="s">
        <v>266</v>
      </c>
      <c r="Q111" s="5" t="s">
        <v>638</v>
      </c>
    </row>
    <row r="112" spans="1:19" x14ac:dyDescent="0.2">
      <c r="A112" s="5">
        <v>291</v>
      </c>
      <c r="B112" s="8" t="s">
        <v>639</v>
      </c>
      <c r="D112" s="8" t="s">
        <v>269</v>
      </c>
      <c r="E112" s="24">
        <v>43686</v>
      </c>
      <c r="F112" s="8" t="s">
        <v>259</v>
      </c>
      <c r="G112" s="8" t="s">
        <v>260</v>
      </c>
      <c r="H112" s="8" t="s">
        <v>640</v>
      </c>
      <c r="I112" s="8" t="s">
        <v>641</v>
      </c>
      <c r="J112" s="5">
        <f>0</f>
        <v>0</v>
      </c>
      <c r="K112" s="5" t="s">
        <v>21</v>
      </c>
      <c r="L112" s="5" t="s">
        <v>263</v>
      </c>
      <c r="M112" s="5" t="s">
        <v>628</v>
      </c>
      <c r="N112" s="5" t="s">
        <v>265</v>
      </c>
      <c r="O112" s="5" t="s">
        <v>266</v>
      </c>
      <c r="Q112" s="5" t="s">
        <v>638</v>
      </c>
    </row>
    <row r="113" spans="1:17" x14ac:dyDescent="0.2">
      <c r="A113" s="5">
        <v>305</v>
      </c>
      <c r="B113" s="8" t="s">
        <v>642</v>
      </c>
      <c r="H113" s="8" t="s">
        <v>642</v>
      </c>
      <c r="I113" s="8" t="s">
        <v>642</v>
      </c>
      <c r="J113" s="5">
        <f>2</f>
        <v>2</v>
      </c>
      <c r="K113" s="5" t="s">
        <v>21</v>
      </c>
      <c r="L113" s="5" t="s">
        <v>263</v>
      </c>
      <c r="M113" s="5" t="s">
        <v>628</v>
      </c>
      <c r="O113" s="5" t="s">
        <v>266</v>
      </c>
    </row>
    <row r="114" spans="1:17" x14ac:dyDescent="0.2">
      <c r="A114" s="5">
        <v>294</v>
      </c>
      <c r="B114" s="8" t="s">
        <v>643</v>
      </c>
      <c r="D114" s="8" t="s">
        <v>644</v>
      </c>
      <c r="E114" s="24">
        <v>43686</v>
      </c>
      <c r="F114" s="8" t="s">
        <v>259</v>
      </c>
      <c r="G114" s="8" t="s">
        <v>260</v>
      </c>
      <c r="H114" s="8" t="s">
        <v>645</v>
      </c>
      <c r="I114" s="8" t="s">
        <v>646</v>
      </c>
      <c r="J114" s="5">
        <f>2</f>
        <v>2</v>
      </c>
      <c r="K114" s="5" t="s">
        <v>21</v>
      </c>
      <c r="L114" s="5" t="s">
        <v>263</v>
      </c>
      <c r="M114" s="5" t="s">
        <v>628</v>
      </c>
      <c r="O114" s="5" t="s">
        <v>266</v>
      </c>
      <c r="Q114" s="5" t="s">
        <v>647</v>
      </c>
    </row>
    <row r="115" spans="1:17" x14ac:dyDescent="0.2">
      <c r="A115" s="5"/>
      <c r="B115" s="8" t="s">
        <v>648</v>
      </c>
      <c r="H115" s="8" t="s">
        <v>649</v>
      </c>
      <c r="I115" s="8" t="s">
        <v>649</v>
      </c>
      <c r="J115" s="5">
        <f>2</f>
        <v>2</v>
      </c>
      <c r="K115" s="5" t="s">
        <v>21</v>
      </c>
      <c r="L115" s="5" t="s">
        <v>263</v>
      </c>
      <c r="M115" s="5" t="s">
        <v>628</v>
      </c>
    </row>
    <row r="116" spans="1:17" x14ac:dyDescent="0.2">
      <c r="A116" s="5"/>
      <c r="B116" s="8" t="s">
        <v>650</v>
      </c>
      <c r="H116" s="8" t="s">
        <v>651</v>
      </c>
      <c r="I116" s="8" t="s">
        <v>651</v>
      </c>
      <c r="J116" s="5">
        <f>4-1-1-1</f>
        <v>1</v>
      </c>
      <c r="K116" s="5" t="s">
        <v>21</v>
      </c>
      <c r="L116" s="5" t="s">
        <v>263</v>
      </c>
      <c r="M116" s="5" t="s">
        <v>628</v>
      </c>
      <c r="Q116" s="5" t="s">
        <v>652</v>
      </c>
    </row>
    <row r="117" spans="1:17" x14ac:dyDescent="0.2">
      <c r="A117" s="5"/>
      <c r="B117" s="8" t="s">
        <v>160</v>
      </c>
      <c r="H117" s="8" t="s">
        <v>159</v>
      </c>
      <c r="I117" s="8" t="s">
        <v>159</v>
      </c>
      <c r="J117" s="5">
        <f>44+100-30-16-16-58-4</f>
        <v>20</v>
      </c>
      <c r="K117" s="5" t="s">
        <v>21</v>
      </c>
      <c r="L117" s="5" t="s">
        <v>263</v>
      </c>
      <c r="M117" s="5" t="s">
        <v>653</v>
      </c>
      <c r="N117" s="5" t="s">
        <v>654</v>
      </c>
      <c r="Q117" s="5" t="s">
        <v>655</v>
      </c>
    </row>
    <row r="118" spans="1:17" x14ac:dyDescent="0.2">
      <c r="A118" s="5"/>
      <c r="B118" s="8" t="s">
        <v>160</v>
      </c>
      <c r="I118" s="8" t="s">
        <v>656</v>
      </c>
      <c r="J118" s="5">
        <f>62</f>
        <v>62</v>
      </c>
      <c r="K118" s="5" t="s">
        <v>21</v>
      </c>
      <c r="L118" s="5" t="s">
        <v>263</v>
      </c>
      <c r="M118" s="5" t="s">
        <v>653</v>
      </c>
    </row>
    <row r="119" spans="1:17" x14ac:dyDescent="0.2">
      <c r="A119" s="5"/>
      <c r="B119" s="8" t="s">
        <v>657</v>
      </c>
      <c r="I119" s="8" t="s">
        <v>658</v>
      </c>
      <c r="J119" s="5">
        <f>40</f>
        <v>40</v>
      </c>
      <c r="K119" s="5" t="s">
        <v>21</v>
      </c>
      <c r="L119" s="5" t="s">
        <v>263</v>
      </c>
      <c r="M119" s="5" t="s">
        <v>653</v>
      </c>
    </row>
    <row r="120" spans="1:17" x14ac:dyDescent="0.2">
      <c r="A120" s="5"/>
      <c r="B120" s="8" t="s">
        <v>659</v>
      </c>
      <c r="I120" s="8" t="s">
        <v>660</v>
      </c>
      <c r="J120" s="5">
        <f>50</f>
        <v>50</v>
      </c>
      <c r="K120" s="5" t="s">
        <v>21</v>
      </c>
      <c r="L120" s="5" t="s">
        <v>263</v>
      </c>
      <c r="M120" s="5" t="s">
        <v>653</v>
      </c>
    </row>
    <row r="121" spans="1:17" x14ac:dyDescent="0.2">
      <c r="A121" s="5">
        <v>287</v>
      </c>
      <c r="B121" s="8" t="s">
        <v>661</v>
      </c>
      <c r="D121" s="8" t="s">
        <v>269</v>
      </c>
      <c r="E121" s="24">
        <v>43686</v>
      </c>
      <c r="F121" s="8" t="s">
        <v>259</v>
      </c>
      <c r="G121" s="8" t="s">
        <v>260</v>
      </c>
      <c r="H121" s="8" t="s">
        <v>662</v>
      </c>
      <c r="I121" s="8" t="s">
        <v>663</v>
      </c>
      <c r="J121" s="5">
        <f>7-1-1-1-1-1-1</f>
        <v>1</v>
      </c>
      <c r="K121" s="5" t="s">
        <v>21</v>
      </c>
      <c r="L121" s="5" t="s">
        <v>263</v>
      </c>
      <c r="M121" s="5" t="s">
        <v>653</v>
      </c>
      <c r="N121" s="5" t="s">
        <v>664</v>
      </c>
      <c r="O121" s="5" t="s">
        <v>266</v>
      </c>
      <c r="Q121" s="5" t="s">
        <v>427</v>
      </c>
    </row>
    <row r="122" spans="1:17" x14ac:dyDescent="0.2">
      <c r="B122" s="8" t="s">
        <v>665</v>
      </c>
      <c r="H122" s="8" t="s">
        <v>666</v>
      </c>
      <c r="I122" s="8" t="s">
        <v>666</v>
      </c>
      <c r="J122" s="5">
        <f>428-2-29-24</f>
        <v>373</v>
      </c>
      <c r="K122" s="5" t="s">
        <v>21</v>
      </c>
      <c r="L122" s="5" t="s">
        <v>263</v>
      </c>
      <c r="M122" s="5" t="s">
        <v>653</v>
      </c>
      <c r="N122" s="5" t="s">
        <v>43</v>
      </c>
      <c r="Q122" s="5" t="s">
        <v>667</v>
      </c>
    </row>
    <row r="123" spans="1:17" x14ac:dyDescent="0.2">
      <c r="A123" s="5">
        <v>304</v>
      </c>
      <c r="B123" s="8" t="s">
        <v>668</v>
      </c>
      <c r="D123" s="8" t="s">
        <v>669</v>
      </c>
      <c r="E123" s="24">
        <v>43668</v>
      </c>
      <c r="F123" s="8" t="s">
        <v>259</v>
      </c>
      <c r="G123" s="8" t="s">
        <v>375</v>
      </c>
      <c r="H123" s="8" t="s">
        <v>670</v>
      </c>
      <c r="I123" s="8" t="s">
        <v>671</v>
      </c>
      <c r="J123" s="5">
        <v>87</v>
      </c>
      <c r="K123" s="5" t="s">
        <v>21</v>
      </c>
      <c r="L123" s="5" t="s">
        <v>263</v>
      </c>
      <c r="M123" s="5" t="s">
        <v>672</v>
      </c>
      <c r="N123" s="5" t="s">
        <v>43</v>
      </c>
      <c r="O123" s="5" t="s">
        <v>266</v>
      </c>
      <c r="Q123" s="5" t="s">
        <v>673</v>
      </c>
    </row>
    <row r="124" spans="1:17" x14ac:dyDescent="0.2">
      <c r="A124" s="5">
        <v>6</v>
      </c>
      <c r="B124" s="8" t="s">
        <v>674</v>
      </c>
      <c r="H124" s="8" t="s">
        <v>675</v>
      </c>
      <c r="I124" s="8" t="s">
        <v>675</v>
      </c>
      <c r="J124" s="5">
        <v>0</v>
      </c>
      <c r="K124" s="5" t="s">
        <v>292</v>
      </c>
      <c r="L124" s="5" t="s">
        <v>263</v>
      </c>
      <c r="M124" s="5" t="s">
        <v>672</v>
      </c>
      <c r="N124" s="5" t="s">
        <v>43</v>
      </c>
    </row>
    <row r="125" spans="1:17" x14ac:dyDescent="0.2">
      <c r="B125" s="8" t="s">
        <v>676</v>
      </c>
      <c r="H125" s="8" t="s">
        <v>677</v>
      </c>
      <c r="I125" s="8" t="s">
        <v>678</v>
      </c>
      <c r="J125" s="5">
        <f>78-1-4-1-2-1-2-6-1-2-4-16</f>
        <v>38</v>
      </c>
      <c r="K125" s="5" t="s">
        <v>21</v>
      </c>
      <c r="L125" s="5" t="s">
        <v>263</v>
      </c>
      <c r="M125" s="5" t="s">
        <v>672</v>
      </c>
      <c r="Q125" s="5" t="s">
        <v>679</v>
      </c>
    </row>
    <row r="126" spans="1:17" x14ac:dyDescent="0.2">
      <c r="A126" s="5">
        <v>301</v>
      </c>
      <c r="B126" s="8">
        <v>779792.01</v>
      </c>
      <c r="H126" s="8" t="s">
        <v>680</v>
      </c>
      <c r="I126" s="8" t="s">
        <v>680</v>
      </c>
      <c r="J126" s="5">
        <v>1</v>
      </c>
      <c r="K126" s="5" t="s">
        <v>21</v>
      </c>
      <c r="L126" s="5" t="s">
        <v>263</v>
      </c>
      <c r="M126" s="5" t="s">
        <v>672</v>
      </c>
      <c r="O126" s="5" t="s">
        <v>266</v>
      </c>
      <c r="Q126" s="5" t="s">
        <v>681</v>
      </c>
    </row>
    <row r="127" spans="1:17" x14ac:dyDescent="0.2">
      <c r="A127" s="5"/>
      <c r="B127" s="8" t="s">
        <v>682</v>
      </c>
      <c r="H127" s="8" t="s">
        <v>683</v>
      </c>
      <c r="I127" s="8" t="s">
        <v>683</v>
      </c>
      <c r="J127" s="5">
        <f>1</f>
        <v>1</v>
      </c>
      <c r="K127" s="5" t="s">
        <v>21</v>
      </c>
      <c r="L127" s="5" t="s">
        <v>263</v>
      </c>
      <c r="M127" s="5" t="s">
        <v>672</v>
      </c>
      <c r="N127" s="5" t="s">
        <v>684</v>
      </c>
      <c r="Q127" s="107" t="s">
        <v>685</v>
      </c>
    </row>
    <row r="128" spans="1:17" x14ac:dyDescent="0.2">
      <c r="A128" s="5">
        <v>9</v>
      </c>
      <c r="B128" s="8" t="s">
        <v>686</v>
      </c>
      <c r="D128" s="8" t="s">
        <v>644</v>
      </c>
      <c r="E128" s="24">
        <v>43686</v>
      </c>
      <c r="F128" s="8" t="s">
        <v>259</v>
      </c>
      <c r="G128" s="8" t="s">
        <v>260</v>
      </c>
      <c r="H128" s="8" t="s">
        <v>687</v>
      </c>
      <c r="I128" s="8" t="s">
        <v>687</v>
      </c>
      <c r="J128" s="5">
        <f>24-1-1-1-6-1-4-6+35-14-3-1-3-1-2-1-9</f>
        <v>5</v>
      </c>
      <c r="K128" s="5" t="s">
        <v>21</v>
      </c>
      <c r="L128" s="5" t="s">
        <v>263</v>
      </c>
      <c r="M128" s="5" t="s">
        <v>688</v>
      </c>
      <c r="N128" s="5" t="s">
        <v>689</v>
      </c>
      <c r="Q128" s="107" t="s">
        <v>690</v>
      </c>
    </row>
    <row r="129" spans="1:21" x14ac:dyDescent="0.2">
      <c r="A129" s="5">
        <v>10</v>
      </c>
      <c r="B129" s="8" t="s">
        <v>691</v>
      </c>
      <c r="D129" s="8" t="s">
        <v>644</v>
      </c>
      <c r="E129" s="24">
        <v>43686</v>
      </c>
      <c r="F129" s="8" t="s">
        <v>259</v>
      </c>
      <c r="G129" s="8" t="s">
        <v>260</v>
      </c>
      <c r="H129" s="8" t="s">
        <v>692</v>
      </c>
      <c r="I129" s="8" t="s">
        <v>693</v>
      </c>
      <c r="J129" s="5">
        <f>15-1-2-2-6+6-1-2-1-3+3</f>
        <v>6</v>
      </c>
      <c r="K129" s="5" t="s">
        <v>21</v>
      </c>
      <c r="L129" s="5" t="s">
        <v>263</v>
      </c>
      <c r="M129" s="5" t="s">
        <v>688</v>
      </c>
      <c r="N129" s="5" t="s">
        <v>263</v>
      </c>
      <c r="Q129" s="5" t="s">
        <v>694</v>
      </c>
    </row>
    <row r="130" spans="1:21" x14ac:dyDescent="0.2">
      <c r="A130" s="5">
        <v>302</v>
      </c>
      <c r="B130" s="8" t="s">
        <v>695</v>
      </c>
      <c r="H130" s="8" t="s">
        <v>696</v>
      </c>
      <c r="I130" s="8" t="s">
        <v>696</v>
      </c>
      <c r="J130" s="5">
        <f>58-2-4</f>
        <v>52</v>
      </c>
      <c r="K130" s="5" t="s">
        <v>21</v>
      </c>
      <c r="L130" s="5" t="s">
        <v>263</v>
      </c>
      <c r="M130" s="5" t="s">
        <v>688</v>
      </c>
      <c r="N130" s="5" t="s">
        <v>511</v>
      </c>
      <c r="O130" s="5" t="s">
        <v>266</v>
      </c>
      <c r="Q130" s="5" t="s">
        <v>697</v>
      </c>
    </row>
    <row r="131" spans="1:21" x14ac:dyDescent="0.2">
      <c r="A131" s="5">
        <v>303</v>
      </c>
      <c r="B131" s="8" t="s">
        <v>698</v>
      </c>
      <c r="C131" s="8" t="s">
        <v>699</v>
      </c>
      <c r="D131" s="8" t="s">
        <v>669</v>
      </c>
      <c r="E131" s="24">
        <v>43668</v>
      </c>
      <c r="F131" s="8" t="s">
        <v>259</v>
      </c>
      <c r="G131" s="8" t="s">
        <v>375</v>
      </c>
      <c r="H131" s="8" t="s">
        <v>700</v>
      </c>
      <c r="I131" s="8" t="s">
        <v>701</v>
      </c>
      <c r="J131" s="5">
        <f>4-3+3+10-8</f>
        <v>6</v>
      </c>
      <c r="K131" s="5" t="s">
        <v>21</v>
      </c>
      <c r="L131" s="5" t="s">
        <v>263</v>
      </c>
      <c r="M131" s="5" t="s">
        <v>702</v>
      </c>
      <c r="N131" s="5" t="s">
        <v>43</v>
      </c>
      <c r="O131" s="5" t="s">
        <v>266</v>
      </c>
      <c r="Q131" s="5" t="s">
        <v>703</v>
      </c>
    </row>
    <row r="132" spans="1:21" x14ac:dyDescent="0.2">
      <c r="A132" s="5">
        <v>293</v>
      </c>
      <c r="B132" s="8" t="s">
        <v>704</v>
      </c>
      <c r="D132" s="8" t="s">
        <v>669</v>
      </c>
      <c r="E132" s="24">
        <v>43686</v>
      </c>
      <c r="F132" s="8" t="s">
        <v>259</v>
      </c>
      <c r="G132" s="8" t="s">
        <v>260</v>
      </c>
      <c r="H132" s="8" t="s">
        <v>705</v>
      </c>
      <c r="I132" s="8" t="s">
        <v>706</v>
      </c>
      <c r="J132" s="5">
        <v>1486</v>
      </c>
      <c r="K132" s="5" t="s">
        <v>21</v>
      </c>
      <c r="L132" s="5" t="s">
        <v>263</v>
      </c>
      <c r="M132" s="5" t="s">
        <v>702</v>
      </c>
      <c r="N132" s="5" t="s">
        <v>43</v>
      </c>
      <c r="O132" s="5" t="s">
        <v>266</v>
      </c>
      <c r="Q132" s="5" t="s">
        <v>652</v>
      </c>
    </row>
    <row r="133" spans="1:21" x14ac:dyDescent="0.2">
      <c r="A133" s="5"/>
      <c r="B133" s="8" t="s">
        <v>707</v>
      </c>
      <c r="H133" s="8" t="s">
        <v>708</v>
      </c>
      <c r="I133" s="8" t="s">
        <v>708</v>
      </c>
      <c r="J133" s="5">
        <f>423-2-2+3-1-1-8-2-1-1-8-1-4-2-18-16</f>
        <v>359</v>
      </c>
      <c r="K133" s="5" t="s">
        <v>21</v>
      </c>
      <c r="L133" s="5" t="s">
        <v>263</v>
      </c>
      <c r="M133" s="5" t="s">
        <v>702</v>
      </c>
    </row>
    <row r="134" spans="1:21" x14ac:dyDescent="0.2">
      <c r="A134" s="5">
        <v>298</v>
      </c>
      <c r="B134" s="8" t="s">
        <v>709</v>
      </c>
      <c r="H134" s="8" t="s">
        <v>710</v>
      </c>
      <c r="I134" s="8" t="s">
        <v>711</v>
      </c>
      <c r="J134" s="5">
        <f>296-2-8-2-2-3-50-3-2-2-2-6-50+75-6-3-2-4-2-8-30-70+1-8-18-16</f>
        <v>73</v>
      </c>
      <c r="K134" s="5" t="s">
        <v>21</v>
      </c>
      <c r="L134" s="5" t="s">
        <v>263</v>
      </c>
      <c r="M134" s="5" t="s">
        <v>702</v>
      </c>
      <c r="O134" s="5" t="s">
        <v>266</v>
      </c>
      <c r="Q134" s="5" t="s">
        <v>712</v>
      </c>
    </row>
    <row r="135" spans="1:21" x14ac:dyDescent="0.2">
      <c r="A135" s="5"/>
      <c r="B135" s="8" t="s">
        <v>713</v>
      </c>
      <c r="H135" s="8" t="s">
        <v>714</v>
      </c>
      <c r="I135" s="8" t="s">
        <v>714</v>
      </c>
      <c r="J135" s="5">
        <f>181</f>
        <v>181</v>
      </c>
      <c r="K135" s="5" t="s">
        <v>21</v>
      </c>
      <c r="L135" s="5" t="s">
        <v>263</v>
      </c>
      <c r="M135" s="5" t="s">
        <v>702</v>
      </c>
    </row>
    <row r="136" spans="1:21" x14ac:dyDescent="0.2">
      <c r="A136" s="5"/>
      <c r="B136" s="8" t="s">
        <v>715</v>
      </c>
      <c r="H136" s="101" t="s">
        <v>716</v>
      </c>
      <c r="I136" s="101" t="s">
        <v>716</v>
      </c>
      <c r="J136" s="5">
        <f>319+40</f>
        <v>359</v>
      </c>
      <c r="K136" s="5" t="s">
        <v>21</v>
      </c>
      <c r="L136" s="5" t="s">
        <v>263</v>
      </c>
      <c r="M136" s="5" t="s">
        <v>702</v>
      </c>
      <c r="Q136" s="5" t="s">
        <v>673</v>
      </c>
      <c r="U136" t="s">
        <v>321</v>
      </c>
    </row>
    <row r="137" spans="1:21" x14ac:dyDescent="0.2">
      <c r="A137" s="5"/>
      <c r="B137" s="8" t="s">
        <v>717</v>
      </c>
      <c r="H137" s="101" t="s">
        <v>718</v>
      </c>
      <c r="I137" s="101" t="s">
        <v>718</v>
      </c>
      <c r="J137" s="5">
        <f>63-3-50-3-2-2+25+6-3-8-8</f>
        <v>15</v>
      </c>
      <c r="K137" s="5" t="s">
        <v>21</v>
      </c>
      <c r="L137" s="5" t="s">
        <v>263</v>
      </c>
      <c r="M137" s="5" t="s">
        <v>702</v>
      </c>
      <c r="Q137" s="5" t="s">
        <v>719</v>
      </c>
    </row>
    <row r="138" spans="1:21" x14ac:dyDescent="0.2">
      <c r="A138" s="5"/>
      <c r="B138" s="8" t="s">
        <v>720</v>
      </c>
      <c r="H138" s="101" t="s">
        <v>721</v>
      </c>
      <c r="I138" s="101" t="s">
        <v>722</v>
      </c>
      <c r="J138" s="5">
        <f>0</f>
        <v>0</v>
      </c>
      <c r="K138" s="5" t="s">
        <v>21</v>
      </c>
      <c r="L138" s="5" t="s">
        <v>263</v>
      </c>
      <c r="M138" s="5" t="s">
        <v>702</v>
      </c>
    </row>
    <row r="139" spans="1:21" x14ac:dyDescent="0.2">
      <c r="A139" s="5">
        <v>300</v>
      </c>
      <c r="B139" s="8" t="s">
        <v>723</v>
      </c>
      <c r="H139" s="8" t="s">
        <v>724</v>
      </c>
      <c r="I139" s="8" t="s">
        <v>725</v>
      </c>
      <c r="J139" s="5">
        <v>0</v>
      </c>
      <c r="K139" s="5" t="s">
        <v>21</v>
      </c>
      <c r="L139" s="5" t="s">
        <v>689</v>
      </c>
      <c r="M139" s="5" t="s">
        <v>702</v>
      </c>
      <c r="O139" s="5" t="s">
        <v>266</v>
      </c>
      <c r="Q139" s="5" t="s">
        <v>712</v>
      </c>
      <c r="S139" s="5" t="s">
        <v>328</v>
      </c>
    </row>
    <row r="140" spans="1:21" x14ac:dyDescent="0.2">
      <c r="A140" s="5">
        <v>285</v>
      </c>
      <c r="B140" s="8" t="s">
        <v>726</v>
      </c>
      <c r="D140" s="8" t="s">
        <v>269</v>
      </c>
      <c r="E140" s="24">
        <v>43686</v>
      </c>
      <c r="F140" s="8" t="s">
        <v>259</v>
      </c>
      <c r="G140" s="8" t="s">
        <v>260</v>
      </c>
      <c r="H140" s="8" t="s">
        <v>727</v>
      </c>
      <c r="I140" s="8" t="s">
        <v>728</v>
      </c>
      <c r="J140" s="5">
        <f>2+1-2-1+2+5-2-2</f>
        <v>3</v>
      </c>
      <c r="K140" s="5" t="s">
        <v>21</v>
      </c>
      <c r="L140" s="5" t="s">
        <v>263</v>
      </c>
      <c r="M140" s="5" t="s">
        <v>729</v>
      </c>
      <c r="N140" s="5" t="s">
        <v>265</v>
      </c>
      <c r="O140" s="5" t="s">
        <v>266</v>
      </c>
    </row>
    <row r="141" spans="1:21" x14ac:dyDescent="0.2">
      <c r="A141" s="5"/>
      <c r="B141" s="8" t="s">
        <v>730</v>
      </c>
      <c r="H141" s="8" t="s">
        <v>731</v>
      </c>
      <c r="I141" s="8" t="s">
        <v>731</v>
      </c>
      <c r="J141" s="5">
        <f>2</f>
        <v>2</v>
      </c>
      <c r="K141" s="5" t="s">
        <v>21</v>
      </c>
      <c r="L141" s="5" t="s">
        <v>263</v>
      </c>
      <c r="M141" s="5" t="s">
        <v>729</v>
      </c>
      <c r="N141" s="5" t="s">
        <v>265</v>
      </c>
    </row>
    <row r="142" spans="1:21" x14ac:dyDescent="0.2">
      <c r="A142" s="5">
        <v>307</v>
      </c>
      <c r="B142" s="8" t="s">
        <v>732</v>
      </c>
      <c r="H142" s="8" t="s">
        <v>733</v>
      </c>
      <c r="I142" s="8" t="s">
        <v>733</v>
      </c>
      <c r="J142" s="5">
        <v>629</v>
      </c>
      <c r="K142" s="5" t="s">
        <v>21</v>
      </c>
      <c r="L142" s="5" t="s">
        <v>263</v>
      </c>
      <c r="M142" s="5" t="s">
        <v>734</v>
      </c>
      <c r="N142" s="5" t="s">
        <v>43</v>
      </c>
      <c r="O142" s="5" t="s">
        <v>266</v>
      </c>
      <c r="Q142" s="5" t="s">
        <v>735</v>
      </c>
    </row>
    <row r="143" spans="1:21" x14ac:dyDescent="0.2">
      <c r="A143" s="5">
        <v>7</v>
      </c>
      <c r="B143" s="8" t="s">
        <v>736</v>
      </c>
      <c r="H143" s="8" t="s">
        <v>737</v>
      </c>
      <c r="I143" s="8" t="s">
        <v>738</v>
      </c>
      <c r="J143" s="5">
        <f>300-6-5-16-12-45-40</f>
        <v>176</v>
      </c>
      <c r="K143" s="5" t="s">
        <v>292</v>
      </c>
      <c r="L143" s="5" t="s">
        <v>263</v>
      </c>
      <c r="M143" s="5" t="s">
        <v>739</v>
      </c>
      <c r="N143" s="5" t="s">
        <v>43</v>
      </c>
      <c r="Q143" s="5" t="s">
        <v>740</v>
      </c>
    </row>
    <row r="144" spans="1:21" x14ac:dyDescent="0.2">
      <c r="A144" s="5"/>
      <c r="B144" s="8" t="s">
        <v>736</v>
      </c>
      <c r="H144" s="8" t="s">
        <v>741</v>
      </c>
      <c r="I144" s="8" t="s">
        <v>741</v>
      </c>
      <c r="J144" s="5">
        <v>0</v>
      </c>
      <c r="K144" s="5" t="s">
        <v>21</v>
      </c>
      <c r="L144" s="5" t="s">
        <v>263</v>
      </c>
      <c r="M144" s="5" t="s">
        <v>739</v>
      </c>
      <c r="N144" s="5" t="s">
        <v>43</v>
      </c>
      <c r="O144" s="5" t="s">
        <v>266</v>
      </c>
      <c r="Q144" s="5" t="s">
        <v>742</v>
      </c>
    </row>
    <row r="145" spans="1:20" x14ac:dyDescent="0.2">
      <c r="A145" s="5">
        <v>318</v>
      </c>
      <c r="B145" s="8" t="s">
        <v>743</v>
      </c>
      <c r="D145" s="8" t="s">
        <v>306</v>
      </c>
      <c r="E145" s="24">
        <v>43686</v>
      </c>
      <c r="F145" s="8" t="s">
        <v>259</v>
      </c>
      <c r="G145" s="8" t="s">
        <v>260</v>
      </c>
      <c r="H145" s="8" t="s">
        <v>744</v>
      </c>
      <c r="I145" s="8" t="s">
        <v>745</v>
      </c>
      <c r="J145" s="5">
        <v>0</v>
      </c>
      <c r="K145" s="5" t="s">
        <v>21</v>
      </c>
      <c r="L145" s="5" t="s">
        <v>263</v>
      </c>
      <c r="M145" s="5" t="s">
        <v>746</v>
      </c>
      <c r="N145" s="5" t="s">
        <v>320</v>
      </c>
      <c r="O145" s="5" t="s">
        <v>266</v>
      </c>
      <c r="Q145" s="5" t="s">
        <v>747</v>
      </c>
    </row>
    <row r="146" spans="1:20" x14ac:dyDescent="0.2">
      <c r="A146" s="5"/>
      <c r="B146" s="8" t="s">
        <v>748</v>
      </c>
      <c r="C146" s="8" t="s">
        <v>420</v>
      </c>
      <c r="D146" s="8" t="s">
        <v>306</v>
      </c>
      <c r="E146" s="24">
        <v>43673</v>
      </c>
      <c r="F146" s="8" t="s">
        <v>259</v>
      </c>
      <c r="G146" s="8" t="s">
        <v>260</v>
      </c>
      <c r="H146" s="8" t="s">
        <v>749</v>
      </c>
      <c r="I146" s="8" t="s">
        <v>750</v>
      </c>
      <c r="J146" s="5">
        <v>0</v>
      </c>
      <c r="K146" s="5" t="s">
        <v>21</v>
      </c>
      <c r="L146" s="5" t="s">
        <v>263</v>
      </c>
      <c r="M146" s="5" t="s">
        <v>746</v>
      </c>
      <c r="N146" s="5" t="s">
        <v>265</v>
      </c>
      <c r="O146" s="5" t="s">
        <v>266</v>
      </c>
      <c r="S146" s="5" t="s">
        <v>328</v>
      </c>
    </row>
    <row r="147" spans="1:20" x14ac:dyDescent="0.2">
      <c r="A147" s="5">
        <v>354</v>
      </c>
      <c r="B147" s="8" t="s">
        <v>751</v>
      </c>
      <c r="C147" s="8" t="s">
        <v>436</v>
      </c>
      <c r="D147" s="8" t="s">
        <v>306</v>
      </c>
      <c r="E147" s="24">
        <v>43686</v>
      </c>
      <c r="F147" s="8" t="s">
        <v>259</v>
      </c>
      <c r="G147" s="8" t="s">
        <v>276</v>
      </c>
      <c r="H147" s="8" t="s">
        <v>437</v>
      </c>
      <c r="I147" s="8" t="s">
        <v>752</v>
      </c>
      <c r="J147" s="5">
        <v>0</v>
      </c>
      <c r="K147" s="5" t="s">
        <v>21</v>
      </c>
      <c r="L147" s="5" t="s">
        <v>263</v>
      </c>
      <c r="M147" s="5" t="s">
        <v>753</v>
      </c>
      <c r="N147" s="5" t="s">
        <v>43</v>
      </c>
      <c r="O147" s="5" t="s">
        <v>266</v>
      </c>
      <c r="Q147" s="10" t="s">
        <v>553</v>
      </c>
    </row>
    <row r="148" spans="1:20" x14ac:dyDescent="0.2">
      <c r="A148" s="5">
        <v>268</v>
      </c>
      <c r="B148" s="8" t="s">
        <v>754</v>
      </c>
      <c r="H148" s="8" t="s">
        <v>755</v>
      </c>
      <c r="I148" s="8" t="s">
        <v>755</v>
      </c>
      <c r="J148" s="5">
        <v>0</v>
      </c>
      <c r="K148" s="5" t="s">
        <v>21</v>
      </c>
      <c r="L148" s="5" t="s">
        <v>263</v>
      </c>
      <c r="M148" s="5" t="s">
        <v>756</v>
      </c>
      <c r="O148" s="5" t="s">
        <v>266</v>
      </c>
      <c r="Q148" s="5" t="s">
        <v>757</v>
      </c>
    </row>
    <row r="149" spans="1:20" x14ac:dyDescent="0.2">
      <c r="A149" s="5">
        <v>269</v>
      </c>
      <c r="B149" s="8" t="s">
        <v>758</v>
      </c>
      <c r="H149" s="8" t="s">
        <v>759</v>
      </c>
      <c r="I149" s="8" t="s">
        <v>759</v>
      </c>
      <c r="J149" s="5">
        <v>0</v>
      </c>
      <c r="K149" s="5" t="s">
        <v>21</v>
      </c>
      <c r="L149" s="5" t="s">
        <v>263</v>
      </c>
      <c r="M149" s="5" t="s">
        <v>756</v>
      </c>
      <c r="O149" s="5" t="s">
        <v>266</v>
      </c>
      <c r="Q149" s="5" t="s">
        <v>757</v>
      </c>
    </row>
    <row r="150" spans="1:20" x14ac:dyDescent="0.2">
      <c r="A150" s="5">
        <v>273</v>
      </c>
      <c r="B150" s="8" t="s">
        <v>760</v>
      </c>
      <c r="D150" s="8" t="s">
        <v>761</v>
      </c>
      <c r="E150" s="24">
        <v>43686</v>
      </c>
      <c r="F150" s="8" t="s">
        <v>259</v>
      </c>
      <c r="G150" s="8" t="s">
        <v>260</v>
      </c>
      <c r="H150" s="8" t="s">
        <v>762</v>
      </c>
      <c r="I150" s="8" t="s">
        <v>763</v>
      </c>
      <c r="J150" s="5">
        <v>0</v>
      </c>
      <c r="K150" s="5" t="s">
        <v>21</v>
      </c>
      <c r="L150" s="5" t="s">
        <v>263</v>
      </c>
      <c r="M150" s="5" t="s">
        <v>756</v>
      </c>
      <c r="N150" s="5" t="s">
        <v>516</v>
      </c>
      <c r="O150" s="5" t="s">
        <v>266</v>
      </c>
      <c r="Q150" s="5" t="s">
        <v>764</v>
      </c>
      <c r="R150" s="6"/>
      <c r="S150" s="6"/>
    </row>
    <row r="151" spans="1:20" x14ac:dyDescent="0.2">
      <c r="A151" s="5"/>
      <c r="B151" s="8" t="s">
        <v>765</v>
      </c>
      <c r="H151" s="8" t="s">
        <v>766</v>
      </c>
      <c r="I151" s="8" t="s">
        <v>766</v>
      </c>
      <c r="J151" s="5">
        <f>80</f>
        <v>80</v>
      </c>
      <c r="K151" s="5" t="s">
        <v>292</v>
      </c>
      <c r="L151" s="5" t="s">
        <v>767</v>
      </c>
      <c r="M151" s="5">
        <v>1</v>
      </c>
      <c r="N151" s="5" t="s">
        <v>43</v>
      </c>
      <c r="Q151" s="107" t="s">
        <v>768</v>
      </c>
      <c r="S151" s="5" t="s">
        <v>328</v>
      </c>
    </row>
    <row r="152" spans="1:20" x14ac:dyDescent="0.2">
      <c r="A152" s="5"/>
      <c r="B152" s="8" t="s">
        <v>769</v>
      </c>
      <c r="H152" s="8" t="s">
        <v>770</v>
      </c>
      <c r="I152" s="8" t="s">
        <v>771</v>
      </c>
      <c r="J152" s="5">
        <f>80+3</f>
        <v>83</v>
      </c>
      <c r="K152" s="5" t="s">
        <v>292</v>
      </c>
      <c r="L152" s="5" t="s">
        <v>767</v>
      </c>
      <c r="M152" s="5">
        <v>1</v>
      </c>
      <c r="N152" s="5" t="s">
        <v>43</v>
      </c>
      <c r="Q152" s="7"/>
      <c r="R152" s="6"/>
      <c r="S152" s="6"/>
    </row>
    <row r="153" spans="1:20" x14ac:dyDescent="0.2">
      <c r="A153" s="5">
        <v>1358</v>
      </c>
      <c r="B153" s="8" t="s">
        <v>772</v>
      </c>
      <c r="C153" s="8" t="s">
        <v>769</v>
      </c>
      <c r="D153" s="8" t="s">
        <v>773</v>
      </c>
      <c r="E153" s="24">
        <v>43691</v>
      </c>
      <c r="F153" s="8" t="s">
        <v>259</v>
      </c>
      <c r="G153" s="8" t="s">
        <v>260</v>
      </c>
      <c r="H153" s="8" t="s">
        <v>774</v>
      </c>
      <c r="I153" s="8" t="s">
        <v>775</v>
      </c>
      <c r="J153" s="5">
        <f>3-3</f>
        <v>0</v>
      </c>
      <c r="K153" s="5" t="s">
        <v>292</v>
      </c>
      <c r="L153" s="5" t="s">
        <v>767</v>
      </c>
      <c r="M153" s="5">
        <v>1</v>
      </c>
      <c r="N153" s="5" t="s">
        <v>43</v>
      </c>
      <c r="O153" s="5" t="s">
        <v>574</v>
      </c>
      <c r="Q153" s="7" t="s">
        <v>776</v>
      </c>
      <c r="R153" s="6"/>
      <c r="S153" s="6"/>
      <c r="T153" s="5" t="s">
        <v>777</v>
      </c>
    </row>
    <row r="154" spans="1:20" x14ac:dyDescent="0.2">
      <c r="A154" s="5">
        <v>1356</v>
      </c>
      <c r="B154" s="8" t="s">
        <v>778</v>
      </c>
      <c r="C154" s="8" t="s">
        <v>779</v>
      </c>
      <c r="D154" s="8" t="s">
        <v>773</v>
      </c>
      <c r="E154" s="24">
        <v>43691</v>
      </c>
      <c r="F154" s="8" t="s">
        <v>259</v>
      </c>
      <c r="G154" s="8" t="s">
        <v>260</v>
      </c>
      <c r="H154" s="8" t="s">
        <v>780</v>
      </c>
      <c r="I154" s="8" t="s">
        <v>781</v>
      </c>
      <c r="J154" s="5">
        <f>9</f>
        <v>9</v>
      </c>
      <c r="K154" s="5" t="s">
        <v>292</v>
      </c>
      <c r="L154" s="5" t="s">
        <v>767</v>
      </c>
      <c r="M154" s="5">
        <v>1</v>
      </c>
      <c r="N154" s="5" t="s">
        <v>43</v>
      </c>
      <c r="O154" s="5" t="s">
        <v>574</v>
      </c>
      <c r="Q154" s="10" t="s">
        <v>553</v>
      </c>
      <c r="R154" s="6"/>
      <c r="S154" s="6"/>
      <c r="T154" s="5" t="s">
        <v>777</v>
      </c>
    </row>
    <row r="155" spans="1:20" x14ac:dyDescent="0.2">
      <c r="A155" s="5">
        <v>1357</v>
      </c>
      <c r="B155" s="8" t="s">
        <v>782</v>
      </c>
      <c r="C155" s="8" t="s">
        <v>783</v>
      </c>
      <c r="D155" s="8" t="s">
        <v>773</v>
      </c>
      <c r="E155" s="24">
        <v>43691</v>
      </c>
      <c r="F155" s="8" t="s">
        <v>259</v>
      </c>
      <c r="G155" s="8" t="s">
        <v>260</v>
      </c>
      <c r="H155" s="8" t="s">
        <v>784</v>
      </c>
      <c r="I155" s="8" t="s">
        <v>785</v>
      </c>
      <c r="J155" s="5">
        <f>4</f>
        <v>4</v>
      </c>
      <c r="K155" s="5" t="s">
        <v>292</v>
      </c>
      <c r="L155" s="5" t="s">
        <v>767</v>
      </c>
      <c r="M155" s="5">
        <v>1</v>
      </c>
      <c r="N155" s="5" t="s">
        <v>43</v>
      </c>
      <c r="O155" s="5" t="s">
        <v>574</v>
      </c>
      <c r="Q155" s="5" t="s">
        <v>776</v>
      </c>
      <c r="R155" s="6"/>
      <c r="S155" s="6"/>
      <c r="T155" s="5" t="s">
        <v>777</v>
      </c>
    </row>
    <row r="156" spans="1:20" x14ac:dyDescent="0.2">
      <c r="A156" s="5">
        <v>372</v>
      </c>
      <c r="B156" s="8" t="s">
        <v>786</v>
      </c>
      <c r="H156" s="8" t="s">
        <v>787</v>
      </c>
      <c r="I156" s="8" t="s">
        <v>788</v>
      </c>
      <c r="J156" s="5">
        <f>111</f>
        <v>111</v>
      </c>
      <c r="K156" s="5" t="s">
        <v>292</v>
      </c>
      <c r="L156" s="5" t="s">
        <v>767</v>
      </c>
      <c r="M156" s="5">
        <v>2</v>
      </c>
      <c r="N156" s="5" t="s">
        <v>43</v>
      </c>
      <c r="O156" s="5" t="s">
        <v>789</v>
      </c>
      <c r="Q156" s="10" t="s">
        <v>553</v>
      </c>
      <c r="R156" s="6"/>
      <c r="S156" s="6"/>
    </row>
    <row r="157" spans="1:20" x14ac:dyDescent="0.2">
      <c r="A157" s="5"/>
      <c r="B157" s="8" t="s">
        <v>94</v>
      </c>
      <c r="I157" s="8" t="s">
        <v>93</v>
      </c>
      <c r="J157" s="5">
        <f>100-7</f>
        <v>93</v>
      </c>
      <c r="K157" s="5" t="s">
        <v>292</v>
      </c>
      <c r="L157" s="5" t="s">
        <v>767</v>
      </c>
      <c r="M157" s="5">
        <v>2</v>
      </c>
      <c r="Q157" s="10"/>
      <c r="R157" s="6"/>
      <c r="S157" s="6"/>
    </row>
    <row r="158" spans="1:20" x14ac:dyDescent="0.2">
      <c r="A158" s="5"/>
      <c r="B158" s="8">
        <v>1050570001</v>
      </c>
      <c r="I158" s="8" t="s">
        <v>790</v>
      </c>
      <c r="J158" s="5">
        <f>6</f>
        <v>6</v>
      </c>
      <c r="K158" s="5" t="s">
        <v>292</v>
      </c>
      <c r="L158" s="5" t="s">
        <v>767</v>
      </c>
      <c r="M158" s="5">
        <v>2</v>
      </c>
      <c r="Q158" s="10"/>
      <c r="R158" s="6"/>
      <c r="S158" s="6"/>
    </row>
    <row r="159" spans="1:20" x14ac:dyDescent="0.2">
      <c r="A159" s="5">
        <v>1362</v>
      </c>
      <c r="B159" s="8" t="s">
        <v>791</v>
      </c>
      <c r="C159" s="8" t="s">
        <v>792</v>
      </c>
      <c r="D159" s="8" t="s">
        <v>793</v>
      </c>
      <c r="E159" s="24">
        <v>43691</v>
      </c>
      <c r="F159" s="8" t="s">
        <v>259</v>
      </c>
      <c r="G159" s="8" t="s">
        <v>276</v>
      </c>
      <c r="H159" s="8" t="s">
        <v>794</v>
      </c>
      <c r="I159" s="8" t="s">
        <v>795</v>
      </c>
      <c r="J159" s="5">
        <f>5</f>
        <v>5</v>
      </c>
      <c r="K159" s="5" t="s">
        <v>292</v>
      </c>
      <c r="L159" s="5" t="s">
        <v>767</v>
      </c>
      <c r="M159" s="5">
        <v>3</v>
      </c>
      <c r="N159" s="5" t="s">
        <v>43</v>
      </c>
      <c r="O159" s="5" t="s">
        <v>574</v>
      </c>
      <c r="Q159" s="10" t="s">
        <v>553</v>
      </c>
      <c r="R159" s="6"/>
      <c r="S159" s="6" t="s">
        <v>796</v>
      </c>
      <c r="T159" s="5" t="s">
        <v>777</v>
      </c>
    </row>
    <row r="160" spans="1:20" x14ac:dyDescent="0.2">
      <c r="A160" s="5">
        <v>1360</v>
      </c>
      <c r="B160" s="8" t="s">
        <v>797</v>
      </c>
      <c r="D160" s="8" t="s">
        <v>793</v>
      </c>
      <c r="E160" s="24">
        <v>43691</v>
      </c>
      <c r="F160" s="8" t="s">
        <v>259</v>
      </c>
      <c r="G160" s="8" t="s">
        <v>260</v>
      </c>
      <c r="H160" s="8" t="s">
        <v>798</v>
      </c>
      <c r="I160" s="8" t="s">
        <v>798</v>
      </c>
      <c r="J160" s="5">
        <f>5</f>
        <v>5</v>
      </c>
      <c r="K160" s="5" t="s">
        <v>21</v>
      </c>
      <c r="L160" s="5" t="s">
        <v>767</v>
      </c>
      <c r="M160" s="5">
        <v>3</v>
      </c>
      <c r="Q160" s="7"/>
      <c r="R160" s="6"/>
      <c r="S160" s="6" t="s">
        <v>796</v>
      </c>
    </row>
    <row r="161" spans="1:20" x14ac:dyDescent="0.2">
      <c r="A161" s="5">
        <v>1360</v>
      </c>
      <c r="B161" s="8" t="s">
        <v>799</v>
      </c>
      <c r="C161" s="8" t="s">
        <v>800</v>
      </c>
      <c r="D161" s="8" t="s">
        <v>793</v>
      </c>
      <c r="E161" s="24">
        <v>43691</v>
      </c>
      <c r="F161" s="8" t="s">
        <v>259</v>
      </c>
      <c r="G161" s="8" t="s">
        <v>276</v>
      </c>
      <c r="H161" s="8" t="s">
        <v>801</v>
      </c>
      <c r="I161" s="8" t="s">
        <v>801</v>
      </c>
      <c r="J161" s="5">
        <f>5</f>
        <v>5</v>
      </c>
      <c r="K161" s="5" t="s">
        <v>21</v>
      </c>
      <c r="L161" s="5" t="s">
        <v>767</v>
      </c>
      <c r="M161" s="5">
        <v>3</v>
      </c>
      <c r="Q161" s="7"/>
      <c r="R161" s="6"/>
      <c r="S161" s="6"/>
    </row>
    <row r="162" spans="1:20" x14ac:dyDescent="0.2">
      <c r="A162" s="5">
        <v>2086</v>
      </c>
      <c r="B162" s="8" t="s">
        <v>802</v>
      </c>
      <c r="D162" s="8" t="s">
        <v>793</v>
      </c>
      <c r="E162" s="24">
        <v>43691</v>
      </c>
      <c r="F162" s="8" t="s">
        <v>259</v>
      </c>
      <c r="G162" s="8" t="s">
        <v>260</v>
      </c>
      <c r="H162" s="8" t="s">
        <v>803</v>
      </c>
      <c r="I162" s="8" t="s">
        <v>804</v>
      </c>
      <c r="J162" s="5">
        <f>5</f>
        <v>5</v>
      </c>
      <c r="K162" s="5" t="s">
        <v>292</v>
      </c>
      <c r="L162" s="5" t="s">
        <v>767</v>
      </c>
      <c r="M162" s="5">
        <v>3</v>
      </c>
      <c r="N162" s="5" t="s">
        <v>805</v>
      </c>
      <c r="O162" s="5" t="s">
        <v>574</v>
      </c>
      <c r="Q162" s="10" t="s">
        <v>553</v>
      </c>
      <c r="R162" s="6"/>
      <c r="S162" s="6" t="s">
        <v>796</v>
      </c>
      <c r="T162" s="5" t="s">
        <v>777</v>
      </c>
    </row>
    <row r="163" spans="1:20" x14ac:dyDescent="0.2">
      <c r="A163" s="5">
        <v>1359</v>
      </c>
      <c r="B163" s="8" t="s">
        <v>806</v>
      </c>
      <c r="C163" s="8" t="s">
        <v>807</v>
      </c>
      <c r="D163" s="8" t="s">
        <v>793</v>
      </c>
      <c r="E163" s="24">
        <v>43691</v>
      </c>
      <c r="F163" s="8" t="s">
        <v>259</v>
      </c>
      <c r="G163" s="8" t="s">
        <v>276</v>
      </c>
      <c r="H163" s="8" t="s">
        <v>808</v>
      </c>
      <c r="I163" s="8" t="s">
        <v>809</v>
      </c>
      <c r="J163" s="5">
        <f>5</f>
        <v>5</v>
      </c>
      <c r="K163" s="5" t="s">
        <v>21</v>
      </c>
      <c r="L163" s="5" t="s">
        <v>767</v>
      </c>
      <c r="M163" s="5">
        <v>3</v>
      </c>
      <c r="Q163" s="7"/>
      <c r="R163" s="6"/>
      <c r="S163" s="6"/>
    </row>
    <row r="164" spans="1:20" x14ac:dyDescent="0.2">
      <c r="A164" s="5">
        <v>1363</v>
      </c>
      <c r="B164" s="8" t="s">
        <v>810</v>
      </c>
      <c r="C164" s="8" t="s">
        <v>811</v>
      </c>
      <c r="D164" s="8" t="s">
        <v>812</v>
      </c>
      <c r="E164" s="24">
        <v>43691</v>
      </c>
      <c r="F164" s="8" t="s">
        <v>259</v>
      </c>
      <c r="G164" s="8" t="s">
        <v>276</v>
      </c>
      <c r="H164" s="8" t="s">
        <v>813</v>
      </c>
      <c r="I164" s="8" t="s">
        <v>814</v>
      </c>
      <c r="J164" s="5">
        <f>9</f>
        <v>9</v>
      </c>
      <c r="K164" s="5" t="s">
        <v>292</v>
      </c>
      <c r="L164" s="5" t="s">
        <v>767</v>
      </c>
      <c r="M164" s="5">
        <v>3</v>
      </c>
      <c r="N164" s="5" t="s">
        <v>43</v>
      </c>
      <c r="O164" s="5" t="s">
        <v>574</v>
      </c>
      <c r="Q164" s="10" t="s">
        <v>553</v>
      </c>
      <c r="R164" s="6"/>
      <c r="S164" s="6" t="s">
        <v>815</v>
      </c>
      <c r="T164" s="5" t="s">
        <v>777</v>
      </c>
    </row>
    <row r="165" spans="1:20" x14ac:dyDescent="0.2">
      <c r="A165" s="5">
        <v>1364</v>
      </c>
      <c r="B165" s="139" t="s">
        <v>816</v>
      </c>
      <c r="H165" s="8" t="s">
        <v>817</v>
      </c>
      <c r="I165" s="8" t="s">
        <v>817</v>
      </c>
      <c r="J165" s="5">
        <f>50-2-22-3-6-1-1-3-8-1</f>
        <v>3</v>
      </c>
      <c r="K165" s="5" t="s">
        <v>292</v>
      </c>
      <c r="L165" s="5" t="s">
        <v>767</v>
      </c>
      <c r="M165" s="5">
        <v>4</v>
      </c>
      <c r="N165" s="5" t="s">
        <v>818</v>
      </c>
      <c r="O165" s="5" t="s">
        <v>574</v>
      </c>
      <c r="Q165" s="10" t="s">
        <v>553</v>
      </c>
      <c r="R165" s="6"/>
      <c r="S165" s="6"/>
      <c r="T165" s="5" t="s">
        <v>777</v>
      </c>
    </row>
    <row r="166" spans="1:20" x14ac:dyDescent="0.2">
      <c r="A166" s="5"/>
      <c r="B166" s="8" t="s">
        <v>819</v>
      </c>
      <c r="H166" s="8" t="s">
        <v>820</v>
      </c>
      <c r="I166" s="8" t="s">
        <v>821</v>
      </c>
      <c r="J166" s="5">
        <f>44-22-6-1+3-3-1-3-8-1</f>
        <v>2</v>
      </c>
      <c r="K166" s="5" t="s">
        <v>292</v>
      </c>
      <c r="L166" s="5" t="s">
        <v>767</v>
      </c>
      <c r="M166" s="5">
        <v>4</v>
      </c>
      <c r="N166" s="5" t="s">
        <v>818</v>
      </c>
      <c r="Q166" s="10"/>
      <c r="S166" s="5" t="s">
        <v>328</v>
      </c>
    </row>
    <row r="167" spans="1:20" x14ac:dyDescent="0.2">
      <c r="A167" s="5">
        <v>373</v>
      </c>
      <c r="B167" s="8" t="s">
        <v>822</v>
      </c>
      <c r="D167" s="8" t="s">
        <v>432</v>
      </c>
      <c r="E167" s="24">
        <v>43691</v>
      </c>
      <c r="F167" s="8" t="s">
        <v>259</v>
      </c>
      <c r="G167" s="8" t="s">
        <v>260</v>
      </c>
      <c r="H167" s="8" t="s">
        <v>823</v>
      </c>
      <c r="I167" s="8" t="s">
        <v>824</v>
      </c>
      <c r="J167" s="5">
        <f>68-2-66</f>
        <v>0</v>
      </c>
      <c r="K167" s="5" t="s">
        <v>292</v>
      </c>
      <c r="L167" s="5" t="s">
        <v>767</v>
      </c>
      <c r="M167" s="5">
        <v>5</v>
      </c>
      <c r="N167" s="5" t="s">
        <v>43</v>
      </c>
      <c r="O167" s="5" t="s">
        <v>789</v>
      </c>
      <c r="Q167" s="10" t="s">
        <v>553</v>
      </c>
      <c r="S167" s="5" t="s">
        <v>328</v>
      </c>
    </row>
    <row r="168" spans="1:20" x14ac:dyDescent="0.2">
      <c r="A168" s="5">
        <v>374</v>
      </c>
      <c r="B168" s="8" t="s">
        <v>825</v>
      </c>
      <c r="D168" s="8" t="s">
        <v>826</v>
      </c>
      <c r="E168" s="24">
        <v>43691</v>
      </c>
      <c r="F168" s="8" t="s">
        <v>259</v>
      </c>
      <c r="G168" s="8" t="s">
        <v>260</v>
      </c>
      <c r="H168" s="8" t="s">
        <v>827</v>
      </c>
      <c r="I168" s="8" t="s">
        <v>828</v>
      </c>
      <c r="J168" s="5">
        <f>2001-2-72-15-5-99-14</f>
        <v>1794</v>
      </c>
      <c r="K168" s="5" t="s">
        <v>292</v>
      </c>
      <c r="L168" s="5" t="s">
        <v>767</v>
      </c>
      <c r="M168" s="5">
        <v>6</v>
      </c>
      <c r="N168" s="5" t="s">
        <v>43</v>
      </c>
      <c r="O168" s="5" t="s">
        <v>789</v>
      </c>
      <c r="Q168" s="10" t="s">
        <v>553</v>
      </c>
      <c r="S168" s="5" t="s">
        <v>328</v>
      </c>
    </row>
    <row r="169" spans="1:20" x14ac:dyDescent="0.2">
      <c r="A169" s="5">
        <v>375</v>
      </c>
      <c r="B169" s="8">
        <v>1640840000</v>
      </c>
      <c r="D169" s="8" t="s">
        <v>829</v>
      </c>
      <c r="E169" s="24">
        <v>43691</v>
      </c>
      <c r="F169" s="8" t="s">
        <v>259</v>
      </c>
      <c r="G169" s="8" t="s">
        <v>260</v>
      </c>
      <c r="H169" s="8" t="s">
        <v>830</v>
      </c>
      <c r="I169" s="8" t="s">
        <v>831</v>
      </c>
      <c r="J169" s="5">
        <f>879</f>
        <v>879</v>
      </c>
      <c r="K169" s="5" t="s">
        <v>292</v>
      </c>
      <c r="L169" s="5" t="s">
        <v>767</v>
      </c>
      <c r="M169" s="5">
        <v>7</v>
      </c>
      <c r="N169" s="5" t="s">
        <v>43</v>
      </c>
      <c r="O169" s="5" t="s">
        <v>789</v>
      </c>
      <c r="Q169" s="10" t="s">
        <v>553</v>
      </c>
    </row>
    <row r="170" spans="1:20" x14ac:dyDescent="0.2">
      <c r="A170">
        <v>384</v>
      </c>
      <c r="B170" s="8" t="s">
        <v>832</v>
      </c>
      <c r="C170" s="8" t="s">
        <v>833</v>
      </c>
      <c r="D170" s="8" t="s">
        <v>773</v>
      </c>
      <c r="E170" s="24">
        <v>43685</v>
      </c>
      <c r="F170" s="8" t="s">
        <v>259</v>
      </c>
      <c r="G170" s="8" t="s">
        <v>260</v>
      </c>
      <c r="H170" s="8" t="s">
        <v>834</v>
      </c>
      <c r="I170" s="8" t="s">
        <v>835</v>
      </c>
      <c r="J170" s="5">
        <f>652</f>
        <v>652</v>
      </c>
      <c r="K170" s="5" t="s">
        <v>292</v>
      </c>
      <c r="L170" s="5" t="s">
        <v>767</v>
      </c>
      <c r="M170" s="5">
        <v>8</v>
      </c>
      <c r="N170" s="5" t="s">
        <v>43</v>
      </c>
      <c r="O170" s="5" t="s">
        <v>789</v>
      </c>
      <c r="Q170" s="5" t="s">
        <v>836</v>
      </c>
      <c r="S170" s="5" t="s">
        <v>837</v>
      </c>
    </row>
    <row r="171" spans="1:20" x14ac:dyDescent="0.2">
      <c r="B171" s="8" t="s">
        <v>833</v>
      </c>
      <c r="D171" s="8" t="s">
        <v>773</v>
      </c>
      <c r="E171" s="24">
        <v>43691</v>
      </c>
      <c r="F171" s="8" t="s">
        <v>259</v>
      </c>
      <c r="G171" s="8" t="s">
        <v>260</v>
      </c>
      <c r="H171" s="8" t="s">
        <v>838</v>
      </c>
      <c r="I171" s="8" t="s">
        <v>839</v>
      </c>
      <c r="J171" s="5">
        <f>2341-36</f>
        <v>2305</v>
      </c>
      <c r="K171" s="5" t="s">
        <v>292</v>
      </c>
      <c r="L171" s="5" t="s">
        <v>767</v>
      </c>
      <c r="M171" s="5">
        <v>8</v>
      </c>
      <c r="N171" s="5" t="s">
        <v>81</v>
      </c>
    </row>
    <row r="172" spans="1:20" x14ac:dyDescent="0.2">
      <c r="A172" s="5">
        <v>380</v>
      </c>
      <c r="B172" s="8" t="s">
        <v>840</v>
      </c>
      <c r="C172" s="8" t="s">
        <v>840</v>
      </c>
      <c r="D172" s="8" t="s">
        <v>773</v>
      </c>
      <c r="E172" s="24">
        <v>43685</v>
      </c>
      <c r="F172" s="8" t="s">
        <v>259</v>
      </c>
      <c r="G172" s="8" t="s">
        <v>260</v>
      </c>
      <c r="H172" s="8" t="s">
        <v>841</v>
      </c>
      <c r="I172" s="8" t="s">
        <v>842</v>
      </c>
      <c r="J172" s="5">
        <f>1471-15-30-9-3-3-9-15-8-1-8-30-30-8-24-12-4-16-6-60-30-25-30-50+163-207</f>
        <v>1001</v>
      </c>
      <c r="K172" s="5" t="s">
        <v>292</v>
      </c>
      <c r="L172" s="5" t="s">
        <v>767</v>
      </c>
      <c r="M172" s="5">
        <v>8</v>
      </c>
      <c r="N172" s="5" t="s">
        <v>43</v>
      </c>
      <c r="O172" s="5" t="s">
        <v>789</v>
      </c>
      <c r="Q172" s="5" t="s">
        <v>843</v>
      </c>
    </row>
    <row r="173" spans="1:20" x14ac:dyDescent="0.2">
      <c r="A173" s="5">
        <v>353</v>
      </c>
      <c r="B173" s="8" t="s">
        <v>844</v>
      </c>
      <c r="C173" s="8" t="s">
        <v>845</v>
      </c>
      <c r="D173" s="8" t="s">
        <v>773</v>
      </c>
      <c r="E173" s="24">
        <v>43685</v>
      </c>
      <c r="F173" s="8" t="s">
        <v>259</v>
      </c>
      <c r="G173" s="8" t="s">
        <v>260</v>
      </c>
      <c r="H173" s="8" t="s">
        <v>846</v>
      </c>
      <c r="I173" s="8" t="s">
        <v>847</v>
      </c>
      <c r="J173" s="5">
        <f>84+4</f>
        <v>88</v>
      </c>
      <c r="K173" s="5" t="s">
        <v>848</v>
      </c>
      <c r="L173" s="5" t="s">
        <v>767</v>
      </c>
      <c r="M173" s="5">
        <v>8</v>
      </c>
      <c r="N173" s="5" t="s">
        <v>849</v>
      </c>
      <c r="Q173" s="5" t="s">
        <v>850</v>
      </c>
    </row>
    <row r="174" spans="1:20" x14ac:dyDescent="0.2">
      <c r="B174" s="8" t="s">
        <v>845</v>
      </c>
      <c r="D174" s="8" t="s">
        <v>773</v>
      </c>
      <c r="E174" s="24">
        <v>43691</v>
      </c>
      <c r="F174" s="8" t="s">
        <v>259</v>
      </c>
      <c r="G174" s="8" t="s">
        <v>260</v>
      </c>
      <c r="H174" s="8" t="s">
        <v>846</v>
      </c>
      <c r="I174" s="8" t="s">
        <v>851</v>
      </c>
      <c r="J174" s="5">
        <f>50+2</f>
        <v>52</v>
      </c>
      <c r="K174" s="5" t="s">
        <v>292</v>
      </c>
      <c r="L174" s="5" t="s">
        <v>767</v>
      </c>
      <c r="M174" s="5">
        <v>8</v>
      </c>
      <c r="N174" s="5" t="s">
        <v>849</v>
      </c>
      <c r="S174" s="5" t="s">
        <v>852</v>
      </c>
    </row>
    <row r="175" spans="1:20" x14ac:dyDescent="0.2">
      <c r="A175" s="5">
        <v>2353</v>
      </c>
      <c r="B175" s="8" t="s">
        <v>853</v>
      </c>
      <c r="C175" s="8" t="s">
        <v>854</v>
      </c>
      <c r="D175" s="8" t="s">
        <v>773</v>
      </c>
      <c r="E175" s="24">
        <v>43685</v>
      </c>
      <c r="F175" s="8" t="s">
        <v>259</v>
      </c>
      <c r="G175" s="8" t="s">
        <v>260</v>
      </c>
      <c r="H175" s="8" t="s">
        <v>855</v>
      </c>
      <c r="I175" s="8" t="s">
        <v>856</v>
      </c>
      <c r="J175" s="5">
        <f>138-10+150-20-1-12-9</f>
        <v>236</v>
      </c>
      <c r="K175" s="5" t="s">
        <v>21</v>
      </c>
      <c r="L175" s="5" t="s">
        <v>767</v>
      </c>
      <c r="M175" s="5">
        <v>8</v>
      </c>
      <c r="N175" s="5" t="s">
        <v>43</v>
      </c>
      <c r="O175" s="5" t="s">
        <v>789</v>
      </c>
      <c r="S175" s="5" t="s">
        <v>852</v>
      </c>
    </row>
    <row r="176" spans="1:20" x14ac:dyDescent="0.2">
      <c r="A176" s="5">
        <v>376</v>
      </c>
      <c r="B176" s="8" t="s">
        <v>857</v>
      </c>
      <c r="C176" s="8" t="s">
        <v>858</v>
      </c>
      <c r="D176" s="8" t="s">
        <v>773</v>
      </c>
      <c r="E176" s="24">
        <v>43685</v>
      </c>
      <c r="F176" s="8" t="s">
        <v>259</v>
      </c>
      <c r="G176" s="8" t="s">
        <v>260</v>
      </c>
      <c r="H176" s="8" t="s">
        <v>859</v>
      </c>
      <c r="I176" s="8" t="s">
        <v>860</v>
      </c>
      <c r="J176" s="5">
        <f>18-10+10-10</f>
        <v>8</v>
      </c>
      <c r="K176" s="5" t="s">
        <v>21</v>
      </c>
      <c r="L176" s="5" t="s">
        <v>767</v>
      </c>
      <c r="M176" s="5">
        <v>8</v>
      </c>
      <c r="N176" s="5" t="s">
        <v>43</v>
      </c>
      <c r="O176" s="5" t="s">
        <v>789</v>
      </c>
      <c r="Q176" s="5" t="s">
        <v>861</v>
      </c>
    </row>
    <row r="177" spans="1:19" x14ac:dyDescent="0.2">
      <c r="A177" s="5">
        <v>379</v>
      </c>
      <c r="B177" s="8" t="s">
        <v>862</v>
      </c>
      <c r="C177" s="8" t="s">
        <v>863</v>
      </c>
      <c r="D177" s="8" t="s">
        <v>773</v>
      </c>
      <c r="E177" s="24">
        <v>43685</v>
      </c>
      <c r="F177" s="8" t="s">
        <v>259</v>
      </c>
      <c r="G177" s="8" t="s">
        <v>260</v>
      </c>
      <c r="H177" s="8" t="s">
        <v>864</v>
      </c>
      <c r="I177" s="8" t="s">
        <v>865</v>
      </c>
      <c r="J177" s="5">
        <f>824-10-1-30+20-2-1-20-5-12-20+18-30-10</f>
        <v>721</v>
      </c>
      <c r="K177" s="5" t="s">
        <v>292</v>
      </c>
      <c r="L177" s="5" t="s">
        <v>767</v>
      </c>
      <c r="M177" s="5">
        <v>8</v>
      </c>
      <c r="N177" s="5" t="s">
        <v>43</v>
      </c>
      <c r="O177" s="5" t="s">
        <v>789</v>
      </c>
      <c r="Q177" s="5" t="s">
        <v>866</v>
      </c>
    </row>
    <row r="178" spans="1:19" x14ac:dyDescent="0.2">
      <c r="A178" s="5">
        <v>383</v>
      </c>
      <c r="B178" s="8" t="s">
        <v>867</v>
      </c>
      <c r="C178" s="8" t="s">
        <v>868</v>
      </c>
      <c r="D178" s="8" t="s">
        <v>773</v>
      </c>
      <c r="E178" s="24">
        <v>43685</v>
      </c>
      <c r="F178" s="8" t="s">
        <v>259</v>
      </c>
      <c r="G178" s="8" t="s">
        <v>260</v>
      </c>
      <c r="H178" s="8" t="s">
        <v>869</v>
      </c>
      <c r="I178" s="8" t="s">
        <v>870</v>
      </c>
      <c r="J178" s="5">
        <f>167-5-1-1-1-1-1-3-5-2-1-10-2-8-2-2-1-30-5+20-20+19-19</f>
        <v>86</v>
      </c>
      <c r="K178" s="5" t="s">
        <v>292</v>
      </c>
      <c r="L178" s="5" t="s">
        <v>767</v>
      </c>
      <c r="M178" s="5">
        <v>8</v>
      </c>
      <c r="N178" s="5" t="s">
        <v>43</v>
      </c>
      <c r="O178" s="5" t="s">
        <v>789</v>
      </c>
      <c r="Q178" s="5" t="s">
        <v>871</v>
      </c>
    </row>
    <row r="179" spans="1:19" x14ac:dyDescent="0.2">
      <c r="A179" s="5">
        <v>377</v>
      </c>
      <c r="B179" s="8" t="s">
        <v>872</v>
      </c>
      <c r="C179" s="8" t="s">
        <v>873</v>
      </c>
      <c r="D179" s="8" t="s">
        <v>874</v>
      </c>
      <c r="E179" s="24">
        <v>43691</v>
      </c>
      <c r="F179" s="8" t="s">
        <v>259</v>
      </c>
      <c r="G179" s="8" t="s">
        <v>260</v>
      </c>
      <c r="H179" s="8" t="s">
        <v>875</v>
      </c>
      <c r="I179" s="8" t="s">
        <v>876</v>
      </c>
      <c r="J179" s="5">
        <v>23</v>
      </c>
      <c r="K179" s="5" t="s">
        <v>292</v>
      </c>
      <c r="L179" s="5" t="s">
        <v>767</v>
      </c>
      <c r="M179" s="5">
        <v>8</v>
      </c>
      <c r="N179" s="5" t="s">
        <v>877</v>
      </c>
      <c r="O179" s="5" t="s">
        <v>789</v>
      </c>
      <c r="Q179" s="5" t="s">
        <v>878</v>
      </c>
      <c r="S179" s="5" t="s">
        <v>879</v>
      </c>
    </row>
    <row r="180" spans="1:19" x14ac:dyDescent="0.2">
      <c r="A180" s="5">
        <v>302</v>
      </c>
      <c r="B180" s="8" t="s">
        <v>880</v>
      </c>
      <c r="C180" s="8" t="s">
        <v>881</v>
      </c>
      <c r="D180" s="8" t="s">
        <v>874</v>
      </c>
      <c r="E180" s="24">
        <v>43691</v>
      </c>
      <c r="F180" s="8" t="s">
        <v>259</v>
      </c>
      <c r="G180" s="8" t="s">
        <v>276</v>
      </c>
      <c r="H180" s="8" t="s">
        <v>875</v>
      </c>
      <c r="I180" s="8" t="s">
        <v>882</v>
      </c>
      <c r="J180" s="5">
        <v>8</v>
      </c>
      <c r="K180" s="5" t="s">
        <v>292</v>
      </c>
      <c r="L180" s="5" t="s">
        <v>767</v>
      </c>
      <c r="M180" s="5">
        <v>8</v>
      </c>
      <c r="N180" s="5" t="s">
        <v>877</v>
      </c>
      <c r="O180" s="5" t="s">
        <v>789</v>
      </c>
    </row>
    <row r="181" spans="1:19" x14ac:dyDescent="0.2">
      <c r="A181" s="5">
        <v>378</v>
      </c>
      <c r="B181" s="8" t="s">
        <v>883</v>
      </c>
      <c r="C181" s="8" t="s">
        <v>884</v>
      </c>
      <c r="D181" s="8" t="s">
        <v>874</v>
      </c>
      <c r="E181" s="24">
        <v>43691</v>
      </c>
      <c r="F181" s="8" t="s">
        <v>259</v>
      </c>
      <c r="G181" s="8" t="s">
        <v>276</v>
      </c>
      <c r="H181" s="8" t="s">
        <v>885</v>
      </c>
      <c r="I181" s="8" t="s">
        <v>886</v>
      </c>
      <c r="J181" s="5">
        <v>32</v>
      </c>
      <c r="K181" s="5" t="s">
        <v>292</v>
      </c>
      <c r="L181" s="5" t="s">
        <v>767</v>
      </c>
      <c r="M181" s="5">
        <v>8</v>
      </c>
      <c r="N181" s="5" t="s">
        <v>43</v>
      </c>
      <c r="O181" s="5" t="s">
        <v>789</v>
      </c>
      <c r="Q181" s="5" t="s">
        <v>887</v>
      </c>
    </row>
    <row r="182" spans="1:19" x14ac:dyDescent="0.2">
      <c r="A182" s="5">
        <v>385</v>
      </c>
      <c r="B182" s="8" t="s">
        <v>888</v>
      </c>
      <c r="C182" s="8" t="s">
        <v>889</v>
      </c>
      <c r="D182" s="8" t="s">
        <v>874</v>
      </c>
      <c r="E182" s="24">
        <v>43691</v>
      </c>
      <c r="F182" s="8" t="s">
        <v>259</v>
      </c>
      <c r="G182" s="8" t="s">
        <v>375</v>
      </c>
      <c r="H182" s="8" t="s">
        <v>885</v>
      </c>
      <c r="I182" s="8" t="s">
        <v>886</v>
      </c>
      <c r="J182" s="5">
        <v>70</v>
      </c>
      <c r="K182" s="5" t="s">
        <v>292</v>
      </c>
      <c r="L182" s="5" t="s">
        <v>767</v>
      </c>
      <c r="M182" s="5">
        <v>8</v>
      </c>
      <c r="N182" s="5" t="s">
        <v>43</v>
      </c>
      <c r="O182" s="5" t="s">
        <v>789</v>
      </c>
      <c r="Q182" s="5" t="s">
        <v>890</v>
      </c>
    </row>
    <row r="183" spans="1:19" x14ac:dyDescent="0.2">
      <c r="A183" s="5">
        <v>381</v>
      </c>
      <c r="B183" s="8" t="s">
        <v>891</v>
      </c>
      <c r="H183" s="8" t="s">
        <v>892</v>
      </c>
      <c r="I183" s="8" t="s">
        <v>892</v>
      </c>
      <c r="J183" s="5">
        <f>40-4-2-10+10+4</f>
        <v>38</v>
      </c>
      <c r="K183" s="5" t="s">
        <v>292</v>
      </c>
      <c r="L183" s="5" t="s">
        <v>767</v>
      </c>
      <c r="M183" s="5">
        <v>8</v>
      </c>
      <c r="N183" s="5" t="s">
        <v>893</v>
      </c>
      <c r="O183" s="5" t="s">
        <v>789</v>
      </c>
      <c r="Q183" s="5" t="s">
        <v>843</v>
      </c>
    </row>
    <row r="184" spans="1:19" x14ac:dyDescent="0.2">
      <c r="B184" s="8" t="s">
        <v>833</v>
      </c>
      <c r="D184" s="8" t="s">
        <v>773</v>
      </c>
      <c r="E184" s="24">
        <v>43691</v>
      </c>
      <c r="F184" s="8" t="s">
        <v>259</v>
      </c>
      <c r="G184" s="8" t="s">
        <v>260</v>
      </c>
      <c r="H184" s="8" t="s">
        <v>838</v>
      </c>
      <c r="I184" s="8" t="s">
        <v>839</v>
      </c>
      <c r="J184" s="5">
        <f>2341-36</f>
        <v>2305</v>
      </c>
      <c r="K184" s="5" t="s">
        <v>292</v>
      </c>
      <c r="L184" s="5" t="s">
        <v>767</v>
      </c>
      <c r="M184" s="5">
        <v>8</v>
      </c>
      <c r="N184" s="5" t="s">
        <v>81</v>
      </c>
    </row>
    <row r="185" spans="1:19" x14ac:dyDescent="0.2">
      <c r="B185" s="8" t="s">
        <v>894</v>
      </c>
      <c r="H185" s="8" t="s">
        <v>895</v>
      </c>
      <c r="I185" s="8" t="s">
        <v>895</v>
      </c>
      <c r="J185" s="5">
        <f>10-2-4-2+2-2+40-16-2-8-1</f>
        <v>15</v>
      </c>
      <c r="K185" s="5" t="s">
        <v>292</v>
      </c>
      <c r="L185" s="5" t="s">
        <v>767</v>
      </c>
      <c r="M185" s="5">
        <v>8</v>
      </c>
      <c r="N185" s="5" t="s">
        <v>896</v>
      </c>
      <c r="Q185" s="107" t="s">
        <v>897</v>
      </c>
    </row>
    <row r="186" spans="1:19" x14ac:dyDescent="0.2">
      <c r="B186" s="8" t="s">
        <v>898</v>
      </c>
      <c r="H186" s="8" t="s">
        <v>899</v>
      </c>
      <c r="I186" s="8" t="s">
        <v>899</v>
      </c>
      <c r="J186" s="5">
        <f>76</f>
        <v>76</v>
      </c>
      <c r="K186" s="5" t="s">
        <v>292</v>
      </c>
      <c r="L186" s="5" t="s">
        <v>767</v>
      </c>
      <c r="M186" s="5">
        <v>8</v>
      </c>
      <c r="N186" s="5" t="s">
        <v>849</v>
      </c>
      <c r="Q186" s="107" t="s">
        <v>900</v>
      </c>
    </row>
    <row r="187" spans="1:19" x14ac:dyDescent="0.2">
      <c r="B187" s="8" t="s">
        <v>901</v>
      </c>
      <c r="H187" s="8" t="s">
        <v>902</v>
      </c>
      <c r="I187" s="8" t="s">
        <v>902</v>
      </c>
      <c r="J187" s="5">
        <f>200-4-4-4-100</f>
        <v>88</v>
      </c>
      <c r="K187" s="5" t="s">
        <v>292</v>
      </c>
      <c r="L187" s="5" t="s">
        <v>767</v>
      </c>
      <c r="M187" s="5">
        <v>8</v>
      </c>
      <c r="N187" s="5" t="s">
        <v>849</v>
      </c>
      <c r="Q187" s="107" t="s">
        <v>903</v>
      </c>
    </row>
    <row r="188" spans="1:19" x14ac:dyDescent="0.2">
      <c r="B188" s="8">
        <v>61300511121</v>
      </c>
      <c r="H188" s="8" t="s">
        <v>86</v>
      </c>
      <c r="I188" s="8" t="s">
        <v>86</v>
      </c>
      <c r="J188" s="5">
        <f>200-20-15-2-1-8-1-4</f>
        <v>149</v>
      </c>
      <c r="K188" s="5" t="s">
        <v>292</v>
      </c>
      <c r="L188" s="5" t="s">
        <v>767</v>
      </c>
      <c r="M188" s="5">
        <v>8</v>
      </c>
      <c r="Q188" s="107"/>
    </row>
    <row r="189" spans="1:19" x14ac:dyDescent="0.2">
      <c r="B189" s="8" t="s">
        <v>904</v>
      </c>
      <c r="H189" s="8" t="s">
        <v>905</v>
      </c>
      <c r="I189" s="8" t="s">
        <v>906</v>
      </c>
      <c r="J189" s="5">
        <f>200-6-19-54-2-1+2-8-1-4-2</f>
        <v>105</v>
      </c>
      <c r="K189" s="5" t="s">
        <v>292</v>
      </c>
      <c r="L189" s="5" t="s">
        <v>767</v>
      </c>
      <c r="M189" s="5">
        <v>8</v>
      </c>
      <c r="Q189" s="107"/>
      <c r="R189" s="5" t="s">
        <v>907</v>
      </c>
    </row>
    <row r="190" spans="1:19" x14ac:dyDescent="0.2">
      <c r="B190" s="11" t="s">
        <v>83</v>
      </c>
      <c r="H190" s="8" t="s">
        <v>908</v>
      </c>
      <c r="I190" s="8" t="s">
        <v>908</v>
      </c>
      <c r="J190" s="5">
        <f>200-20-15-4-25-2-1-8-1-4-13</f>
        <v>107</v>
      </c>
      <c r="K190" s="5" t="s">
        <v>292</v>
      </c>
      <c r="L190" s="5" t="s">
        <v>767</v>
      </c>
      <c r="M190" s="5">
        <v>8</v>
      </c>
      <c r="Q190" s="107"/>
    </row>
    <row r="191" spans="1:19" x14ac:dyDescent="0.2">
      <c r="B191" s="8" t="s">
        <v>909</v>
      </c>
      <c r="I191" s="8" t="s">
        <v>910</v>
      </c>
      <c r="J191" s="5">
        <f>4</f>
        <v>4</v>
      </c>
      <c r="K191" s="5" t="s">
        <v>292</v>
      </c>
      <c r="L191" s="5" t="s">
        <v>767</v>
      </c>
      <c r="M191" s="5">
        <v>8</v>
      </c>
      <c r="Q191" s="107" t="s">
        <v>911</v>
      </c>
    </row>
    <row r="192" spans="1:19" x14ac:dyDescent="0.2">
      <c r="A192" s="5">
        <v>396</v>
      </c>
      <c r="B192" s="133">
        <v>880407</v>
      </c>
      <c r="H192" s="8" t="s">
        <v>912</v>
      </c>
      <c r="I192" s="8" t="s">
        <v>912</v>
      </c>
      <c r="J192" s="5">
        <f>33+4-4-10-8-8-2</f>
        <v>5</v>
      </c>
      <c r="K192" s="5" t="s">
        <v>292</v>
      </c>
      <c r="L192" s="5" t="s">
        <v>767</v>
      </c>
      <c r="M192" s="5">
        <v>9</v>
      </c>
      <c r="N192" s="5" t="s">
        <v>43</v>
      </c>
    </row>
    <row r="193" spans="1:19" x14ac:dyDescent="0.2">
      <c r="A193" s="5">
        <v>395</v>
      </c>
      <c r="B193" s="8" t="s">
        <v>913</v>
      </c>
      <c r="D193" s="8" t="s">
        <v>914</v>
      </c>
      <c r="E193" s="24">
        <v>43685</v>
      </c>
      <c r="F193" s="8" t="s">
        <v>259</v>
      </c>
      <c r="G193" s="8" t="s">
        <v>260</v>
      </c>
      <c r="H193" s="8" t="s">
        <v>915</v>
      </c>
      <c r="I193" s="8" t="s">
        <v>916</v>
      </c>
      <c r="J193" s="5">
        <f>17-10-7</f>
        <v>0</v>
      </c>
      <c r="K193" s="5" t="s">
        <v>292</v>
      </c>
      <c r="L193" s="5" t="s">
        <v>767</v>
      </c>
      <c r="M193" s="5">
        <v>9</v>
      </c>
      <c r="N193" s="5" t="s">
        <v>43</v>
      </c>
      <c r="O193" s="5" t="s">
        <v>789</v>
      </c>
      <c r="Q193" s="5" t="s">
        <v>917</v>
      </c>
    </row>
    <row r="194" spans="1:19" x14ac:dyDescent="0.2">
      <c r="A194" s="5">
        <v>387</v>
      </c>
      <c r="B194" s="8" t="s">
        <v>918</v>
      </c>
      <c r="D194" s="8" t="s">
        <v>919</v>
      </c>
      <c r="E194" s="24">
        <v>43685</v>
      </c>
      <c r="F194" s="8" t="s">
        <v>259</v>
      </c>
      <c r="G194" s="8" t="s">
        <v>260</v>
      </c>
      <c r="H194" s="8" t="s">
        <v>920</v>
      </c>
      <c r="I194" s="8" t="s">
        <v>921</v>
      </c>
      <c r="J194" s="5">
        <f>230-47</f>
        <v>183</v>
      </c>
      <c r="K194" s="5" t="s">
        <v>292</v>
      </c>
      <c r="L194" s="5" t="s">
        <v>767</v>
      </c>
      <c r="M194" s="5">
        <v>9</v>
      </c>
      <c r="N194" s="5" t="s">
        <v>43</v>
      </c>
      <c r="O194" s="5" t="s">
        <v>789</v>
      </c>
      <c r="Q194" s="5" t="s">
        <v>922</v>
      </c>
    </row>
    <row r="195" spans="1:19" x14ac:dyDescent="0.2">
      <c r="A195" s="5">
        <v>386</v>
      </c>
      <c r="B195" s="8" t="s">
        <v>923</v>
      </c>
      <c r="D195" s="8" t="s">
        <v>919</v>
      </c>
      <c r="E195" s="24">
        <v>43685</v>
      </c>
      <c r="F195" s="8" t="s">
        <v>259</v>
      </c>
      <c r="G195" s="8" t="s">
        <v>260</v>
      </c>
      <c r="H195" s="8" t="s">
        <v>924</v>
      </c>
      <c r="I195" s="8" t="s">
        <v>925</v>
      </c>
      <c r="J195" s="5">
        <v>93</v>
      </c>
      <c r="K195" s="5" t="s">
        <v>292</v>
      </c>
      <c r="L195" s="5" t="s">
        <v>767</v>
      </c>
      <c r="M195" s="5">
        <v>9</v>
      </c>
      <c r="N195" s="5" t="s">
        <v>43</v>
      </c>
      <c r="O195" s="5" t="s">
        <v>789</v>
      </c>
      <c r="Q195" s="5" t="s">
        <v>926</v>
      </c>
    </row>
    <row r="196" spans="1:19" x14ac:dyDescent="0.2">
      <c r="A196" s="5">
        <v>392</v>
      </c>
      <c r="B196" s="8" t="s">
        <v>927</v>
      </c>
      <c r="D196" s="8" t="s">
        <v>919</v>
      </c>
      <c r="E196" s="24">
        <v>43685</v>
      </c>
      <c r="F196" s="8" t="s">
        <v>259</v>
      </c>
      <c r="G196" s="8" t="s">
        <v>260</v>
      </c>
      <c r="H196" s="8" t="s">
        <v>928</v>
      </c>
      <c r="I196" s="8" t="s">
        <v>929</v>
      </c>
      <c r="J196" s="5">
        <v>82</v>
      </c>
      <c r="K196" s="5" t="s">
        <v>292</v>
      </c>
      <c r="L196" s="5" t="s">
        <v>767</v>
      </c>
      <c r="M196" s="5">
        <v>9</v>
      </c>
      <c r="N196" s="5" t="s">
        <v>43</v>
      </c>
      <c r="O196" s="5" t="s">
        <v>789</v>
      </c>
      <c r="Q196" s="5" t="s">
        <v>930</v>
      </c>
    </row>
    <row r="197" spans="1:19" x14ac:dyDescent="0.2">
      <c r="A197" s="5"/>
      <c r="B197" s="8" t="s">
        <v>931</v>
      </c>
      <c r="H197" s="8" t="s">
        <v>932</v>
      </c>
      <c r="I197" s="8" t="s">
        <v>933</v>
      </c>
      <c r="J197" s="5">
        <f>56-6-4-20-16-2-2</f>
        <v>6</v>
      </c>
      <c r="K197" s="5" t="s">
        <v>292</v>
      </c>
      <c r="L197" s="5" t="s">
        <v>767</v>
      </c>
      <c r="M197" s="5">
        <v>9</v>
      </c>
    </row>
    <row r="198" spans="1:19" x14ac:dyDescent="0.2">
      <c r="A198" s="5">
        <v>311</v>
      </c>
      <c r="B198" s="8" t="s">
        <v>934</v>
      </c>
      <c r="C198" s="8" t="s">
        <v>934</v>
      </c>
      <c r="D198" s="8" t="s">
        <v>773</v>
      </c>
      <c r="E198" s="24">
        <v>43685</v>
      </c>
      <c r="F198" s="8" t="s">
        <v>259</v>
      </c>
      <c r="G198" s="8" t="s">
        <v>260</v>
      </c>
      <c r="H198" s="8" t="s">
        <v>935</v>
      </c>
      <c r="I198" s="8" t="s">
        <v>936</v>
      </c>
      <c r="J198" s="5">
        <f>8-8</f>
        <v>0</v>
      </c>
      <c r="K198" s="5" t="s">
        <v>292</v>
      </c>
      <c r="L198" s="5" t="s">
        <v>767</v>
      </c>
      <c r="M198" s="5">
        <v>9</v>
      </c>
      <c r="N198" s="5" t="s">
        <v>43</v>
      </c>
      <c r="Q198" s="5" t="s">
        <v>937</v>
      </c>
    </row>
    <row r="199" spans="1:19" x14ac:dyDescent="0.2">
      <c r="A199" s="5">
        <v>390</v>
      </c>
      <c r="B199" s="8" t="s">
        <v>938</v>
      </c>
      <c r="C199" s="8">
        <v>61400413321</v>
      </c>
      <c r="D199" s="8" t="s">
        <v>939</v>
      </c>
      <c r="E199" s="24">
        <v>43685</v>
      </c>
      <c r="F199" s="8" t="s">
        <v>259</v>
      </c>
      <c r="G199" s="8" t="s">
        <v>260</v>
      </c>
      <c r="H199" s="8" t="s">
        <v>940</v>
      </c>
      <c r="I199" s="8" t="s">
        <v>941</v>
      </c>
      <c r="J199" s="5">
        <v>9</v>
      </c>
      <c r="K199" s="5" t="s">
        <v>292</v>
      </c>
      <c r="L199" s="5" t="s">
        <v>767</v>
      </c>
      <c r="M199" s="5">
        <v>9</v>
      </c>
      <c r="N199" s="5" t="s">
        <v>43</v>
      </c>
      <c r="O199" s="5" t="s">
        <v>789</v>
      </c>
      <c r="Q199" s="5" t="s">
        <v>942</v>
      </c>
    </row>
    <row r="200" spans="1:19" x14ac:dyDescent="0.2">
      <c r="A200" s="5">
        <v>391</v>
      </c>
      <c r="B200" s="8" t="s">
        <v>943</v>
      </c>
      <c r="C200" s="8" t="s">
        <v>944</v>
      </c>
      <c r="D200" s="8" t="s">
        <v>945</v>
      </c>
      <c r="E200" s="24">
        <v>43685</v>
      </c>
      <c r="F200" s="8" t="s">
        <v>259</v>
      </c>
      <c r="G200" s="8" t="s">
        <v>260</v>
      </c>
      <c r="H200" s="8" t="s">
        <v>946</v>
      </c>
      <c r="I200" s="8" t="s">
        <v>947</v>
      </c>
      <c r="J200" s="5">
        <v>0</v>
      </c>
      <c r="K200" s="5" t="s">
        <v>292</v>
      </c>
      <c r="L200" s="5" t="s">
        <v>767</v>
      </c>
      <c r="M200" s="5">
        <v>9</v>
      </c>
      <c r="N200" s="5" t="s">
        <v>43</v>
      </c>
      <c r="O200" s="5" t="s">
        <v>789</v>
      </c>
      <c r="P200" s="5" t="s">
        <v>948</v>
      </c>
      <c r="Q200" s="5" t="s">
        <v>949</v>
      </c>
    </row>
    <row r="201" spans="1:19" x14ac:dyDescent="0.2">
      <c r="A201" s="5"/>
      <c r="B201" s="8" t="s">
        <v>64</v>
      </c>
      <c r="H201" s="8" t="s">
        <v>950</v>
      </c>
      <c r="I201" s="8" t="s">
        <v>950</v>
      </c>
      <c r="J201" s="5">
        <f>5</f>
        <v>5</v>
      </c>
      <c r="K201" s="5" t="s">
        <v>292</v>
      </c>
      <c r="L201" s="5" t="s">
        <v>767</v>
      </c>
      <c r="M201" s="5">
        <v>9</v>
      </c>
      <c r="N201" s="5" t="s">
        <v>849</v>
      </c>
      <c r="Q201" s="5" t="s">
        <v>951</v>
      </c>
      <c r="R201" s="6"/>
      <c r="S201" s="6" t="s">
        <v>796</v>
      </c>
    </row>
    <row r="202" spans="1:19" x14ac:dyDescent="0.2">
      <c r="A202" s="5">
        <v>388</v>
      </c>
      <c r="B202" s="8" t="s">
        <v>952</v>
      </c>
      <c r="C202" s="8" t="s">
        <v>952</v>
      </c>
      <c r="D202" s="8" t="s">
        <v>953</v>
      </c>
      <c r="E202" s="24">
        <v>43685</v>
      </c>
      <c r="F202" s="8" t="s">
        <v>259</v>
      </c>
      <c r="G202" s="8" t="s">
        <v>260</v>
      </c>
      <c r="H202" s="8" t="s">
        <v>954</v>
      </c>
      <c r="I202" s="8" t="s">
        <v>955</v>
      </c>
      <c r="J202" s="5">
        <v>0</v>
      </c>
      <c r="K202" s="5" t="s">
        <v>292</v>
      </c>
      <c r="L202" s="5" t="s">
        <v>767</v>
      </c>
      <c r="M202" s="5">
        <v>9</v>
      </c>
      <c r="N202" s="5" t="s">
        <v>43</v>
      </c>
      <c r="O202" s="5" t="s">
        <v>789</v>
      </c>
      <c r="Q202" s="5" t="s">
        <v>956</v>
      </c>
    </row>
    <row r="203" spans="1:19" x14ac:dyDescent="0.2">
      <c r="A203" s="5">
        <v>393</v>
      </c>
      <c r="B203" s="8" t="s">
        <v>957</v>
      </c>
      <c r="C203" s="8" t="s">
        <v>958</v>
      </c>
      <c r="D203" s="8" t="s">
        <v>953</v>
      </c>
      <c r="E203" s="24">
        <v>43685</v>
      </c>
      <c r="F203" s="8" t="s">
        <v>259</v>
      </c>
      <c r="G203" s="8" t="s">
        <v>260</v>
      </c>
      <c r="H203" s="8" t="s">
        <v>959</v>
      </c>
      <c r="I203" s="8" t="s">
        <v>960</v>
      </c>
      <c r="J203" s="5">
        <v>7</v>
      </c>
      <c r="K203" s="5" t="s">
        <v>292</v>
      </c>
      <c r="L203" s="5" t="s">
        <v>767</v>
      </c>
      <c r="M203" s="5">
        <v>9</v>
      </c>
      <c r="N203" s="5" t="s">
        <v>43</v>
      </c>
      <c r="O203" s="5" t="s">
        <v>789</v>
      </c>
      <c r="Q203" s="5" t="s">
        <v>949</v>
      </c>
    </row>
    <row r="204" spans="1:19" x14ac:dyDescent="0.2">
      <c r="A204" s="5">
        <v>665</v>
      </c>
      <c r="B204" s="8" t="s">
        <v>961</v>
      </c>
      <c r="C204" s="8" t="s">
        <v>962</v>
      </c>
      <c r="D204" s="8" t="s">
        <v>953</v>
      </c>
      <c r="E204" s="24">
        <v>43685</v>
      </c>
      <c r="F204" s="8" t="s">
        <v>259</v>
      </c>
      <c r="G204" s="8" t="s">
        <v>260</v>
      </c>
      <c r="H204" s="8" t="s">
        <v>963</v>
      </c>
      <c r="I204" s="8" t="s">
        <v>964</v>
      </c>
      <c r="J204" s="5">
        <f>80-10-20</f>
        <v>50</v>
      </c>
      <c r="K204" s="5" t="s">
        <v>292</v>
      </c>
      <c r="L204" s="5" t="s">
        <v>767</v>
      </c>
      <c r="M204" s="5">
        <v>9</v>
      </c>
      <c r="N204" s="5" t="s">
        <v>43</v>
      </c>
      <c r="O204" s="5" t="s">
        <v>789</v>
      </c>
      <c r="Q204" s="5" t="s">
        <v>965</v>
      </c>
    </row>
    <row r="205" spans="1:19" x14ac:dyDescent="0.2">
      <c r="A205" s="5">
        <v>394</v>
      </c>
      <c r="B205" s="8" t="s">
        <v>966</v>
      </c>
      <c r="C205" s="8" t="s">
        <v>966</v>
      </c>
      <c r="D205" s="8" t="s">
        <v>953</v>
      </c>
      <c r="E205" s="24">
        <v>43685</v>
      </c>
      <c r="F205" s="8" t="s">
        <v>259</v>
      </c>
      <c r="G205" s="8" t="s">
        <v>260</v>
      </c>
      <c r="H205" s="8" t="s">
        <v>967</v>
      </c>
      <c r="I205" s="8" t="s">
        <v>968</v>
      </c>
      <c r="J205" s="5">
        <f>8+6-10</f>
        <v>4</v>
      </c>
      <c r="K205" s="5" t="s">
        <v>292</v>
      </c>
      <c r="L205" s="5" t="s">
        <v>767</v>
      </c>
      <c r="M205" s="5">
        <v>9</v>
      </c>
      <c r="N205" s="5" t="s">
        <v>43</v>
      </c>
      <c r="O205" s="5" t="s">
        <v>789</v>
      </c>
      <c r="Q205" s="5" t="s">
        <v>969</v>
      </c>
    </row>
    <row r="206" spans="1:19" x14ac:dyDescent="0.2">
      <c r="A206" s="5">
        <v>389</v>
      </c>
      <c r="B206" s="8" t="s">
        <v>970</v>
      </c>
      <c r="D206" s="8" t="s">
        <v>971</v>
      </c>
      <c r="E206" s="24">
        <v>43685</v>
      </c>
      <c r="F206" s="8" t="s">
        <v>259</v>
      </c>
      <c r="G206" s="8" t="s">
        <v>260</v>
      </c>
      <c r="H206" s="8" t="s">
        <v>972</v>
      </c>
      <c r="I206" s="8" t="s">
        <v>973</v>
      </c>
      <c r="J206" s="5">
        <v>11</v>
      </c>
      <c r="K206" s="5" t="s">
        <v>292</v>
      </c>
      <c r="L206" s="5" t="s">
        <v>767</v>
      </c>
      <c r="M206" s="5">
        <v>9</v>
      </c>
      <c r="N206" s="5" t="s">
        <v>43</v>
      </c>
      <c r="O206" s="5" t="s">
        <v>789</v>
      </c>
      <c r="Q206" s="5" t="s">
        <v>974</v>
      </c>
    </row>
    <row r="207" spans="1:19" x14ac:dyDescent="0.2">
      <c r="A207" s="5"/>
      <c r="B207" s="8" t="s">
        <v>975</v>
      </c>
      <c r="H207" s="8" t="s">
        <v>976</v>
      </c>
      <c r="I207" s="8" t="s">
        <v>976</v>
      </c>
      <c r="J207" s="5">
        <f>50-20</f>
        <v>30</v>
      </c>
      <c r="K207" s="5" t="s">
        <v>292</v>
      </c>
      <c r="L207" s="5" t="s">
        <v>767</v>
      </c>
      <c r="M207" s="5">
        <v>9</v>
      </c>
      <c r="Q207" s="5" t="s">
        <v>977</v>
      </c>
    </row>
    <row r="208" spans="1:19" x14ac:dyDescent="0.2">
      <c r="A208" s="5"/>
      <c r="B208" s="8" t="s">
        <v>978</v>
      </c>
      <c r="H208" s="8" t="s">
        <v>979</v>
      </c>
      <c r="I208" s="8" t="s">
        <v>979</v>
      </c>
      <c r="J208" s="5">
        <f>25-10</f>
        <v>15</v>
      </c>
      <c r="K208" s="5" t="s">
        <v>292</v>
      </c>
      <c r="L208" s="5" t="s">
        <v>767</v>
      </c>
      <c r="M208" s="5">
        <v>9</v>
      </c>
      <c r="Q208" s="5" t="s">
        <v>977</v>
      </c>
    </row>
    <row r="209" spans="1:20" x14ac:dyDescent="0.2">
      <c r="A209" s="5"/>
      <c r="B209" s="8" t="s">
        <v>980</v>
      </c>
      <c r="H209" s="8" t="s">
        <v>981</v>
      </c>
      <c r="I209" s="8" t="s">
        <v>981</v>
      </c>
      <c r="J209" s="5">
        <f>100-30</f>
        <v>70</v>
      </c>
      <c r="K209" s="5" t="s">
        <v>292</v>
      </c>
      <c r="L209" s="5" t="s">
        <v>767</v>
      </c>
      <c r="M209" s="5">
        <v>9</v>
      </c>
      <c r="Q209" s="5" t="s">
        <v>977</v>
      </c>
    </row>
    <row r="210" spans="1:20" x14ac:dyDescent="0.2">
      <c r="A210" s="5"/>
      <c r="B210" s="8" t="s">
        <v>982</v>
      </c>
      <c r="H210" s="8" t="s">
        <v>983</v>
      </c>
      <c r="I210" s="8" t="s">
        <v>983</v>
      </c>
      <c r="J210" s="5">
        <f>50-30</f>
        <v>20</v>
      </c>
      <c r="K210" s="5" t="s">
        <v>292</v>
      </c>
      <c r="L210" s="5" t="s">
        <v>767</v>
      </c>
      <c r="M210" s="5">
        <v>9</v>
      </c>
      <c r="Q210" s="5" t="s">
        <v>977</v>
      </c>
    </row>
    <row r="211" spans="1:20" x14ac:dyDescent="0.2">
      <c r="A211" s="5"/>
      <c r="B211" s="8" t="s">
        <v>984</v>
      </c>
      <c r="H211" s="8" t="s">
        <v>985</v>
      </c>
      <c r="I211" s="8" t="s">
        <v>985</v>
      </c>
      <c r="J211" s="5">
        <f>50-40</f>
        <v>10</v>
      </c>
      <c r="K211" s="5" t="s">
        <v>292</v>
      </c>
      <c r="L211" s="5" t="s">
        <v>767</v>
      </c>
      <c r="M211" s="5">
        <v>9</v>
      </c>
    </row>
    <row r="212" spans="1:20" x14ac:dyDescent="0.2">
      <c r="A212" s="5"/>
      <c r="B212" s="8" t="s">
        <v>986</v>
      </c>
      <c r="H212" s="8" t="s">
        <v>981</v>
      </c>
      <c r="I212" s="8" t="s">
        <v>981</v>
      </c>
      <c r="J212" s="5">
        <f>50-30</f>
        <v>20</v>
      </c>
      <c r="K212" s="5" t="s">
        <v>292</v>
      </c>
      <c r="L212" s="5" t="s">
        <v>767</v>
      </c>
      <c r="M212" s="5">
        <v>9</v>
      </c>
    </row>
    <row r="213" spans="1:20" x14ac:dyDescent="0.2">
      <c r="A213" s="5"/>
      <c r="B213" s="8" t="s">
        <v>987</v>
      </c>
      <c r="H213" s="8" t="s">
        <v>988</v>
      </c>
      <c r="I213" s="8" t="s">
        <v>988</v>
      </c>
      <c r="J213" s="5">
        <f>50-10</f>
        <v>40</v>
      </c>
      <c r="K213" s="5" t="s">
        <v>292</v>
      </c>
      <c r="L213" s="5" t="s">
        <v>767</v>
      </c>
      <c r="M213" s="5">
        <v>9</v>
      </c>
    </row>
    <row r="214" spans="1:20" x14ac:dyDescent="0.2">
      <c r="A214" s="5"/>
      <c r="B214" s="140">
        <v>220302</v>
      </c>
      <c r="I214" s="8" t="s">
        <v>989</v>
      </c>
      <c r="J214" s="5">
        <f>841-12-200-32</f>
        <v>597</v>
      </c>
      <c r="K214" s="5" t="s">
        <v>292</v>
      </c>
      <c r="L214" s="5" t="s">
        <v>767</v>
      </c>
      <c r="M214" s="5">
        <v>9</v>
      </c>
    </row>
    <row r="215" spans="1:20" x14ac:dyDescent="0.2">
      <c r="A215" s="5">
        <v>1366</v>
      </c>
      <c r="B215" s="8" t="s">
        <v>990</v>
      </c>
      <c r="C215" s="8" t="s">
        <v>991</v>
      </c>
      <c r="D215" s="8" t="s">
        <v>793</v>
      </c>
      <c r="E215" s="24">
        <v>43685</v>
      </c>
      <c r="F215" s="8" t="s">
        <v>259</v>
      </c>
      <c r="G215" s="8" t="s">
        <v>260</v>
      </c>
      <c r="H215" s="8" t="s">
        <v>992</v>
      </c>
      <c r="I215" s="8" t="s">
        <v>993</v>
      </c>
      <c r="J215" s="5">
        <f>25</f>
        <v>25</v>
      </c>
      <c r="K215" s="5" t="s">
        <v>292</v>
      </c>
      <c r="L215" s="5" t="s">
        <v>767</v>
      </c>
      <c r="M215" s="5">
        <v>10</v>
      </c>
      <c r="N215" s="5" t="s">
        <v>805</v>
      </c>
      <c r="O215" s="5" t="s">
        <v>574</v>
      </c>
      <c r="Q215" s="10" t="s">
        <v>553</v>
      </c>
      <c r="R215" s="6"/>
      <c r="S215" s="6" t="s">
        <v>328</v>
      </c>
      <c r="T215" s="5" t="s">
        <v>777</v>
      </c>
    </row>
    <row r="216" spans="1:20" x14ac:dyDescent="0.2">
      <c r="A216" s="5">
        <v>1365</v>
      </c>
      <c r="B216" s="8" t="s">
        <v>994</v>
      </c>
      <c r="C216" s="8" t="s">
        <v>994</v>
      </c>
      <c r="D216" s="8" t="s">
        <v>793</v>
      </c>
      <c r="E216" s="24">
        <v>43685</v>
      </c>
      <c r="F216" s="8" t="s">
        <v>259</v>
      </c>
      <c r="G216" s="8" t="s">
        <v>260</v>
      </c>
      <c r="H216" s="8" t="s">
        <v>995</v>
      </c>
      <c r="I216" s="8" t="s">
        <v>996</v>
      </c>
      <c r="J216" s="5">
        <f>5</f>
        <v>5</v>
      </c>
      <c r="K216" s="5" t="s">
        <v>292</v>
      </c>
      <c r="L216" s="5" t="s">
        <v>767</v>
      </c>
      <c r="M216" s="5">
        <v>10</v>
      </c>
      <c r="N216" s="5" t="s">
        <v>805</v>
      </c>
      <c r="O216" s="5" t="s">
        <v>574</v>
      </c>
      <c r="Q216" s="10" t="s">
        <v>553</v>
      </c>
      <c r="R216" s="6"/>
      <c r="S216" s="6" t="s">
        <v>796</v>
      </c>
      <c r="T216" s="5" t="s">
        <v>777</v>
      </c>
    </row>
    <row r="217" spans="1:20" x14ac:dyDescent="0.2">
      <c r="A217" s="5">
        <v>1367</v>
      </c>
      <c r="B217" s="8" t="s">
        <v>997</v>
      </c>
      <c r="H217" s="8" t="s">
        <v>998</v>
      </c>
      <c r="I217" s="8" t="s">
        <v>998</v>
      </c>
      <c r="J217" s="5">
        <f>10</f>
        <v>10</v>
      </c>
      <c r="K217" s="5" t="s">
        <v>292</v>
      </c>
      <c r="L217" s="5" t="s">
        <v>767</v>
      </c>
      <c r="M217" s="5">
        <v>11</v>
      </c>
      <c r="N217" s="5" t="s">
        <v>877</v>
      </c>
      <c r="O217" s="5" t="s">
        <v>574</v>
      </c>
      <c r="Q217" s="10" t="s">
        <v>553</v>
      </c>
      <c r="R217" s="6"/>
      <c r="S217" s="6" t="s">
        <v>328</v>
      </c>
      <c r="T217" s="5" t="s">
        <v>777</v>
      </c>
    </row>
    <row r="218" spans="1:20" x14ac:dyDescent="0.2">
      <c r="A218" s="5"/>
      <c r="B218" s="8" t="s">
        <v>999</v>
      </c>
      <c r="I218" s="8" t="s">
        <v>1000</v>
      </c>
      <c r="J218" s="5">
        <f>8-4+10-6-2-2+6+10+14+6-34-2</f>
        <v>4</v>
      </c>
      <c r="K218" s="5" t="s">
        <v>292</v>
      </c>
      <c r="L218" s="5" t="s">
        <v>767</v>
      </c>
      <c r="M218" s="5">
        <v>11</v>
      </c>
      <c r="Q218" s="10"/>
      <c r="R218" s="6"/>
      <c r="S218" s="6"/>
    </row>
    <row r="219" spans="1:20" x14ac:dyDescent="0.2">
      <c r="A219" s="5">
        <v>1368</v>
      </c>
      <c r="B219" s="8" t="s">
        <v>1001</v>
      </c>
      <c r="H219" s="8" t="s">
        <v>1002</v>
      </c>
      <c r="I219" s="8" t="s">
        <v>1002</v>
      </c>
      <c r="J219" s="5">
        <f>10</f>
        <v>10</v>
      </c>
      <c r="K219" s="5" t="s">
        <v>292</v>
      </c>
      <c r="L219" s="5" t="s">
        <v>767</v>
      </c>
      <c r="M219" s="5">
        <v>11</v>
      </c>
      <c r="N219" s="5" t="s">
        <v>805</v>
      </c>
      <c r="O219" s="5" t="s">
        <v>574</v>
      </c>
      <c r="Q219" s="10" t="s">
        <v>553</v>
      </c>
      <c r="R219" s="6"/>
      <c r="S219" s="6" t="s">
        <v>328</v>
      </c>
      <c r="T219" s="5" t="s">
        <v>777</v>
      </c>
    </row>
    <row r="220" spans="1:20" x14ac:dyDescent="0.2">
      <c r="A220" s="5">
        <v>1379</v>
      </c>
      <c r="B220" s="8" t="s">
        <v>1003</v>
      </c>
      <c r="H220" s="8" t="s">
        <v>1004</v>
      </c>
      <c r="I220" s="8" t="s">
        <v>1004</v>
      </c>
      <c r="J220" s="5">
        <f>10</f>
        <v>10</v>
      </c>
      <c r="K220" s="5" t="s">
        <v>292</v>
      </c>
      <c r="L220" s="5" t="s">
        <v>767</v>
      </c>
      <c r="M220" s="5">
        <v>12</v>
      </c>
      <c r="N220" s="5" t="s">
        <v>1005</v>
      </c>
      <c r="O220" s="5" t="s">
        <v>574</v>
      </c>
      <c r="Q220" s="10" t="s">
        <v>553</v>
      </c>
      <c r="R220" s="6"/>
      <c r="S220" s="6"/>
      <c r="T220" s="5" t="s">
        <v>777</v>
      </c>
    </row>
    <row r="221" spans="1:20" x14ac:dyDescent="0.2">
      <c r="A221" s="5">
        <v>2048</v>
      </c>
      <c r="B221" s="8" t="s">
        <v>194</v>
      </c>
      <c r="H221" s="40" t="s">
        <v>1004</v>
      </c>
      <c r="I221" s="40" t="s">
        <v>1004</v>
      </c>
      <c r="J221" s="5">
        <f>50-6-8-7+18-1-24-8-1-6-4</f>
        <v>3</v>
      </c>
      <c r="K221" s="5" t="s">
        <v>292</v>
      </c>
      <c r="L221" s="5" t="s">
        <v>767</v>
      </c>
      <c r="M221" s="5">
        <v>12</v>
      </c>
      <c r="N221" s="5" t="s">
        <v>1005</v>
      </c>
      <c r="O221" s="5" t="s">
        <v>574</v>
      </c>
      <c r="Q221" s="107" t="s">
        <v>1006</v>
      </c>
      <c r="R221" s="6"/>
      <c r="S221" s="6"/>
      <c r="T221" s="5" t="s">
        <v>777</v>
      </c>
    </row>
    <row r="222" spans="1:20" x14ac:dyDescent="0.2">
      <c r="A222" s="5">
        <v>2049</v>
      </c>
      <c r="B222" s="8" t="s">
        <v>1007</v>
      </c>
      <c r="H222" s="8" t="s">
        <v>1004</v>
      </c>
      <c r="I222" s="8" t="s">
        <v>1004</v>
      </c>
      <c r="J222" s="5">
        <f>0</f>
        <v>0</v>
      </c>
      <c r="K222" s="5" t="s">
        <v>292</v>
      </c>
      <c r="L222" s="5" t="s">
        <v>767</v>
      </c>
      <c r="M222" s="5">
        <v>12</v>
      </c>
      <c r="N222" s="5" t="s">
        <v>1005</v>
      </c>
      <c r="O222" s="5" t="s">
        <v>574</v>
      </c>
      <c r="Q222" s="5" t="s">
        <v>1008</v>
      </c>
      <c r="R222" s="6"/>
      <c r="S222" s="6"/>
      <c r="T222" s="5" t="s">
        <v>777</v>
      </c>
    </row>
    <row r="223" spans="1:20" x14ac:dyDescent="0.2">
      <c r="A223" s="5"/>
      <c r="B223" s="8" t="s">
        <v>1009</v>
      </c>
      <c r="H223" s="8" t="s">
        <v>1010</v>
      </c>
      <c r="I223" s="8" t="s">
        <v>1010</v>
      </c>
      <c r="J223" s="5">
        <f>1</f>
        <v>1</v>
      </c>
      <c r="K223" s="5" t="s">
        <v>292</v>
      </c>
      <c r="L223" s="5" t="s">
        <v>767</v>
      </c>
      <c r="M223" s="5">
        <v>12</v>
      </c>
      <c r="Q223" s="5" t="s">
        <v>1011</v>
      </c>
      <c r="R223" s="6"/>
      <c r="S223" s="6"/>
    </row>
    <row r="224" spans="1:20" x14ac:dyDescent="0.2">
      <c r="A224" s="5">
        <v>2050</v>
      </c>
      <c r="B224" s="8" t="s">
        <v>1012</v>
      </c>
      <c r="H224" s="8" t="s">
        <v>1013</v>
      </c>
      <c r="I224" s="8" t="s">
        <v>1013</v>
      </c>
      <c r="J224" s="5">
        <v>18</v>
      </c>
      <c r="K224" s="5" t="s">
        <v>292</v>
      </c>
      <c r="L224" s="5" t="s">
        <v>767</v>
      </c>
      <c r="M224" s="5">
        <v>12</v>
      </c>
      <c r="N224" s="5" t="s">
        <v>1005</v>
      </c>
      <c r="O224" s="5" t="s">
        <v>574</v>
      </c>
      <c r="Q224" s="5" t="s">
        <v>1014</v>
      </c>
      <c r="R224" s="6"/>
      <c r="S224" s="6" t="s">
        <v>328</v>
      </c>
      <c r="T224" s="5" t="s">
        <v>777</v>
      </c>
    </row>
    <row r="225" spans="1:20" x14ac:dyDescent="0.2">
      <c r="A225" s="5">
        <v>2051</v>
      </c>
      <c r="B225" s="8" t="s">
        <v>1015</v>
      </c>
      <c r="H225" s="8" t="s">
        <v>1016</v>
      </c>
      <c r="I225" s="8" t="s">
        <v>1016</v>
      </c>
      <c r="J225" s="5">
        <v>87</v>
      </c>
      <c r="K225" s="5" t="s">
        <v>292</v>
      </c>
      <c r="L225" s="5" t="s">
        <v>767</v>
      </c>
      <c r="M225" s="5">
        <v>12</v>
      </c>
      <c r="N225" s="5" t="s">
        <v>1005</v>
      </c>
      <c r="O225" s="5" t="s">
        <v>574</v>
      </c>
      <c r="Q225" s="10" t="s">
        <v>553</v>
      </c>
      <c r="T225" s="5" t="s">
        <v>777</v>
      </c>
    </row>
    <row r="226" spans="1:20" x14ac:dyDescent="0.2">
      <c r="A226" s="5"/>
      <c r="B226" s="8" t="s">
        <v>1017</v>
      </c>
      <c r="I226" s="8" t="s">
        <v>1018</v>
      </c>
      <c r="J226" s="5">
        <f>16</f>
        <v>16</v>
      </c>
      <c r="K226" s="5" t="s">
        <v>292</v>
      </c>
      <c r="L226" s="5" t="s">
        <v>767</v>
      </c>
      <c r="M226" s="5">
        <v>12</v>
      </c>
      <c r="Q226" s="10" t="s">
        <v>1019</v>
      </c>
    </row>
    <row r="227" spans="1:20" x14ac:dyDescent="0.2">
      <c r="A227" s="5"/>
      <c r="B227" s="8">
        <v>875684493</v>
      </c>
      <c r="H227" s="8" t="s">
        <v>1020</v>
      </c>
      <c r="I227" s="8" t="s">
        <v>1020</v>
      </c>
      <c r="J227" s="5">
        <f>20-12-8+8-1</f>
        <v>7</v>
      </c>
      <c r="K227" s="5" t="s">
        <v>292</v>
      </c>
      <c r="L227" s="5" t="s">
        <v>767</v>
      </c>
      <c r="M227" s="5">
        <v>13</v>
      </c>
      <c r="N227" s="5" t="s">
        <v>1021</v>
      </c>
      <c r="O227" s="5" t="s">
        <v>789</v>
      </c>
      <c r="Q227" s="10" t="s">
        <v>1022</v>
      </c>
    </row>
    <row r="228" spans="1:20" x14ac:dyDescent="0.2">
      <c r="A228" s="5"/>
      <c r="B228" s="8">
        <v>61201023021</v>
      </c>
      <c r="H228" s="8" t="s">
        <v>1023</v>
      </c>
      <c r="I228" s="8" t="s">
        <v>1023</v>
      </c>
      <c r="J228" s="5">
        <f>46-3-3-6+288-2-22+50-22-2-4+14-22-10-1</f>
        <v>301</v>
      </c>
      <c r="K228" s="5" t="s">
        <v>292</v>
      </c>
      <c r="L228" s="5" t="s">
        <v>767</v>
      </c>
      <c r="M228" s="5">
        <v>13</v>
      </c>
      <c r="N228" s="5" t="s">
        <v>1021</v>
      </c>
      <c r="Q228" s="107" t="s">
        <v>1024</v>
      </c>
    </row>
    <row r="229" spans="1:20" x14ac:dyDescent="0.2">
      <c r="A229" s="5">
        <v>397</v>
      </c>
      <c r="B229" s="8">
        <v>110610</v>
      </c>
      <c r="C229" s="8">
        <v>61201023021</v>
      </c>
      <c r="D229" s="8" t="s">
        <v>1025</v>
      </c>
      <c r="E229" s="24">
        <v>43673</v>
      </c>
      <c r="F229" s="8" t="s">
        <v>259</v>
      </c>
      <c r="G229" s="8" t="s">
        <v>276</v>
      </c>
      <c r="H229" s="8" t="s">
        <v>1026</v>
      </c>
      <c r="I229" s="8" t="s">
        <v>1027</v>
      </c>
      <c r="J229" s="5">
        <f>4+11+205-207+72-1-3-11-8-1</f>
        <v>61</v>
      </c>
      <c r="K229" s="5" t="s">
        <v>292</v>
      </c>
      <c r="L229" s="5" t="s">
        <v>767</v>
      </c>
      <c r="M229" s="5">
        <v>13</v>
      </c>
      <c r="N229" s="5" t="s">
        <v>1021</v>
      </c>
      <c r="O229" s="5" t="s">
        <v>789</v>
      </c>
      <c r="Q229" s="5" t="s">
        <v>1028</v>
      </c>
      <c r="R229" s="5">
        <v>61201023021</v>
      </c>
    </row>
    <row r="230" spans="1:20" x14ac:dyDescent="0.2">
      <c r="A230" s="5">
        <v>399</v>
      </c>
      <c r="B230" s="8">
        <v>61201623021</v>
      </c>
      <c r="C230" s="8">
        <v>61201623021</v>
      </c>
      <c r="D230" s="8" t="s">
        <v>1025</v>
      </c>
      <c r="E230" s="24">
        <v>43673</v>
      </c>
      <c r="F230" s="8" t="s">
        <v>259</v>
      </c>
      <c r="G230" s="8" t="s">
        <v>276</v>
      </c>
      <c r="H230" s="8" t="s">
        <v>1029</v>
      </c>
      <c r="I230" s="8" t="s">
        <v>1030</v>
      </c>
      <c r="J230" s="5">
        <f>383-2-8+441-8</f>
        <v>806</v>
      </c>
      <c r="K230" s="5" t="s">
        <v>292</v>
      </c>
      <c r="L230" s="5" t="s">
        <v>767</v>
      </c>
      <c r="M230" s="5">
        <v>13</v>
      </c>
      <c r="N230" s="5" t="s">
        <v>1021</v>
      </c>
      <c r="O230" s="5" t="s">
        <v>789</v>
      </c>
      <c r="Q230" s="5" t="s">
        <v>1024</v>
      </c>
    </row>
    <row r="231" spans="1:20" x14ac:dyDescent="0.2">
      <c r="A231" s="5">
        <v>402</v>
      </c>
      <c r="B231" s="8" t="s">
        <v>1031</v>
      </c>
      <c r="C231" s="8">
        <v>61202623021</v>
      </c>
      <c r="D231" s="8" t="s">
        <v>1025</v>
      </c>
      <c r="E231" s="24">
        <v>43673</v>
      </c>
      <c r="F231" s="8" t="s">
        <v>259</v>
      </c>
      <c r="G231" s="8" t="s">
        <v>276</v>
      </c>
      <c r="H231" s="8" t="s">
        <v>1032</v>
      </c>
      <c r="I231" s="8" t="s">
        <v>1033</v>
      </c>
      <c r="J231" s="5">
        <f>4</f>
        <v>4</v>
      </c>
      <c r="K231" s="5" t="s">
        <v>292</v>
      </c>
      <c r="L231" s="5" t="s">
        <v>767</v>
      </c>
      <c r="M231" s="5">
        <v>13</v>
      </c>
      <c r="N231" s="5" t="s">
        <v>1021</v>
      </c>
      <c r="O231" s="5" t="s">
        <v>789</v>
      </c>
      <c r="P231" s="5" t="s">
        <v>1034</v>
      </c>
      <c r="Q231" s="5" t="s">
        <v>1035</v>
      </c>
    </row>
    <row r="232" spans="1:20" x14ac:dyDescent="0.2">
      <c r="A232" s="5"/>
      <c r="B232" s="8">
        <v>110626</v>
      </c>
      <c r="I232" s="8" t="s">
        <v>1036</v>
      </c>
      <c r="J232" s="5">
        <f>45</f>
        <v>45</v>
      </c>
      <c r="K232" s="5" t="s">
        <v>292</v>
      </c>
      <c r="L232" s="5" t="s">
        <v>767</v>
      </c>
      <c r="M232" s="5">
        <v>13</v>
      </c>
    </row>
    <row r="233" spans="1:20" x14ac:dyDescent="0.2">
      <c r="A233" s="5" t="s">
        <v>539</v>
      </c>
      <c r="B233" s="8">
        <v>110620</v>
      </c>
      <c r="C233" s="8">
        <v>61202023021</v>
      </c>
      <c r="D233" s="8" t="s">
        <v>1025</v>
      </c>
      <c r="E233" s="24">
        <v>43673</v>
      </c>
      <c r="F233" s="8" t="s">
        <v>259</v>
      </c>
      <c r="G233" s="8" t="s">
        <v>276</v>
      </c>
      <c r="H233" s="8" t="s">
        <v>1037</v>
      </c>
      <c r="I233" s="8" t="s">
        <v>1038</v>
      </c>
      <c r="J233" s="5">
        <f>47-4-5-2-15</f>
        <v>21</v>
      </c>
      <c r="K233" s="5" t="s">
        <v>292</v>
      </c>
      <c r="L233" s="5" t="s">
        <v>767</v>
      </c>
      <c r="M233" s="5">
        <v>13</v>
      </c>
      <c r="N233" s="5" t="s">
        <v>1021</v>
      </c>
      <c r="O233" s="5" t="s">
        <v>789</v>
      </c>
      <c r="P233" s="5" t="s">
        <v>1039</v>
      </c>
      <c r="Q233" s="5" t="s">
        <v>1040</v>
      </c>
      <c r="S233" s="5" t="s">
        <v>328</v>
      </c>
    </row>
    <row r="234" spans="1:20" x14ac:dyDescent="0.2">
      <c r="A234" s="5">
        <v>398</v>
      </c>
      <c r="B234" s="8" t="s">
        <v>1041</v>
      </c>
      <c r="C234" s="8">
        <v>61203423021</v>
      </c>
      <c r="D234" s="8" t="s">
        <v>1025</v>
      </c>
      <c r="E234" s="24">
        <v>43673</v>
      </c>
      <c r="F234" s="8" t="s">
        <v>259</v>
      </c>
      <c r="G234" s="8" t="s">
        <v>276</v>
      </c>
      <c r="H234" s="8" t="s">
        <v>1042</v>
      </c>
      <c r="I234" s="8" t="s">
        <v>1043</v>
      </c>
      <c r="J234" s="5">
        <f>61-8-2</f>
        <v>51</v>
      </c>
      <c r="K234" s="5" t="s">
        <v>292</v>
      </c>
      <c r="L234" s="5" t="s">
        <v>767</v>
      </c>
      <c r="M234" s="5">
        <v>13</v>
      </c>
      <c r="N234" s="5" t="s">
        <v>1021</v>
      </c>
      <c r="O234" s="5" t="s">
        <v>789</v>
      </c>
      <c r="Q234" s="10" t="s">
        <v>553</v>
      </c>
    </row>
    <row r="235" spans="1:20" x14ac:dyDescent="0.2">
      <c r="A235" s="5">
        <v>400</v>
      </c>
      <c r="B235" s="8" t="s">
        <v>1044</v>
      </c>
      <c r="C235" s="8">
        <v>61204023021</v>
      </c>
      <c r="D235" s="8" t="s">
        <v>1025</v>
      </c>
      <c r="E235" s="24">
        <v>43673</v>
      </c>
      <c r="F235" s="8" t="s">
        <v>259</v>
      </c>
      <c r="G235" s="8" t="s">
        <v>276</v>
      </c>
      <c r="H235" s="8" t="s">
        <v>1045</v>
      </c>
      <c r="I235" s="8" t="s">
        <v>1046</v>
      </c>
      <c r="J235" s="5">
        <f>55+2-1-2-4-5-5-2</f>
        <v>38</v>
      </c>
      <c r="K235" s="5" t="s">
        <v>292</v>
      </c>
      <c r="L235" s="5" t="s">
        <v>767</v>
      </c>
      <c r="M235" s="5">
        <v>13</v>
      </c>
      <c r="N235" s="5" t="s">
        <v>1021</v>
      </c>
      <c r="O235" s="5" t="s">
        <v>789</v>
      </c>
      <c r="P235" s="5" t="s">
        <v>1047</v>
      </c>
      <c r="Q235" s="5" t="s">
        <v>1040</v>
      </c>
    </row>
    <row r="236" spans="1:20" x14ac:dyDescent="0.2">
      <c r="A236" s="5">
        <v>405</v>
      </c>
      <c r="B236" s="8" t="s">
        <v>1048</v>
      </c>
      <c r="C236" s="8">
        <v>61206023021</v>
      </c>
      <c r="D236" s="8" t="s">
        <v>1025</v>
      </c>
      <c r="E236" s="24">
        <v>43673</v>
      </c>
      <c r="F236" s="8" t="s">
        <v>259</v>
      </c>
      <c r="G236" s="8" t="s">
        <v>276</v>
      </c>
      <c r="H236" s="8" t="s">
        <v>1049</v>
      </c>
      <c r="I236" s="8" t="s">
        <v>1050</v>
      </c>
      <c r="J236" s="5">
        <v>14</v>
      </c>
      <c r="K236" s="5" t="s">
        <v>292</v>
      </c>
      <c r="L236" s="5" t="s">
        <v>767</v>
      </c>
      <c r="M236" s="5">
        <v>13</v>
      </c>
      <c r="N236" s="5" t="s">
        <v>1021</v>
      </c>
      <c r="O236" s="5" t="s">
        <v>789</v>
      </c>
      <c r="Q236" s="10" t="s">
        <v>553</v>
      </c>
      <c r="S236" s="5" t="s">
        <v>328</v>
      </c>
    </row>
    <row r="237" spans="1:20" x14ac:dyDescent="0.2">
      <c r="A237" s="5">
        <v>401</v>
      </c>
      <c r="B237" s="8" t="s">
        <v>1051</v>
      </c>
      <c r="C237" s="8">
        <v>61206423021</v>
      </c>
      <c r="D237" s="8" t="s">
        <v>1025</v>
      </c>
      <c r="E237" s="24">
        <v>43673</v>
      </c>
      <c r="F237" s="8" t="s">
        <v>259</v>
      </c>
      <c r="G237" s="8" t="s">
        <v>276</v>
      </c>
      <c r="H237" s="8" t="s">
        <v>1052</v>
      </c>
      <c r="I237" s="8" t="s">
        <v>1053</v>
      </c>
      <c r="J237" s="5">
        <v>4</v>
      </c>
      <c r="K237" s="5" t="s">
        <v>292</v>
      </c>
      <c r="L237" s="5" t="s">
        <v>767</v>
      </c>
      <c r="M237" s="5">
        <v>13</v>
      </c>
      <c r="N237" s="5" t="s">
        <v>1021</v>
      </c>
      <c r="O237" s="5" t="s">
        <v>789</v>
      </c>
      <c r="Q237" s="5" t="s">
        <v>1054</v>
      </c>
    </row>
    <row r="238" spans="1:20" x14ac:dyDescent="0.2">
      <c r="A238" s="5">
        <v>672</v>
      </c>
      <c r="B238" s="11" t="s">
        <v>1055</v>
      </c>
      <c r="C238" s="11" t="s">
        <v>1056</v>
      </c>
      <c r="D238" s="11" t="s">
        <v>507</v>
      </c>
      <c r="E238" s="24">
        <v>43685</v>
      </c>
      <c r="F238" s="11" t="s">
        <v>259</v>
      </c>
      <c r="G238" s="11" t="s">
        <v>260</v>
      </c>
      <c r="H238" s="8" t="s">
        <v>1057</v>
      </c>
      <c r="I238" s="8" t="s">
        <v>1058</v>
      </c>
      <c r="J238" s="5">
        <f>29-1</f>
        <v>28</v>
      </c>
      <c r="K238" s="5" t="s">
        <v>292</v>
      </c>
      <c r="L238" s="5" t="s">
        <v>767</v>
      </c>
      <c r="M238" s="5">
        <v>14</v>
      </c>
      <c r="N238" s="5" t="s">
        <v>877</v>
      </c>
      <c r="O238" s="5" t="s">
        <v>789</v>
      </c>
      <c r="Q238" s="10" t="s">
        <v>553</v>
      </c>
      <c r="S238" s="5" t="s">
        <v>328</v>
      </c>
    </row>
    <row r="239" spans="1:20" x14ac:dyDescent="0.2">
      <c r="A239" s="5">
        <v>411</v>
      </c>
      <c r="B239" s="8">
        <v>1131720</v>
      </c>
      <c r="C239" s="8" t="s">
        <v>1059</v>
      </c>
      <c r="D239" s="8" t="s">
        <v>829</v>
      </c>
      <c r="E239" s="24">
        <v>43685</v>
      </c>
      <c r="F239" s="8" t="s">
        <v>259</v>
      </c>
      <c r="G239" s="8" t="s">
        <v>276</v>
      </c>
      <c r="H239" s="8" t="s">
        <v>1060</v>
      </c>
      <c r="I239" s="8" t="s">
        <v>1061</v>
      </c>
      <c r="J239" s="5">
        <f>17-17+47-30-17</f>
        <v>0</v>
      </c>
      <c r="K239" s="5" t="s">
        <v>292</v>
      </c>
      <c r="L239" s="5" t="s">
        <v>767</v>
      </c>
      <c r="M239" s="5">
        <v>15</v>
      </c>
      <c r="N239" s="5" t="s">
        <v>43</v>
      </c>
      <c r="O239" s="5" t="s">
        <v>789</v>
      </c>
      <c r="Q239" s="5" t="s">
        <v>1062</v>
      </c>
    </row>
    <row r="240" spans="1:20" x14ac:dyDescent="0.2">
      <c r="A240" s="5"/>
      <c r="B240" s="8">
        <v>1146530000</v>
      </c>
      <c r="C240" s="8" t="s">
        <v>1059</v>
      </c>
      <c r="D240" s="8" t="s">
        <v>829</v>
      </c>
      <c r="E240" s="24">
        <v>43685</v>
      </c>
      <c r="F240" s="8" t="s">
        <v>259</v>
      </c>
      <c r="G240" s="8" t="s">
        <v>276</v>
      </c>
      <c r="H240" s="8" t="s">
        <v>1060</v>
      </c>
      <c r="I240" s="8" t="s">
        <v>1063</v>
      </c>
      <c r="J240" s="5">
        <f>47-30+60-30-1-30+30-30</f>
        <v>16</v>
      </c>
      <c r="K240" s="5" t="s">
        <v>292</v>
      </c>
      <c r="L240" s="5" t="s">
        <v>767</v>
      </c>
      <c r="M240" s="5">
        <v>15</v>
      </c>
      <c r="N240" s="5" t="s">
        <v>43</v>
      </c>
      <c r="Q240" s="5" t="s">
        <v>1064</v>
      </c>
      <c r="S240" s="5" t="s">
        <v>328</v>
      </c>
    </row>
    <row r="241" spans="1:20" x14ac:dyDescent="0.2">
      <c r="A241" s="5">
        <v>409</v>
      </c>
      <c r="B241" s="8">
        <v>1517260000</v>
      </c>
      <c r="D241" s="8" t="s">
        <v>829</v>
      </c>
      <c r="E241" s="24">
        <v>43685</v>
      </c>
      <c r="F241" s="8" t="s">
        <v>259</v>
      </c>
      <c r="G241" s="8" t="s">
        <v>260</v>
      </c>
      <c r="H241" s="8" t="s">
        <v>1065</v>
      </c>
      <c r="I241" s="8" t="s">
        <v>1066</v>
      </c>
      <c r="J241" s="5">
        <v>17</v>
      </c>
      <c r="K241" s="5" t="s">
        <v>292</v>
      </c>
      <c r="L241" s="5" t="s">
        <v>767</v>
      </c>
      <c r="M241" s="5">
        <v>15</v>
      </c>
      <c r="N241" s="5" t="s">
        <v>43</v>
      </c>
      <c r="O241" s="5" t="s">
        <v>789</v>
      </c>
      <c r="Q241" s="5" t="s">
        <v>553</v>
      </c>
      <c r="S241" s="5" t="s">
        <v>328</v>
      </c>
    </row>
    <row r="242" spans="1:20" x14ac:dyDescent="0.2">
      <c r="A242" s="5">
        <v>415</v>
      </c>
      <c r="B242" s="8">
        <v>1520560000</v>
      </c>
      <c r="D242" s="8" t="s">
        <v>829</v>
      </c>
      <c r="E242" s="24">
        <v>43685</v>
      </c>
      <c r="F242" s="8" t="s">
        <v>259</v>
      </c>
      <c r="G242" s="8" t="s">
        <v>260</v>
      </c>
      <c r="H242" s="8" t="s">
        <v>1067</v>
      </c>
      <c r="I242" s="8" t="s">
        <v>1068</v>
      </c>
      <c r="J242" s="5">
        <f>2</f>
        <v>2</v>
      </c>
      <c r="K242" s="5" t="s">
        <v>292</v>
      </c>
      <c r="L242" s="5" t="s">
        <v>767</v>
      </c>
      <c r="M242" s="5">
        <v>15</v>
      </c>
      <c r="N242" s="5" t="s">
        <v>43</v>
      </c>
      <c r="O242" s="5" t="s">
        <v>789</v>
      </c>
      <c r="Q242" s="10" t="s">
        <v>553</v>
      </c>
      <c r="S242" s="10" t="s">
        <v>553</v>
      </c>
    </row>
    <row r="243" spans="1:20" x14ac:dyDescent="0.2">
      <c r="A243" s="5"/>
      <c r="B243" s="8">
        <v>1526460000</v>
      </c>
      <c r="D243" s="8" t="s">
        <v>829</v>
      </c>
      <c r="E243" s="24">
        <v>43685</v>
      </c>
      <c r="F243" s="8" t="s">
        <v>259</v>
      </c>
      <c r="G243" s="8" t="s">
        <v>260</v>
      </c>
      <c r="H243" s="8" t="s">
        <v>1069</v>
      </c>
      <c r="I243" s="8" t="s">
        <v>1070</v>
      </c>
      <c r="J243" s="5">
        <f>20-3</f>
        <v>17</v>
      </c>
      <c r="K243" s="5" t="s">
        <v>292</v>
      </c>
      <c r="L243" s="5" t="s">
        <v>767</v>
      </c>
      <c r="M243" s="5">
        <v>15</v>
      </c>
      <c r="N243" s="5" t="s">
        <v>43</v>
      </c>
      <c r="O243" s="5" t="s">
        <v>789</v>
      </c>
      <c r="Q243" s="10" t="s">
        <v>553</v>
      </c>
    </row>
    <row r="244" spans="1:20" x14ac:dyDescent="0.2">
      <c r="A244" s="5">
        <v>414</v>
      </c>
      <c r="B244" s="8">
        <v>1527460000</v>
      </c>
      <c r="D244" s="8" t="s">
        <v>829</v>
      </c>
      <c r="E244" s="24">
        <v>43685</v>
      </c>
      <c r="F244" s="8" t="s">
        <v>259</v>
      </c>
      <c r="G244" s="8" t="s">
        <v>276</v>
      </c>
      <c r="H244" s="8" t="s">
        <v>1071</v>
      </c>
      <c r="I244" s="8" t="s">
        <v>1072</v>
      </c>
      <c r="J244" s="5">
        <v>20</v>
      </c>
      <c r="K244" s="5" t="s">
        <v>292</v>
      </c>
      <c r="L244" s="5" t="s">
        <v>767</v>
      </c>
      <c r="M244" s="5">
        <v>15</v>
      </c>
      <c r="N244" s="5" t="s">
        <v>43</v>
      </c>
      <c r="O244" s="5" t="s">
        <v>789</v>
      </c>
      <c r="Q244" s="10" t="s">
        <v>553</v>
      </c>
      <c r="S244" s="5" t="s">
        <v>328</v>
      </c>
    </row>
    <row r="245" spans="1:20" x14ac:dyDescent="0.2">
      <c r="A245" s="5">
        <v>413</v>
      </c>
      <c r="B245" s="8">
        <v>1667750000</v>
      </c>
      <c r="C245" s="8" t="s">
        <v>1073</v>
      </c>
      <c r="D245" s="8" t="s">
        <v>829</v>
      </c>
      <c r="E245" s="24">
        <v>43685</v>
      </c>
      <c r="F245" s="8" t="s">
        <v>259</v>
      </c>
      <c r="G245" s="8" t="s">
        <v>276</v>
      </c>
      <c r="H245" s="8" t="s">
        <v>1074</v>
      </c>
      <c r="I245" s="8" t="s">
        <v>1075</v>
      </c>
      <c r="J245" s="5">
        <v>60</v>
      </c>
      <c r="K245" s="5" t="s">
        <v>292</v>
      </c>
      <c r="L245" s="5" t="s">
        <v>767</v>
      </c>
      <c r="M245" s="5">
        <v>15</v>
      </c>
      <c r="N245" s="5" t="s">
        <v>43</v>
      </c>
      <c r="O245" s="5" t="s">
        <v>789</v>
      </c>
      <c r="Q245" s="10" t="s">
        <v>553</v>
      </c>
      <c r="S245" s="5" t="s">
        <v>328</v>
      </c>
    </row>
    <row r="246" spans="1:20" x14ac:dyDescent="0.2">
      <c r="A246" s="5">
        <v>417</v>
      </c>
      <c r="B246" s="8">
        <v>39211000000</v>
      </c>
      <c r="D246" s="8" t="s">
        <v>1076</v>
      </c>
      <c r="E246" s="24">
        <v>43685</v>
      </c>
      <c r="F246" s="8" t="s">
        <v>259</v>
      </c>
      <c r="G246" s="8" t="s">
        <v>260</v>
      </c>
      <c r="H246" s="8" t="s">
        <v>1077</v>
      </c>
      <c r="I246" s="8" t="s">
        <v>1078</v>
      </c>
      <c r="J246" s="5">
        <f>120-120+240-120-120+120-120</f>
        <v>0</v>
      </c>
      <c r="K246" s="5" t="s">
        <v>292</v>
      </c>
      <c r="L246" s="5" t="s">
        <v>767</v>
      </c>
      <c r="M246" s="5">
        <v>15</v>
      </c>
      <c r="N246" s="5" t="s">
        <v>43</v>
      </c>
      <c r="O246" s="5" t="s">
        <v>789</v>
      </c>
      <c r="Q246" s="10" t="s">
        <v>1064</v>
      </c>
    </row>
    <row r="247" spans="1:20" x14ac:dyDescent="0.2">
      <c r="A247" s="5">
        <v>418</v>
      </c>
      <c r="B247" s="8" t="s">
        <v>1059</v>
      </c>
      <c r="C247" s="8">
        <v>1518060000</v>
      </c>
      <c r="D247" s="8" t="s">
        <v>829</v>
      </c>
      <c r="E247" s="24">
        <v>43685</v>
      </c>
      <c r="F247" s="8" t="s">
        <v>259</v>
      </c>
      <c r="G247" s="8" t="s">
        <v>260</v>
      </c>
      <c r="H247" s="8" t="s">
        <v>1079</v>
      </c>
      <c r="I247" s="8" t="s">
        <v>1080</v>
      </c>
      <c r="J247" s="5">
        <f>47-1+30-30-2-30+60-30-30+30-30+30-30</f>
        <v>14</v>
      </c>
      <c r="K247" s="5" t="s">
        <v>292</v>
      </c>
      <c r="L247" s="5" t="s">
        <v>767</v>
      </c>
      <c r="M247" s="5">
        <v>15</v>
      </c>
      <c r="N247" s="5" t="s">
        <v>43</v>
      </c>
      <c r="O247" s="5" t="s">
        <v>789</v>
      </c>
      <c r="Q247" s="5" t="s">
        <v>1081</v>
      </c>
    </row>
    <row r="248" spans="1:20" x14ac:dyDescent="0.2">
      <c r="A248" s="5">
        <v>416</v>
      </c>
      <c r="B248" s="8" t="s">
        <v>1082</v>
      </c>
      <c r="C248" s="8" t="s">
        <v>1083</v>
      </c>
      <c r="D248" s="8" t="s">
        <v>1084</v>
      </c>
      <c r="E248" s="24">
        <v>43685</v>
      </c>
      <c r="F248" s="8" t="s">
        <v>259</v>
      </c>
      <c r="G248" s="8" t="s">
        <v>276</v>
      </c>
      <c r="H248" s="8" t="s">
        <v>1085</v>
      </c>
      <c r="I248" s="8" t="s">
        <v>1085</v>
      </c>
      <c r="J248" s="5">
        <f>0+120-120+120-120</f>
        <v>0</v>
      </c>
      <c r="K248" s="5" t="s">
        <v>292</v>
      </c>
      <c r="L248" s="5" t="s">
        <v>767</v>
      </c>
      <c r="M248" s="5">
        <v>15</v>
      </c>
      <c r="N248" s="5" t="s">
        <v>43</v>
      </c>
      <c r="O248" s="5" t="s">
        <v>789</v>
      </c>
      <c r="Q248" s="10" t="s">
        <v>1064</v>
      </c>
    </row>
    <row r="249" spans="1:20" x14ac:dyDescent="0.2">
      <c r="A249" s="5"/>
      <c r="B249" s="8" t="s">
        <v>1086</v>
      </c>
      <c r="H249" s="8" t="s">
        <v>1087</v>
      </c>
      <c r="I249" s="8" t="s">
        <v>1088</v>
      </c>
      <c r="J249" s="5">
        <f>334-30-30-30-30+60</f>
        <v>274</v>
      </c>
      <c r="K249" s="5" t="s">
        <v>292</v>
      </c>
      <c r="L249" s="5" t="s">
        <v>767</v>
      </c>
      <c r="M249" s="5">
        <v>15</v>
      </c>
      <c r="S249" s="5" t="s">
        <v>328</v>
      </c>
    </row>
    <row r="250" spans="1:20" x14ac:dyDescent="0.2">
      <c r="A250" s="5">
        <v>407</v>
      </c>
      <c r="B250" s="8">
        <v>110960</v>
      </c>
      <c r="C250" s="8" t="s">
        <v>1089</v>
      </c>
      <c r="D250" s="8" t="s">
        <v>945</v>
      </c>
      <c r="E250" s="24">
        <v>43685</v>
      </c>
      <c r="F250" s="8" t="s">
        <v>259</v>
      </c>
      <c r="G250" s="8" t="s">
        <v>276</v>
      </c>
      <c r="H250" s="8" t="s">
        <v>1090</v>
      </c>
      <c r="I250" s="8" t="s">
        <v>1091</v>
      </c>
      <c r="J250" s="5">
        <v>35</v>
      </c>
      <c r="K250" s="5" t="s">
        <v>292</v>
      </c>
      <c r="L250" s="5" t="s">
        <v>767</v>
      </c>
      <c r="M250" s="5">
        <v>16</v>
      </c>
      <c r="N250" s="5" t="s">
        <v>43</v>
      </c>
      <c r="O250" s="5" t="s">
        <v>789</v>
      </c>
      <c r="Q250" s="10" t="s">
        <v>553</v>
      </c>
      <c r="S250" s="5" t="s">
        <v>328</v>
      </c>
    </row>
    <row r="251" spans="1:20" x14ac:dyDescent="0.2">
      <c r="A251" s="5">
        <v>408</v>
      </c>
      <c r="B251" s="8" t="s">
        <v>1092</v>
      </c>
      <c r="C251" s="8" t="s">
        <v>1093</v>
      </c>
      <c r="D251" s="8" t="s">
        <v>945</v>
      </c>
      <c r="E251" s="24">
        <v>43685</v>
      </c>
      <c r="F251" s="8" t="s">
        <v>259</v>
      </c>
      <c r="G251" s="8" t="s">
        <v>276</v>
      </c>
      <c r="H251" s="8" t="s">
        <v>1094</v>
      </c>
      <c r="I251" s="8" t="s">
        <v>1095</v>
      </c>
      <c r="J251" s="5">
        <v>1</v>
      </c>
      <c r="K251" s="5" t="s">
        <v>292</v>
      </c>
      <c r="L251" s="5" t="s">
        <v>767</v>
      </c>
      <c r="M251" s="5">
        <v>16</v>
      </c>
      <c r="N251" s="5" t="s">
        <v>43</v>
      </c>
      <c r="O251" s="5" t="s">
        <v>789</v>
      </c>
      <c r="Q251" s="10" t="s">
        <v>553</v>
      </c>
      <c r="S251" s="5" t="s">
        <v>328</v>
      </c>
    </row>
    <row r="252" spans="1:20" x14ac:dyDescent="0.2">
      <c r="A252" s="5">
        <v>406</v>
      </c>
      <c r="B252" s="8" t="s">
        <v>1096</v>
      </c>
      <c r="C252" s="8" t="s">
        <v>1097</v>
      </c>
      <c r="D252" s="8" t="s">
        <v>945</v>
      </c>
      <c r="E252" s="24">
        <v>43685</v>
      </c>
      <c r="F252" s="8" t="s">
        <v>259</v>
      </c>
      <c r="G252" s="8" t="s">
        <v>276</v>
      </c>
      <c r="H252" s="8" t="s">
        <v>1098</v>
      </c>
      <c r="I252" s="8" t="s">
        <v>1099</v>
      </c>
      <c r="J252" s="5">
        <v>30</v>
      </c>
      <c r="K252" s="5" t="s">
        <v>292</v>
      </c>
      <c r="L252" s="5" t="s">
        <v>767</v>
      </c>
      <c r="M252" s="5">
        <v>16</v>
      </c>
      <c r="N252" s="5" t="s">
        <v>43</v>
      </c>
      <c r="O252" s="5" t="s">
        <v>789</v>
      </c>
      <c r="Q252" s="10" t="s">
        <v>553</v>
      </c>
      <c r="S252" s="5" t="s">
        <v>328</v>
      </c>
    </row>
    <row r="253" spans="1:20" x14ac:dyDescent="0.2">
      <c r="A253" s="5">
        <v>419</v>
      </c>
      <c r="B253" s="8" t="s">
        <v>1100</v>
      </c>
      <c r="D253" s="8" t="s">
        <v>1101</v>
      </c>
      <c r="E253" s="24">
        <v>43685</v>
      </c>
      <c r="F253" s="8" t="s">
        <v>259</v>
      </c>
      <c r="G253" s="8" t="s">
        <v>260</v>
      </c>
      <c r="H253" s="8" t="s">
        <v>1102</v>
      </c>
      <c r="I253" s="8" t="s">
        <v>1103</v>
      </c>
      <c r="J253" s="5">
        <v>5</v>
      </c>
      <c r="K253" s="5" t="s">
        <v>292</v>
      </c>
      <c r="L253" s="5" t="s">
        <v>767</v>
      </c>
      <c r="M253" s="5">
        <v>17</v>
      </c>
      <c r="N253" s="5" t="s">
        <v>1104</v>
      </c>
      <c r="O253" s="5" t="s">
        <v>789</v>
      </c>
      <c r="Q253" s="10" t="s">
        <v>553</v>
      </c>
      <c r="S253" s="5" t="s">
        <v>328</v>
      </c>
    </row>
    <row r="254" spans="1:20" x14ac:dyDescent="0.2">
      <c r="A254" s="5">
        <v>420</v>
      </c>
      <c r="B254" s="8" t="s">
        <v>1105</v>
      </c>
      <c r="D254" s="8" t="s">
        <v>1106</v>
      </c>
      <c r="E254" s="24">
        <v>43685</v>
      </c>
      <c r="F254" s="8" t="s">
        <v>259</v>
      </c>
      <c r="G254" s="8" t="s">
        <v>260</v>
      </c>
      <c r="H254" s="8" t="s">
        <v>1107</v>
      </c>
      <c r="I254" s="8" t="s">
        <v>1108</v>
      </c>
      <c r="J254" s="5">
        <v>9</v>
      </c>
      <c r="K254" s="5" t="s">
        <v>292</v>
      </c>
      <c r="L254" s="5" t="s">
        <v>767</v>
      </c>
      <c r="M254" s="5">
        <v>17</v>
      </c>
      <c r="N254" s="5" t="s">
        <v>1109</v>
      </c>
      <c r="O254" s="5" t="s">
        <v>789</v>
      </c>
      <c r="Q254" s="10" t="s">
        <v>553</v>
      </c>
      <c r="S254" s="5" t="s">
        <v>328</v>
      </c>
    </row>
    <row r="255" spans="1:20" x14ac:dyDescent="0.2">
      <c r="A255" s="5">
        <v>421</v>
      </c>
      <c r="B255" s="8" t="s">
        <v>1110</v>
      </c>
      <c r="D255" s="8" t="s">
        <v>1106</v>
      </c>
      <c r="E255" s="24">
        <v>43685</v>
      </c>
      <c r="F255" s="8" t="s">
        <v>259</v>
      </c>
      <c r="G255" s="8" t="s">
        <v>260</v>
      </c>
      <c r="H255" s="8" t="s">
        <v>1111</v>
      </c>
      <c r="I255" s="8" t="s">
        <v>1112</v>
      </c>
      <c r="J255" s="5">
        <v>2</v>
      </c>
      <c r="K255" s="5" t="s">
        <v>292</v>
      </c>
      <c r="L255" s="5" t="s">
        <v>767</v>
      </c>
      <c r="M255" s="5">
        <v>17</v>
      </c>
      <c r="N255" s="5" t="s">
        <v>1109</v>
      </c>
      <c r="O255" s="5" t="s">
        <v>789</v>
      </c>
      <c r="Q255" s="10" t="s">
        <v>553</v>
      </c>
      <c r="R255" s="6"/>
      <c r="S255" s="6"/>
    </row>
    <row r="256" spans="1:20" x14ac:dyDescent="0.2">
      <c r="A256" s="5">
        <v>1370</v>
      </c>
      <c r="B256" s="8" t="s">
        <v>1113</v>
      </c>
      <c r="H256" s="8" t="s">
        <v>1114</v>
      </c>
      <c r="I256" s="8" t="s">
        <v>1114</v>
      </c>
      <c r="J256" s="5">
        <v>1</v>
      </c>
      <c r="K256" s="5" t="s">
        <v>292</v>
      </c>
      <c r="L256" s="5" t="s">
        <v>767</v>
      </c>
      <c r="M256" s="5">
        <v>18</v>
      </c>
      <c r="N256" s="5" t="s">
        <v>1115</v>
      </c>
      <c r="O256" s="5" t="s">
        <v>574</v>
      </c>
      <c r="Q256" s="5" t="s">
        <v>1116</v>
      </c>
      <c r="R256" s="6"/>
      <c r="S256" s="6" t="s">
        <v>328</v>
      </c>
      <c r="T256" s="5" t="s">
        <v>777</v>
      </c>
    </row>
    <row r="257" spans="1:20" x14ac:dyDescent="0.2">
      <c r="A257" s="5">
        <v>1372</v>
      </c>
      <c r="B257" s="8" t="s">
        <v>1117</v>
      </c>
      <c r="H257" s="8" t="s">
        <v>1118</v>
      </c>
      <c r="I257" s="8" t="s">
        <v>1118</v>
      </c>
      <c r="J257" s="5">
        <v>1</v>
      </c>
      <c r="K257" s="5" t="s">
        <v>292</v>
      </c>
      <c r="L257" s="5" t="s">
        <v>767</v>
      </c>
      <c r="M257" s="5">
        <v>18</v>
      </c>
      <c r="N257" s="5" t="s">
        <v>1115</v>
      </c>
      <c r="O257" s="5" t="s">
        <v>574</v>
      </c>
      <c r="Q257" s="10" t="s">
        <v>553</v>
      </c>
      <c r="R257" s="6"/>
      <c r="S257" s="6" t="s">
        <v>328</v>
      </c>
      <c r="T257" s="5" t="s">
        <v>777</v>
      </c>
    </row>
    <row r="258" spans="1:20" x14ac:dyDescent="0.2">
      <c r="A258" s="5">
        <v>1374</v>
      </c>
      <c r="B258" s="8" t="s">
        <v>1119</v>
      </c>
      <c r="H258" s="8" t="s">
        <v>1120</v>
      </c>
      <c r="I258" s="8" t="s">
        <v>1120</v>
      </c>
      <c r="J258" s="5">
        <v>2</v>
      </c>
      <c r="K258" s="5" t="s">
        <v>292</v>
      </c>
      <c r="L258" s="5" t="s">
        <v>767</v>
      </c>
      <c r="M258" s="5">
        <v>18</v>
      </c>
      <c r="N258" s="5" t="s">
        <v>1115</v>
      </c>
      <c r="O258" s="5" t="s">
        <v>574</v>
      </c>
      <c r="Q258" s="10" t="s">
        <v>553</v>
      </c>
      <c r="R258" s="6"/>
      <c r="S258" s="6" t="s">
        <v>328</v>
      </c>
      <c r="T258" s="5" t="s">
        <v>777</v>
      </c>
    </row>
    <row r="259" spans="1:20" x14ac:dyDescent="0.2">
      <c r="A259" s="5">
        <v>1371</v>
      </c>
      <c r="B259" s="8" t="s">
        <v>1121</v>
      </c>
      <c r="H259" s="8" t="s">
        <v>1122</v>
      </c>
      <c r="I259" s="8" t="s">
        <v>1122</v>
      </c>
      <c r="J259" s="5">
        <v>0</v>
      </c>
      <c r="K259" s="5" t="s">
        <v>292</v>
      </c>
      <c r="L259" s="5" t="s">
        <v>767</v>
      </c>
      <c r="M259" s="5">
        <v>18</v>
      </c>
      <c r="N259" s="5" t="s">
        <v>1115</v>
      </c>
      <c r="O259" s="5" t="s">
        <v>574</v>
      </c>
      <c r="Q259" s="10" t="s">
        <v>553</v>
      </c>
      <c r="R259" s="6"/>
      <c r="S259" s="6" t="s">
        <v>328</v>
      </c>
      <c r="T259" s="5" t="s">
        <v>777</v>
      </c>
    </row>
    <row r="260" spans="1:20" x14ac:dyDescent="0.2">
      <c r="A260" s="5">
        <v>1373</v>
      </c>
      <c r="B260" s="8" t="s">
        <v>1123</v>
      </c>
      <c r="H260" s="8" t="s">
        <v>1124</v>
      </c>
      <c r="I260" s="8" t="s">
        <v>1124</v>
      </c>
      <c r="J260" s="5">
        <v>1</v>
      </c>
      <c r="K260" s="5" t="s">
        <v>292</v>
      </c>
      <c r="L260" s="5" t="s">
        <v>767</v>
      </c>
      <c r="M260" s="5">
        <v>18</v>
      </c>
      <c r="N260" s="5" t="s">
        <v>1115</v>
      </c>
      <c r="O260" s="5" t="s">
        <v>574</v>
      </c>
      <c r="Q260" s="10" t="s">
        <v>553</v>
      </c>
      <c r="R260" s="6"/>
      <c r="S260" s="6" t="s">
        <v>328</v>
      </c>
      <c r="T260" s="5" t="s">
        <v>777</v>
      </c>
    </row>
    <row r="261" spans="1:20" x14ac:dyDescent="0.2">
      <c r="A261" s="5">
        <v>1376</v>
      </c>
      <c r="B261" s="8" t="s">
        <v>1125</v>
      </c>
      <c r="H261" s="8" t="s">
        <v>1126</v>
      </c>
      <c r="I261" s="8" t="s">
        <v>1126</v>
      </c>
      <c r="J261" s="5">
        <f>4-1-2-1</f>
        <v>0</v>
      </c>
      <c r="K261" s="5" t="s">
        <v>292</v>
      </c>
      <c r="L261" s="5" t="s">
        <v>767</v>
      </c>
      <c r="M261" s="5">
        <v>19</v>
      </c>
      <c r="N261" s="5" t="s">
        <v>1127</v>
      </c>
      <c r="O261" s="5" t="s">
        <v>574</v>
      </c>
      <c r="Q261" s="10" t="s">
        <v>553</v>
      </c>
      <c r="R261" s="6"/>
      <c r="S261" s="6" t="s">
        <v>328</v>
      </c>
      <c r="T261" s="5" t="s">
        <v>777</v>
      </c>
    </row>
    <row r="262" spans="1:20" x14ac:dyDescent="0.2">
      <c r="A262" s="5"/>
      <c r="B262" s="8" t="s">
        <v>1128</v>
      </c>
      <c r="H262" s="8" t="s">
        <v>1129</v>
      </c>
      <c r="I262" s="8" t="s">
        <v>1129</v>
      </c>
      <c r="J262" s="5">
        <f>12</f>
        <v>12</v>
      </c>
      <c r="K262" s="5" t="s">
        <v>21</v>
      </c>
      <c r="L262" s="5" t="s">
        <v>767</v>
      </c>
      <c r="M262" s="5">
        <v>19</v>
      </c>
      <c r="Q262" s="10"/>
    </row>
    <row r="263" spans="1:20" x14ac:dyDescent="0.2">
      <c r="A263" s="5">
        <v>1387</v>
      </c>
      <c r="B263" s="8" t="s">
        <v>1130</v>
      </c>
      <c r="H263" s="8" t="s">
        <v>1131</v>
      </c>
      <c r="I263" s="8" t="s">
        <v>1131</v>
      </c>
      <c r="J263" s="5">
        <f>14-1-4-4-2-2</f>
        <v>1</v>
      </c>
      <c r="K263" s="5" t="s">
        <v>292</v>
      </c>
      <c r="L263" s="5" t="s">
        <v>767</v>
      </c>
      <c r="M263" s="5">
        <v>19</v>
      </c>
      <c r="N263" s="5" t="s">
        <v>1127</v>
      </c>
      <c r="O263" s="5" t="s">
        <v>574</v>
      </c>
      <c r="Q263" s="5" t="s">
        <v>1132</v>
      </c>
      <c r="R263" s="6"/>
      <c r="S263" s="6"/>
      <c r="T263" s="5" t="s">
        <v>777</v>
      </c>
    </row>
    <row r="264" spans="1:20" x14ac:dyDescent="0.2">
      <c r="A264" s="5"/>
      <c r="B264" s="8" t="s">
        <v>1133</v>
      </c>
      <c r="H264" s="8" t="s">
        <v>1134</v>
      </c>
      <c r="I264" s="8" t="s">
        <v>1134</v>
      </c>
      <c r="J264" s="5">
        <f>16-16</f>
        <v>0</v>
      </c>
      <c r="K264" s="5" t="s">
        <v>21</v>
      </c>
      <c r="L264" s="5" t="s">
        <v>767</v>
      </c>
      <c r="M264" s="5">
        <v>19</v>
      </c>
      <c r="Q264" s="10"/>
    </row>
    <row r="265" spans="1:20" x14ac:dyDescent="0.2">
      <c r="A265" s="5">
        <v>1375</v>
      </c>
      <c r="B265" s="8" t="s">
        <v>1135</v>
      </c>
      <c r="H265" s="8" t="s">
        <v>1126</v>
      </c>
      <c r="I265" s="8" t="s">
        <v>1135</v>
      </c>
      <c r="J265" s="5">
        <f>2-2</f>
        <v>0</v>
      </c>
      <c r="K265" s="5" t="s">
        <v>292</v>
      </c>
      <c r="L265" s="5" t="s">
        <v>767</v>
      </c>
      <c r="M265" s="5">
        <v>19</v>
      </c>
      <c r="N265" s="5" t="s">
        <v>1127</v>
      </c>
      <c r="O265" s="5" t="s">
        <v>574</v>
      </c>
      <c r="Q265" s="10" t="s">
        <v>553</v>
      </c>
      <c r="R265" s="6"/>
      <c r="S265" s="6" t="s">
        <v>328</v>
      </c>
      <c r="T265" s="5" t="s">
        <v>777</v>
      </c>
    </row>
    <row r="266" spans="1:20" x14ac:dyDescent="0.2">
      <c r="A266" s="5">
        <v>2047</v>
      </c>
      <c r="B266" s="8" t="s">
        <v>1136</v>
      </c>
      <c r="H266" s="8" t="s">
        <v>1137</v>
      </c>
      <c r="I266" s="8" t="s">
        <v>1137</v>
      </c>
      <c r="J266" s="5">
        <v>0</v>
      </c>
      <c r="K266" s="5" t="s">
        <v>292</v>
      </c>
      <c r="L266" s="5" t="s">
        <v>767</v>
      </c>
      <c r="M266" s="5">
        <v>19</v>
      </c>
      <c r="N266" s="5" t="s">
        <v>1127</v>
      </c>
      <c r="O266" s="5" t="s">
        <v>574</v>
      </c>
      <c r="Q266" s="10" t="s">
        <v>553</v>
      </c>
      <c r="R266" s="6"/>
      <c r="S266" s="6"/>
      <c r="T266" s="5" t="s">
        <v>777</v>
      </c>
    </row>
    <row r="267" spans="1:20" x14ac:dyDescent="0.2">
      <c r="A267" s="5">
        <v>2047</v>
      </c>
      <c r="B267" s="8" t="s">
        <v>1138</v>
      </c>
      <c r="H267" s="8" t="s">
        <v>1137</v>
      </c>
      <c r="I267" s="8" t="s">
        <v>1137</v>
      </c>
      <c r="J267" s="5">
        <v>0</v>
      </c>
      <c r="K267" s="5" t="s">
        <v>292</v>
      </c>
      <c r="L267" s="5" t="s">
        <v>767</v>
      </c>
      <c r="M267" s="5">
        <v>19</v>
      </c>
      <c r="N267" s="5" t="s">
        <v>1127</v>
      </c>
      <c r="O267" s="5" t="s">
        <v>574</v>
      </c>
      <c r="Q267" s="10" t="s">
        <v>553</v>
      </c>
      <c r="R267" s="6"/>
      <c r="S267" s="6" t="s">
        <v>1139</v>
      </c>
      <c r="T267" s="5" t="s">
        <v>777</v>
      </c>
    </row>
    <row r="268" spans="1:20" x14ac:dyDescent="0.2">
      <c r="A268" s="5">
        <v>1378</v>
      </c>
      <c r="B268" s="8" t="s">
        <v>1140</v>
      </c>
      <c r="H268" s="8" t="s">
        <v>1137</v>
      </c>
      <c r="I268" s="8" t="s">
        <v>1137</v>
      </c>
      <c r="J268" s="5">
        <v>0</v>
      </c>
      <c r="K268" s="5" t="s">
        <v>292</v>
      </c>
      <c r="L268" s="5" t="s">
        <v>767</v>
      </c>
      <c r="M268" s="5">
        <v>19</v>
      </c>
      <c r="N268" s="5" t="s">
        <v>1127</v>
      </c>
      <c r="O268" s="5" t="s">
        <v>574</v>
      </c>
      <c r="Q268" s="10" t="s">
        <v>553</v>
      </c>
      <c r="R268" s="6"/>
      <c r="S268" s="6" t="s">
        <v>1139</v>
      </c>
      <c r="T268" s="5" t="s">
        <v>777</v>
      </c>
    </row>
    <row r="269" spans="1:20" x14ac:dyDescent="0.2">
      <c r="A269" s="5">
        <v>1386</v>
      </c>
      <c r="B269" s="8" t="s">
        <v>1141</v>
      </c>
      <c r="H269" s="8" t="s">
        <v>1142</v>
      </c>
      <c r="I269" s="8" t="s">
        <v>1142</v>
      </c>
      <c r="J269" s="5">
        <f>5-2-2+1</f>
        <v>2</v>
      </c>
      <c r="K269" s="5" t="s">
        <v>292</v>
      </c>
      <c r="L269" s="5" t="s">
        <v>767</v>
      </c>
      <c r="M269" s="5">
        <v>19</v>
      </c>
      <c r="N269" s="5" t="s">
        <v>1127</v>
      </c>
      <c r="O269" s="5" t="s">
        <v>574</v>
      </c>
      <c r="Q269" s="5" t="s">
        <v>1143</v>
      </c>
      <c r="R269" s="6"/>
      <c r="S269" s="6"/>
      <c r="T269" s="5" t="s">
        <v>777</v>
      </c>
    </row>
    <row r="270" spans="1:20" x14ac:dyDescent="0.2">
      <c r="A270" s="5">
        <v>1388</v>
      </c>
      <c r="B270" s="8" t="s">
        <v>1144</v>
      </c>
      <c r="H270" s="8" t="s">
        <v>1145</v>
      </c>
      <c r="I270" s="8" t="s">
        <v>1145</v>
      </c>
      <c r="J270" s="5">
        <f>10-6-2-0+4</f>
        <v>6</v>
      </c>
      <c r="K270" s="5" t="s">
        <v>292</v>
      </c>
      <c r="L270" s="5" t="s">
        <v>767</v>
      </c>
      <c r="M270" s="5">
        <v>19</v>
      </c>
      <c r="N270" s="5" t="s">
        <v>1127</v>
      </c>
      <c r="O270" s="5" t="s">
        <v>574</v>
      </c>
      <c r="Q270" s="5" t="s">
        <v>1146</v>
      </c>
      <c r="R270" s="6"/>
      <c r="S270" s="6"/>
      <c r="T270" s="5" t="s">
        <v>777</v>
      </c>
    </row>
    <row r="271" spans="1:20" x14ac:dyDescent="0.2">
      <c r="A271" s="5"/>
      <c r="B271" s="8" t="s">
        <v>1147</v>
      </c>
      <c r="H271" s="8" t="s">
        <v>1148</v>
      </c>
      <c r="I271" s="8" t="s">
        <v>1149</v>
      </c>
      <c r="J271" s="5">
        <f>6-6</f>
        <v>0</v>
      </c>
      <c r="K271" s="5" t="s">
        <v>292</v>
      </c>
      <c r="L271" s="5" t="s">
        <v>767</v>
      </c>
      <c r="M271" s="5">
        <v>19</v>
      </c>
      <c r="N271" s="5" t="s">
        <v>1127</v>
      </c>
    </row>
    <row r="272" spans="1:20" x14ac:dyDescent="0.2">
      <c r="A272" s="5">
        <v>1381</v>
      </c>
      <c r="B272" s="8" t="s">
        <v>1150</v>
      </c>
      <c r="H272" s="8" t="s">
        <v>1151</v>
      </c>
      <c r="I272" s="8" t="s">
        <v>1151</v>
      </c>
      <c r="J272" s="5">
        <v>0</v>
      </c>
      <c r="K272" s="5" t="s">
        <v>292</v>
      </c>
      <c r="L272" s="5" t="s">
        <v>767</v>
      </c>
      <c r="M272" s="5">
        <v>19</v>
      </c>
      <c r="N272" s="5" t="s">
        <v>1127</v>
      </c>
      <c r="O272" s="5" t="s">
        <v>574</v>
      </c>
      <c r="Q272" s="5" t="s">
        <v>1152</v>
      </c>
      <c r="R272" s="6"/>
      <c r="S272" s="6" t="s">
        <v>328</v>
      </c>
      <c r="T272" s="5" t="s">
        <v>777</v>
      </c>
    </row>
    <row r="273" spans="1:20" x14ac:dyDescent="0.2">
      <c r="A273" s="5">
        <v>1383</v>
      </c>
      <c r="B273" s="8" t="s">
        <v>1153</v>
      </c>
      <c r="H273" s="8" t="s">
        <v>1126</v>
      </c>
      <c r="I273" s="8" t="s">
        <v>1126</v>
      </c>
      <c r="J273" s="5">
        <f>7-7</f>
        <v>0</v>
      </c>
      <c r="K273" s="5" t="s">
        <v>292</v>
      </c>
      <c r="L273" s="5" t="s">
        <v>767</v>
      </c>
      <c r="M273" s="5">
        <v>19</v>
      </c>
      <c r="N273" s="5" t="s">
        <v>1127</v>
      </c>
      <c r="O273" s="5" t="s">
        <v>574</v>
      </c>
      <c r="Q273" s="10" t="s">
        <v>553</v>
      </c>
      <c r="R273" s="6"/>
      <c r="S273" s="6" t="s">
        <v>328</v>
      </c>
      <c r="T273" s="5" t="s">
        <v>777</v>
      </c>
    </row>
    <row r="274" spans="1:20" x14ac:dyDescent="0.2">
      <c r="A274" s="5">
        <v>1382</v>
      </c>
      <c r="B274" s="8" t="s">
        <v>1154</v>
      </c>
      <c r="H274" s="8" t="s">
        <v>1155</v>
      </c>
      <c r="I274" s="8" t="s">
        <v>1155</v>
      </c>
      <c r="J274" s="5">
        <f>2-2</f>
        <v>0</v>
      </c>
      <c r="K274" s="5" t="s">
        <v>292</v>
      </c>
      <c r="L274" s="5" t="s">
        <v>767</v>
      </c>
      <c r="M274" s="5">
        <v>19</v>
      </c>
      <c r="N274" s="5" t="s">
        <v>1127</v>
      </c>
      <c r="O274" s="5" t="s">
        <v>574</v>
      </c>
      <c r="Q274" s="10" t="s">
        <v>553</v>
      </c>
      <c r="R274" s="6"/>
      <c r="S274" s="6" t="s">
        <v>328</v>
      </c>
      <c r="T274" s="5" t="s">
        <v>777</v>
      </c>
    </row>
    <row r="275" spans="1:20" x14ac:dyDescent="0.2">
      <c r="A275" s="5">
        <v>1382</v>
      </c>
      <c r="B275" s="8" t="s">
        <v>1156</v>
      </c>
      <c r="H275" s="8" t="s">
        <v>1155</v>
      </c>
      <c r="I275" s="8" t="s">
        <v>1155</v>
      </c>
      <c r="J275" s="5">
        <f>2-2</f>
        <v>0</v>
      </c>
      <c r="K275" s="5" t="s">
        <v>292</v>
      </c>
      <c r="L275" s="5" t="s">
        <v>767</v>
      </c>
      <c r="M275" s="5">
        <v>19</v>
      </c>
      <c r="N275" s="5" t="s">
        <v>1127</v>
      </c>
      <c r="O275" s="5" t="s">
        <v>574</v>
      </c>
      <c r="Q275" s="10" t="s">
        <v>553</v>
      </c>
      <c r="R275" s="6"/>
      <c r="S275" s="6" t="s">
        <v>328</v>
      </c>
      <c r="T275" s="5" t="s">
        <v>777</v>
      </c>
    </row>
    <row r="276" spans="1:20" x14ac:dyDescent="0.2">
      <c r="A276" s="5">
        <v>1380</v>
      </c>
      <c r="B276" s="8" t="s">
        <v>1157</v>
      </c>
      <c r="H276" s="8" t="s">
        <v>1158</v>
      </c>
      <c r="I276" s="8" t="s">
        <v>1158</v>
      </c>
      <c r="J276" s="5">
        <f>2-2</f>
        <v>0</v>
      </c>
      <c r="K276" s="5" t="s">
        <v>292</v>
      </c>
      <c r="L276" s="5" t="s">
        <v>767</v>
      </c>
      <c r="M276" s="5">
        <v>19</v>
      </c>
      <c r="N276" s="5" t="s">
        <v>1127</v>
      </c>
      <c r="O276" s="5" t="s">
        <v>574</v>
      </c>
      <c r="Q276" s="10" t="s">
        <v>553</v>
      </c>
      <c r="R276" s="6"/>
      <c r="S276" s="6"/>
      <c r="T276" s="5" t="s">
        <v>777</v>
      </c>
    </row>
    <row r="277" spans="1:20" x14ac:dyDescent="0.2">
      <c r="A277" s="5">
        <v>1384</v>
      </c>
      <c r="B277" s="8" t="s">
        <v>1159</v>
      </c>
      <c r="H277" s="8" t="s">
        <v>1160</v>
      </c>
      <c r="I277" s="8" t="s">
        <v>1160</v>
      </c>
      <c r="J277" s="5">
        <f>4-1-2-1</f>
        <v>0</v>
      </c>
      <c r="K277" s="5" t="s">
        <v>292</v>
      </c>
      <c r="L277" s="5" t="s">
        <v>767</v>
      </c>
      <c r="M277" s="5">
        <v>19</v>
      </c>
      <c r="N277" s="5" t="s">
        <v>1127</v>
      </c>
      <c r="O277" s="5" t="s">
        <v>574</v>
      </c>
      <c r="Q277" s="10" t="s">
        <v>553</v>
      </c>
      <c r="R277" s="6"/>
      <c r="S277" s="6" t="s">
        <v>328</v>
      </c>
      <c r="T277" s="5" t="s">
        <v>777</v>
      </c>
    </row>
    <row r="278" spans="1:20" x14ac:dyDescent="0.2">
      <c r="A278" s="5">
        <v>1384</v>
      </c>
      <c r="B278" s="8" t="s">
        <v>1161</v>
      </c>
      <c r="H278" s="8" t="s">
        <v>1160</v>
      </c>
      <c r="I278" s="8" t="s">
        <v>1162</v>
      </c>
      <c r="J278" s="5">
        <f>3</f>
        <v>3</v>
      </c>
      <c r="K278" s="5" t="s">
        <v>292</v>
      </c>
      <c r="L278" s="5" t="s">
        <v>767</v>
      </c>
      <c r="M278" s="5">
        <v>19</v>
      </c>
      <c r="N278" s="5" t="s">
        <v>1127</v>
      </c>
      <c r="O278" s="5" t="s">
        <v>574</v>
      </c>
      <c r="Q278" s="10" t="s">
        <v>553</v>
      </c>
      <c r="R278" s="6"/>
      <c r="S278" s="6" t="s">
        <v>328</v>
      </c>
      <c r="T278" s="5" t="s">
        <v>777</v>
      </c>
    </row>
    <row r="279" spans="1:20" x14ac:dyDescent="0.2">
      <c r="A279" s="5"/>
      <c r="B279" s="8" t="s">
        <v>1163</v>
      </c>
      <c r="I279" s="8" t="s">
        <v>1137</v>
      </c>
      <c r="J279" s="5">
        <f>2</f>
        <v>2</v>
      </c>
      <c r="L279" s="5" t="s">
        <v>767</v>
      </c>
      <c r="M279" s="5">
        <v>19</v>
      </c>
      <c r="Q279" s="10"/>
      <c r="R279" s="6"/>
      <c r="S279" s="6"/>
    </row>
    <row r="280" spans="1:20" x14ac:dyDescent="0.2">
      <c r="A280" s="5"/>
      <c r="B280" s="8" t="s">
        <v>1164</v>
      </c>
      <c r="H280" s="8" t="s">
        <v>1165</v>
      </c>
      <c r="I280" s="8" t="s">
        <v>1165</v>
      </c>
      <c r="J280" s="5">
        <f>10-4+5-2+1+9-2-2</f>
        <v>15</v>
      </c>
      <c r="K280" s="5" t="s">
        <v>292</v>
      </c>
      <c r="L280" s="5" t="s">
        <v>767</v>
      </c>
      <c r="M280" s="5">
        <v>20</v>
      </c>
      <c r="Q280" s="10" t="s">
        <v>1166</v>
      </c>
      <c r="R280" s="6"/>
      <c r="S280" s="6"/>
    </row>
    <row r="281" spans="1:20" x14ac:dyDescent="0.2">
      <c r="A281" s="5">
        <v>669</v>
      </c>
      <c r="B281" s="8" t="s">
        <v>1167</v>
      </c>
      <c r="D281" s="8" t="s">
        <v>345</v>
      </c>
      <c r="E281" s="24">
        <v>43685</v>
      </c>
      <c r="F281" s="8" t="s">
        <v>259</v>
      </c>
      <c r="G281" s="8" t="s">
        <v>260</v>
      </c>
      <c r="H281" s="8" t="s">
        <v>1168</v>
      </c>
      <c r="I281" s="8" t="s">
        <v>1169</v>
      </c>
      <c r="J281" s="5">
        <f>1-1</f>
        <v>0</v>
      </c>
      <c r="K281" s="5" t="s">
        <v>292</v>
      </c>
      <c r="L281" s="5" t="s">
        <v>767</v>
      </c>
      <c r="M281" s="5">
        <v>20</v>
      </c>
      <c r="N281" s="5" t="s">
        <v>43</v>
      </c>
      <c r="O281" s="5" t="s">
        <v>789</v>
      </c>
      <c r="Q281" s="10" t="s">
        <v>553</v>
      </c>
      <c r="S281" s="5" t="s">
        <v>328</v>
      </c>
    </row>
    <row r="282" spans="1:20" x14ac:dyDescent="0.2">
      <c r="A282" s="5">
        <v>667</v>
      </c>
      <c r="B282" s="8" t="s">
        <v>1170</v>
      </c>
      <c r="C282" s="8" t="s">
        <v>1170</v>
      </c>
      <c r="D282" s="8" t="s">
        <v>345</v>
      </c>
      <c r="E282" s="24">
        <v>43685</v>
      </c>
      <c r="F282" s="8" t="s">
        <v>259</v>
      </c>
      <c r="G282" s="8" t="s">
        <v>260</v>
      </c>
      <c r="H282" s="8" t="s">
        <v>1168</v>
      </c>
      <c r="I282" s="8" t="s">
        <v>1171</v>
      </c>
      <c r="J282" s="5">
        <f>50-4-4-12+4</f>
        <v>34</v>
      </c>
      <c r="K282" s="5" t="s">
        <v>292</v>
      </c>
      <c r="L282" s="5" t="s">
        <v>767</v>
      </c>
      <c r="M282" s="5">
        <v>20</v>
      </c>
      <c r="N282" s="5" t="s">
        <v>43</v>
      </c>
      <c r="O282" s="5" t="s">
        <v>789</v>
      </c>
      <c r="Q282" s="107" t="s">
        <v>1172</v>
      </c>
    </row>
    <row r="283" spans="1:20" x14ac:dyDescent="0.2">
      <c r="A283" s="5">
        <v>670</v>
      </c>
      <c r="B283" s="8" t="s">
        <v>1173</v>
      </c>
      <c r="C283" s="8" t="s">
        <v>1173</v>
      </c>
      <c r="D283" s="8" t="s">
        <v>345</v>
      </c>
      <c r="E283" s="24">
        <v>43685</v>
      </c>
      <c r="F283" s="8" t="s">
        <v>259</v>
      </c>
      <c r="G283" s="8" t="s">
        <v>260</v>
      </c>
      <c r="H283" s="8" t="s">
        <v>1174</v>
      </c>
      <c r="I283" s="8" t="s">
        <v>1175</v>
      </c>
      <c r="J283" s="5">
        <f>145-5-1-12-8-4-4-16+10</f>
        <v>105</v>
      </c>
      <c r="K283" s="5" t="s">
        <v>292</v>
      </c>
      <c r="L283" s="5" t="s">
        <v>767</v>
      </c>
      <c r="M283" s="5">
        <v>20</v>
      </c>
      <c r="N283" s="5" t="s">
        <v>43</v>
      </c>
      <c r="O283" s="5" t="s">
        <v>789</v>
      </c>
      <c r="Q283" s="10" t="s">
        <v>553</v>
      </c>
      <c r="R283" s="6"/>
      <c r="S283" s="6" t="s">
        <v>328</v>
      </c>
    </row>
    <row r="284" spans="1:20" x14ac:dyDescent="0.2">
      <c r="A284" s="5">
        <v>668</v>
      </c>
      <c r="B284" s="8" t="s">
        <v>1176</v>
      </c>
      <c r="C284" s="8" t="s">
        <v>1173</v>
      </c>
      <c r="D284" s="8" t="s">
        <v>345</v>
      </c>
      <c r="E284" s="24">
        <v>43685</v>
      </c>
      <c r="F284" s="8" t="s">
        <v>259</v>
      </c>
      <c r="G284" s="8" t="s">
        <v>260</v>
      </c>
      <c r="H284" s="8" t="s">
        <v>1174</v>
      </c>
      <c r="I284" s="8" t="s">
        <v>1177</v>
      </c>
      <c r="J284" s="5">
        <f>47-8-1-4+1-4-16-4+4</f>
        <v>15</v>
      </c>
      <c r="K284" s="5" t="s">
        <v>292</v>
      </c>
      <c r="L284" s="5" t="s">
        <v>767</v>
      </c>
      <c r="M284" s="5">
        <v>20</v>
      </c>
      <c r="N284" s="5" t="s">
        <v>43</v>
      </c>
      <c r="O284" s="5" t="s">
        <v>789</v>
      </c>
      <c r="Q284" s="5" t="s">
        <v>1178</v>
      </c>
      <c r="S284" s="5" t="s">
        <v>328</v>
      </c>
    </row>
    <row r="285" spans="1:20" x14ac:dyDescent="0.2">
      <c r="A285" s="5"/>
      <c r="B285" s="8" t="s">
        <v>1179</v>
      </c>
      <c r="I285" s="8" t="s">
        <v>1180</v>
      </c>
      <c r="J285" s="5">
        <f>14</f>
        <v>14</v>
      </c>
      <c r="K285" s="5" t="s">
        <v>292</v>
      </c>
      <c r="L285" s="5" t="s">
        <v>767</v>
      </c>
      <c r="M285" s="5">
        <v>20</v>
      </c>
    </row>
    <row r="286" spans="1:20" x14ac:dyDescent="0.2">
      <c r="A286" s="5">
        <v>2111</v>
      </c>
      <c r="B286" s="8" t="s">
        <v>1181</v>
      </c>
      <c r="H286" s="8" t="s">
        <v>1182</v>
      </c>
      <c r="I286" s="8" t="s">
        <v>1182</v>
      </c>
      <c r="J286" s="5">
        <v>19</v>
      </c>
      <c r="K286" s="5" t="s">
        <v>292</v>
      </c>
      <c r="L286" s="5" t="s">
        <v>767</v>
      </c>
      <c r="M286" s="5">
        <v>21</v>
      </c>
      <c r="N286" s="5" t="s">
        <v>805</v>
      </c>
      <c r="O286" s="5" t="s">
        <v>574</v>
      </c>
      <c r="Q286" s="10" t="s">
        <v>553</v>
      </c>
      <c r="T286" s="5" t="s">
        <v>777</v>
      </c>
    </row>
    <row r="287" spans="1:20" x14ac:dyDescent="0.2">
      <c r="A287" s="5">
        <v>2104</v>
      </c>
      <c r="B287" s="8" t="s">
        <v>1183</v>
      </c>
      <c r="H287" s="8" t="s">
        <v>1184</v>
      </c>
      <c r="I287" s="8" t="s">
        <v>1184</v>
      </c>
      <c r="J287" s="5">
        <v>15</v>
      </c>
      <c r="K287" s="5" t="s">
        <v>292</v>
      </c>
      <c r="L287" s="5" t="s">
        <v>767</v>
      </c>
      <c r="M287" s="5">
        <v>21</v>
      </c>
      <c r="N287" s="5" t="s">
        <v>805</v>
      </c>
      <c r="O287" s="5" t="s">
        <v>574</v>
      </c>
      <c r="Q287" s="10" t="s">
        <v>553</v>
      </c>
      <c r="R287" s="6"/>
      <c r="S287" s="6" t="s">
        <v>328</v>
      </c>
      <c r="T287" s="5" t="s">
        <v>777</v>
      </c>
    </row>
    <row r="288" spans="1:20" x14ac:dyDescent="0.2">
      <c r="A288" s="5">
        <v>2106</v>
      </c>
      <c r="B288" s="8" t="s">
        <v>1185</v>
      </c>
      <c r="H288" s="8" t="s">
        <v>1186</v>
      </c>
      <c r="I288" s="8" t="s">
        <v>1186</v>
      </c>
      <c r="J288" s="5">
        <v>2</v>
      </c>
      <c r="K288" s="5" t="s">
        <v>292</v>
      </c>
      <c r="L288" s="5" t="s">
        <v>767</v>
      </c>
      <c r="M288" s="5">
        <v>21</v>
      </c>
      <c r="N288" s="5" t="s">
        <v>805</v>
      </c>
      <c r="O288" s="5" t="s">
        <v>574</v>
      </c>
      <c r="Q288" s="10" t="s">
        <v>553</v>
      </c>
      <c r="R288" s="6"/>
      <c r="S288" s="6" t="s">
        <v>328</v>
      </c>
      <c r="T288" s="5" t="s">
        <v>777</v>
      </c>
    </row>
    <row r="289" spans="1:20" x14ac:dyDescent="0.2">
      <c r="A289" s="5">
        <v>2107</v>
      </c>
      <c r="B289" s="8" t="s">
        <v>1187</v>
      </c>
      <c r="H289" s="8" t="s">
        <v>1188</v>
      </c>
      <c r="I289" s="8" t="s">
        <v>1188</v>
      </c>
      <c r="J289" s="5">
        <v>2</v>
      </c>
      <c r="K289" s="5" t="s">
        <v>292</v>
      </c>
      <c r="L289" s="5" t="s">
        <v>767</v>
      </c>
      <c r="M289" s="5">
        <v>21</v>
      </c>
      <c r="N289" s="5" t="s">
        <v>805</v>
      </c>
      <c r="O289" s="5" t="s">
        <v>574</v>
      </c>
      <c r="Q289" s="10" t="s">
        <v>553</v>
      </c>
      <c r="R289" s="6"/>
      <c r="S289" s="6" t="s">
        <v>328</v>
      </c>
      <c r="T289" s="5" t="s">
        <v>777</v>
      </c>
    </row>
    <row r="290" spans="1:20" x14ac:dyDescent="0.2">
      <c r="A290" s="5"/>
      <c r="B290" s="8" t="s">
        <v>1179</v>
      </c>
      <c r="H290" s="8" t="s">
        <v>1189</v>
      </c>
      <c r="I290" s="8" t="s">
        <v>1189</v>
      </c>
      <c r="J290" s="5">
        <f>6-2</f>
        <v>4</v>
      </c>
      <c r="K290" s="5" t="s">
        <v>292</v>
      </c>
      <c r="L290" s="5" t="s">
        <v>767</v>
      </c>
      <c r="M290" s="5">
        <v>21</v>
      </c>
      <c r="N290" s="5" t="s">
        <v>408</v>
      </c>
      <c r="Q290" s="107" t="s">
        <v>1190</v>
      </c>
      <c r="S290" s="5" t="s">
        <v>328</v>
      </c>
    </row>
    <row r="291" spans="1:20" x14ac:dyDescent="0.2">
      <c r="A291" s="5">
        <v>2101</v>
      </c>
      <c r="B291" s="8" t="s">
        <v>1191</v>
      </c>
      <c r="C291" s="8" t="s">
        <v>1192</v>
      </c>
      <c r="D291" s="8" t="s">
        <v>281</v>
      </c>
      <c r="E291" s="24">
        <v>43685</v>
      </c>
      <c r="F291" s="8" t="s">
        <v>259</v>
      </c>
      <c r="G291" s="8" t="s">
        <v>276</v>
      </c>
      <c r="H291" s="8" t="s">
        <v>1193</v>
      </c>
      <c r="I291" s="8" t="s">
        <v>1194</v>
      </c>
      <c r="J291" s="5">
        <v>17</v>
      </c>
      <c r="K291" s="5" t="s">
        <v>292</v>
      </c>
      <c r="L291" s="5" t="s">
        <v>767</v>
      </c>
      <c r="M291" s="5">
        <v>21</v>
      </c>
      <c r="N291" s="5" t="s">
        <v>805</v>
      </c>
      <c r="O291" s="5" t="s">
        <v>574</v>
      </c>
      <c r="Q291" s="10" t="s">
        <v>553</v>
      </c>
      <c r="R291" s="6"/>
      <c r="S291" s="6" t="s">
        <v>328</v>
      </c>
      <c r="T291" s="5" t="s">
        <v>777</v>
      </c>
    </row>
    <row r="292" spans="1:20" x14ac:dyDescent="0.2">
      <c r="A292" s="5">
        <v>2109</v>
      </c>
      <c r="B292" s="8" t="s">
        <v>1195</v>
      </c>
      <c r="C292" s="8" t="s">
        <v>1192</v>
      </c>
      <c r="D292" s="8" t="s">
        <v>1196</v>
      </c>
      <c r="E292" s="24">
        <v>43685</v>
      </c>
      <c r="F292" s="8" t="s">
        <v>259</v>
      </c>
      <c r="G292" s="8" t="s">
        <v>276</v>
      </c>
      <c r="H292" s="8" t="s">
        <v>1197</v>
      </c>
      <c r="I292" s="8" t="s">
        <v>1198</v>
      </c>
      <c r="J292" s="5">
        <v>0</v>
      </c>
      <c r="K292" s="5" t="s">
        <v>292</v>
      </c>
      <c r="L292" s="5" t="s">
        <v>767</v>
      </c>
      <c r="M292" s="5">
        <v>21</v>
      </c>
      <c r="N292" s="5" t="s">
        <v>805</v>
      </c>
      <c r="O292" s="5" t="s">
        <v>574</v>
      </c>
      <c r="Q292" s="10" t="s">
        <v>553</v>
      </c>
      <c r="R292" s="6"/>
      <c r="S292" s="6" t="s">
        <v>328</v>
      </c>
      <c r="T292" s="5" t="s">
        <v>777</v>
      </c>
    </row>
    <row r="293" spans="1:20" x14ac:dyDescent="0.2">
      <c r="A293" s="5">
        <v>2100</v>
      </c>
      <c r="B293" s="8" t="s">
        <v>1199</v>
      </c>
      <c r="C293" s="8" t="s">
        <v>1200</v>
      </c>
      <c r="D293" s="8" t="s">
        <v>1196</v>
      </c>
      <c r="E293" s="24">
        <v>43685</v>
      </c>
      <c r="F293" s="8" t="s">
        <v>259</v>
      </c>
      <c r="G293" s="8" t="s">
        <v>276</v>
      </c>
      <c r="H293" s="8" t="s">
        <v>1201</v>
      </c>
      <c r="I293" s="8" t="s">
        <v>1202</v>
      </c>
      <c r="J293" s="5">
        <v>39</v>
      </c>
      <c r="K293" s="5" t="s">
        <v>292</v>
      </c>
      <c r="L293" s="5" t="s">
        <v>767</v>
      </c>
      <c r="M293" s="5">
        <v>21</v>
      </c>
      <c r="N293" s="5" t="s">
        <v>805</v>
      </c>
      <c r="O293" s="5" t="s">
        <v>574</v>
      </c>
      <c r="Q293" s="10" t="s">
        <v>553</v>
      </c>
      <c r="R293" s="6"/>
      <c r="S293" s="6" t="s">
        <v>328</v>
      </c>
      <c r="T293" s="5" t="s">
        <v>777</v>
      </c>
    </row>
    <row r="294" spans="1:20" x14ac:dyDescent="0.2">
      <c r="A294" s="5">
        <v>2102</v>
      </c>
      <c r="B294" s="8" t="s">
        <v>1203</v>
      </c>
      <c r="C294" s="8" t="s">
        <v>1204</v>
      </c>
      <c r="D294" s="8" t="s">
        <v>345</v>
      </c>
      <c r="E294" s="24">
        <v>43685</v>
      </c>
      <c r="F294" s="8" t="s">
        <v>259</v>
      </c>
      <c r="G294" s="8" t="s">
        <v>276</v>
      </c>
      <c r="H294" s="8" t="s">
        <v>1205</v>
      </c>
      <c r="I294" s="8" t="s">
        <v>1202</v>
      </c>
      <c r="J294" s="5">
        <v>4</v>
      </c>
      <c r="K294" s="5" t="s">
        <v>292</v>
      </c>
      <c r="L294" s="5" t="s">
        <v>767</v>
      </c>
      <c r="M294" s="5">
        <v>21</v>
      </c>
      <c r="N294" s="5" t="s">
        <v>805</v>
      </c>
      <c r="O294" s="5" t="s">
        <v>574</v>
      </c>
      <c r="Q294" s="10" t="s">
        <v>553</v>
      </c>
      <c r="R294" s="6"/>
      <c r="S294" s="6" t="s">
        <v>328</v>
      </c>
      <c r="T294" s="5" t="s">
        <v>777</v>
      </c>
    </row>
    <row r="295" spans="1:20" x14ac:dyDescent="0.2">
      <c r="A295" s="5">
        <v>2108</v>
      </c>
      <c r="B295" s="8" t="s">
        <v>1206</v>
      </c>
      <c r="C295" s="8" t="s">
        <v>1207</v>
      </c>
      <c r="D295" s="8" t="s">
        <v>345</v>
      </c>
      <c r="E295" s="24">
        <v>43685</v>
      </c>
      <c r="F295" s="8" t="s">
        <v>259</v>
      </c>
      <c r="G295" s="8" t="s">
        <v>276</v>
      </c>
      <c r="H295" s="8" t="s">
        <v>1208</v>
      </c>
      <c r="I295" s="8" t="s">
        <v>1209</v>
      </c>
      <c r="J295" s="5">
        <v>19</v>
      </c>
      <c r="K295" s="5" t="s">
        <v>292</v>
      </c>
      <c r="L295" s="5" t="s">
        <v>767</v>
      </c>
      <c r="M295" s="5">
        <v>21</v>
      </c>
      <c r="N295" s="5" t="s">
        <v>805</v>
      </c>
      <c r="O295" s="5" t="s">
        <v>574</v>
      </c>
      <c r="Q295" s="10" t="s">
        <v>553</v>
      </c>
      <c r="R295" s="6"/>
      <c r="S295" s="6" t="s">
        <v>328</v>
      </c>
      <c r="T295" s="5" t="s">
        <v>777</v>
      </c>
    </row>
    <row r="296" spans="1:20" x14ac:dyDescent="0.2">
      <c r="A296" s="5">
        <v>2097</v>
      </c>
      <c r="B296" s="8" t="s">
        <v>1210</v>
      </c>
      <c r="C296" s="8" t="s">
        <v>1211</v>
      </c>
      <c r="D296" s="8" t="s">
        <v>1212</v>
      </c>
      <c r="E296" s="24">
        <v>43691</v>
      </c>
      <c r="F296" s="8" t="s">
        <v>259</v>
      </c>
      <c r="G296" s="8" t="s">
        <v>276</v>
      </c>
      <c r="H296" s="8" t="s">
        <v>1213</v>
      </c>
      <c r="I296" s="8" t="s">
        <v>1214</v>
      </c>
      <c r="J296" s="5">
        <v>2</v>
      </c>
      <c r="K296" s="5" t="s">
        <v>292</v>
      </c>
      <c r="L296" s="5" t="s">
        <v>767</v>
      </c>
      <c r="M296" s="5">
        <v>21</v>
      </c>
      <c r="N296" s="5" t="s">
        <v>805</v>
      </c>
      <c r="O296" s="5" t="s">
        <v>574</v>
      </c>
      <c r="Q296" s="10" t="s">
        <v>553</v>
      </c>
      <c r="R296" s="6"/>
      <c r="S296" s="6" t="s">
        <v>328</v>
      </c>
      <c r="T296" s="5" t="s">
        <v>777</v>
      </c>
    </row>
    <row r="297" spans="1:20" x14ac:dyDescent="0.2">
      <c r="A297" s="5">
        <v>2105</v>
      </c>
      <c r="B297" s="8" t="s">
        <v>1215</v>
      </c>
      <c r="C297" s="8" t="s">
        <v>1216</v>
      </c>
      <c r="D297" s="8" t="s">
        <v>1212</v>
      </c>
      <c r="E297" s="24">
        <v>43691</v>
      </c>
      <c r="F297" s="8" t="s">
        <v>259</v>
      </c>
      <c r="G297" s="8" t="s">
        <v>276</v>
      </c>
      <c r="H297" s="8" t="s">
        <v>1217</v>
      </c>
      <c r="I297" s="8" t="s">
        <v>1218</v>
      </c>
      <c r="J297" s="5">
        <v>51</v>
      </c>
      <c r="K297" s="5" t="s">
        <v>292</v>
      </c>
      <c r="L297" s="5" t="s">
        <v>767</v>
      </c>
      <c r="M297" s="5">
        <v>21</v>
      </c>
      <c r="N297" s="5" t="s">
        <v>805</v>
      </c>
      <c r="O297" s="5" t="s">
        <v>574</v>
      </c>
      <c r="Q297" s="10" t="s">
        <v>553</v>
      </c>
      <c r="R297" s="6"/>
      <c r="S297" s="6" t="s">
        <v>328</v>
      </c>
      <c r="T297" s="5" t="s">
        <v>777</v>
      </c>
    </row>
    <row r="298" spans="1:20" x14ac:dyDescent="0.2">
      <c r="A298" s="5">
        <v>2098</v>
      </c>
      <c r="B298" s="8" t="s">
        <v>1219</v>
      </c>
      <c r="C298" s="8" t="s">
        <v>1220</v>
      </c>
      <c r="D298" s="8" t="s">
        <v>1212</v>
      </c>
      <c r="E298" s="24">
        <v>43691</v>
      </c>
      <c r="F298" s="8" t="s">
        <v>259</v>
      </c>
      <c r="G298" s="8" t="s">
        <v>276</v>
      </c>
      <c r="H298" s="8" t="s">
        <v>1221</v>
      </c>
      <c r="I298" s="8" t="s">
        <v>1209</v>
      </c>
      <c r="J298" s="5">
        <v>9</v>
      </c>
      <c r="K298" s="5" t="s">
        <v>292</v>
      </c>
      <c r="L298" s="5" t="s">
        <v>767</v>
      </c>
      <c r="M298" s="5">
        <v>21</v>
      </c>
      <c r="N298" s="5" t="s">
        <v>805</v>
      </c>
      <c r="O298" s="5" t="s">
        <v>574</v>
      </c>
      <c r="Q298" s="10" t="s">
        <v>553</v>
      </c>
      <c r="R298" s="6"/>
      <c r="S298" s="6" t="s">
        <v>328</v>
      </c>
      <c r="T298" s="5" t="s">
        <v>777</v>
      </c>
    </row>
    <row r="299" spans="1:20" x14ac:dyDescent="0.2">
      <c r="A299" s="5">
        <v>2103</v>
      </c>
      <c r="B299" s="8" t="s">
        <v>1222</v>
      </c>
      <c r="C299" s="8" t="s">
        <v>1223</v>
      </c>
      <c r="D299" s="8" t="s">
        <v>1224</v>
      </c>
      <c r="E299" s="24">
        <v>43691</v>
      </c>
      <c r="F299" s="8" t="s">
        <v>259</v>
      </c>
      <c r="G299" s="8" t="s">
        <v>276</v>
      </c>
      <c r="H299" s="8" t="s">
        <v>1225</v>
      </c>
      <c r="I299" s="8" t="s">
        <v>1226</v>
      </c>
      <c r="J299" s="5">
        <f>69-4-1-3-1-2-2-4-2-2-2-3-1+9-2-2</f>
        <v>47</v>
      </c>
      <c r="K299" s="5" t="s">
        <v>292</v>
      </c>
      <c r="L299" s="5" t="s">
        <v>767</v>
      </c>
      <c r="M299" s="5">
        <v>21</v>
      </c>
      <c r="N299" s="5" t="s">
        <v>805</v>
      </c>
      <c r="O299" s="5" t="s">
        <v>574</v>
      </c>
      <c r="Q299" s="10" t="s">
        <v>553</v>
      </c>
      <c r="R299" s="6"/>
      <c r="S299" s="6" t="s">
        <v>328</v>
      </c>
      <c r="T299" s="5" t="s">
        <v>777</v>
      </c>
    </row>
    <row r="300" spans="1:20" x14ac:dyDescent="0.2">
      <c r="A300" s="5"/>
      <c r="B300" s="8" t="s">
        <v>1227</v>
      </c>
      <c r="H300" s="8" t="s">
        <v>1228</v>
      </c>
      <c r="I300" s="8" t="s">
        <v>1229</v>
      </c>
      <c r="J300" s="5">
        <f>10-10</f>
        <v>0</v>
      </c>
      <c r="K300" s="5" t="s">
        <v>292</v>
      </c>
      <c r="L300" s="5" t="s">
        <v>767</v>
      </c>
      <c r="M300" s="5">
        <v>21</v>
      </c>
      <c r="N300" s="5" t="s">
        <v>805</v>
      </c>
      <c r="O300" s="5" t="s">
        <v>574</v>
      </c>
      <c r="Q300" s="10" t="s">
        <v>1230</v>
      </c>
      <c r="R300" s="6"/>
      <c r="S300" s="6"/>
    </row>
    <row r="301" spans="1:20" x14ac:dyDescent="0.2">
      <c r="A301" s="5">
        <v>2096</v>
      </c>
      <c r="B301" s="8" t="s">
        <v>1231</v>
      </c>
      <c r="C301" s="8" t="s">
        <v>1232</v>
      </c>
      <c r="D301" s="8" t="s">
        <v>1224</v>
      </c>
      <c r="E301" s="24">
        <v>43691</v>
      </c>
      <c r="F301" s="8" t="s">
        <v>259</v>
      </c>
      <c r="G301" s="8" t="s">
        <v>276</v>
      </c>
      <c r="H301" s="8" t="s">
        <v>1233</v>
      </c>
      <c r="I301" s="8" t="s">
        <v>1234</v>
      </c>
      <c r="J301" s="5">
        <f>28-4-1-3-1-1-2-4-2-2-2-3</f>
        <v>3</v>
      </c>
      <c r="K301" s="5" t="s">
        <v>292</v>
      </c>
      <c r="L301" s="5" t="s">
        <v>767</v>
      </c>
      <c r="M301" s="5">
        <v>21</v>
      </c>
      <c r="N301" s="5" t="s">
        <v>805</v>
      </c>
      <c r="O301" s="5" t="s">
        <v>574</v>
      </c>
      <c r="Q301" s="10" t="s">
        <v>553</v>
      </c>
      <c r="R301" s="6"/>
      <c r="S301" s="6" t="s">
        <v>328</v>
      </c>
      <c r="T301" s="5" t="s">
        <v>777</v>
      </c>
    </row>
    <row r="302" spans="1:20" x14ac:dyDescent="0.2">
      <c r="A302" s="5">
        <v>2099</v>
      </c>
      <c r="B302" s="8" t="s">
        <v>1235</v>
      </c>
      <c r="C302" s="8" t="s">
        <v>1236</v>
      </c>
      <c r="D302" s="8" t="s">
        <v>1224</v>
      </c>
      <c r="E302" s="24">
        <v>43691</v>
      </c>
      <c r="F302" s="8" t="s">
        <v>259</v>
      </c>
      <c r="G302" s="8" t="s">
        <v>276</v>
      </c>
      <c r="H302" s="8" t="s">
        <v>1237</v>
      </c>
      <c r="I302" s="8" t="s">
        <v>1238</v>
      </c>
      <c r="J302" s="5">
        <f>96-4-4-5-5-4</f>
        <v>74</v>
      </c>
      <c r="K302" s="5" t="s">
        <v>292</v>
      </c>
      <c r="L302" s="5" t="s">
        <v>767</v>
      </c>
      <c r="M302" s="5">
        <v>21</v>
      </c>
      <c r="N302" s="5" t="s">
        <v>805</v>
      </c>
      <c r="O302" s="5" t="s">
        <v>574</v>
      </c>
      <c r="Q302" s="35" t="s">
        <v>553</v>
      </c>
      <c r="R302" s="6"/>
      <c r="S302" s="6" t="s">
        <v>328</v>
      </c>
      <c r="T302" s="5" t="s">
        <v>777</v>
      </c>
    </row>
    <row r="303" spans="1:20" x14ac:dyDescent="0.2">
      <c r="A303" s="5">
        <v>2110</v>
      </c>
      <c r="B303" s="8" t="s">
        <v>1239</v>
      </c>
      <c r="H303" s="8" t="s">
        <v>1240</v>
      </c>
      <c r="I303" s="8" t="s">
        <v>1240</v>
      </c>
      <c r="J303" s="5">
        <f>78+10-4-4-14</f>
        <v>66</v>
      </c>
      <c r="K303" s="5" t="s">
        <v>292</v>
      </c>
      <c r="L303" s="5" t="s">
        <v>767</v>
      </c>
      <c r="M303" s="5">
        <v>21</v>
      </c>
      <c r="N303" s="5" t="s">
        <v>805</v>
      </c>
      <c r="O303" s="5" t="s">
        <v>574</v>
      </c>
      <c r="Q303" s="10" t="s">
        <v>553</v>
      </c>
      <c r="R303" s="6"/>
      <c r="S303" s="6" t="s">
        <v>1139</v>
      </c>
      <c r="T303" s="5" t="s">
        <v>777</v>
      </c>
    </row>
    <row r="304" spans="1:20" x14ac:dyDescent="0.2">
      <c r="A304" s="5">
        <v>2372</v>
      </c>
      <c r="B304" s="8" t="s">
        <v>1241</v>
      </c>
      <c r="D304" s="8" t="s">
        <v>1242</v>
      </c>
      <c r="E304" s="24">
        <v>43685</v>
      </c>
      <c r="F304" s="8" t="s">
        <v>259</v>
      </c>
      <c r="G304" s="8" t="s">
        <v>260</v>
      </c>
      <c r="H304" s="8" t="s">
        <v>1243</v>
      </c>
      <c r="I304" s="8" t="s">
        <v>1244</v>
      </c>
      <c r="J304" s="5">
        <f>10-3</f>
        <v>7</v>
      </c>
      <c r="K304" s="5" t="s">
        <v>292</v>
      </c>
      <c r="L304" s="5" t="s">
        <v>767</v>
      </c>
      <c r="M304" s="5">
        <v>21</v>
      </c>
      <c r="N304" s="5" t="s">
        <v>408</v>
      </c>
      <c r="O304" s="5" t="s">
        <v>789</v>
      </c>
      <c r="Q304" s="5" t="s">
        <v>1245</v>
      </c>
    </row>
    <row r="305" spans="1:19" x14ac:dyDescent="0.2">
      <c r="A305" s="5">
        <v>2371</v>
      </c>
      <c r="B305" s="8" t="s">
        <v>1246</v>
      </c>
      <c r="D305" s="8" t="s">
        <v>1242</v>
      </c>
      <c r="E305" s="24">
        <v>43685</v>
      </c>
      <c r="F305" s="8" t="s">
        <v>259</v>
      </c>
      <c r="G305" s="8" t="s">
        <v>260</v>
      </c>
      <c r="H305" s="8" t="s">
        <v>1243</v>
      </c>
      <c r="I305" s="8" t="s">
        <v>1247</v>
      </c>
      <c r="J305" s="5">
        <f>10-3</f>
        <v>7</v>
      </c>
      <c r="K305" s="5" t="s">
        <v>292</v>
      </c>
      <c r="L305" s="5" t="s">
        <v>767</v>
      </c>
      <c r="M305" s="5">
        <v>21</v>
      </c>
      <c r="N305" s="5" t="s">
        <v>408</v>
      </c>
      <c r="O305" s="5" t="s">
        <v>789</v>
      </c>
      <c r="Q305" s="5" t="s">
        <v>1245</v>
      </c>
    </row>
    <row r="306" spans="1:19" x14ac:dyDescent="0.2">
      <c r="A306" s="5">
        <v>2370</v>
      </c>
      <c r="B306" s="8" t="s">
        <v>1248</v>
      </c>
      <c r="D306" s="8" t="s">
        <v>1242</v>
      </c>
      <c r="E306" s="24">
        <v>43685</v>
      </c>
      <c r="F306" s="8" t="s">
        <v>259</v>
      </c>
      <c r="G306" s="8" t="s">
        <v>260</v>
      </c>
      <c r="H306" s="8" t="s">
        <v>1243</v>
      </c>
      <c r="I306" s="8" t="s">
        <v>1249</v>
      </c>
      <c r="J306" s="5">
        <f>10-3</f>
        <v>7</v>
      </c>
      <c r="K306" s="5" t="s">
        <v>292</v>
      </c>
      <c r="L306" s="5" t="s">
        <v>767</v>
      </c>
      <c r="M306" s="5">
        <v>21</v>
      </c>
      <c r="N306" s="5" t="s">
        <v>408</v>
      </c>
      <c r="O306" s="5" t="s">
        <v>789</v>
      </c>
      <c r="Q306" s="5" t="s">
        <v>1245</v>
      </c>
    </row>
    <row r="307" spans="1:19" x14ac:dyDescent="0.2">
      <c r="A307" s="5">
        <v>423</v>
      </c>
      <c r="B307" s="8" t="s">
        <v>1250</v>
      </c>
      <c r="H307" s="8" t="s">
        <v>1251</v>
      </c>
      <c r="I307" s="8" t="s">
        <v>1251</v>
      </c>
      <c r="J307" s="5">
        <f>149-15</f>
        <v>134</v>
      </c>
      <c r="K307" s="5" t="s">
        <v>292</v>
      </c>
      <c r="L307" s="5" t="s">
        <v>767</v>
      </c>
      <c r="M307" s="38">
        <v>22</v>
      </c>
      <c r="N307" s="5" t="s">
        <v>43</v>
      </c>
      <c r="O307" s="5" t="s">
        <v>789</v>
      </c>
      <c r="Q307" s="10" t="s">
        <v>553</v>
      </c>
      <c r="R307" s="6"/>
      <c r="S307" s="6"/>
    </row>
    <row r="308" spans="1:19" x14ac:dyDescent="0.2">
      <c r="A308" s="5"/>
      <c r="B308" s="8" t="s">
        <v>1252</v>
      </c>
      <c r="I308" s="8" t="s">
        <v>1253</v>
      </c>
      <c r="J308" s="5">
        <f>2</f>
        <v>2</v>
      </c>
      <c r="K308" s="5" t="s">
        <v>292</v>
      </c>
      <c r="L308" s="5" t="s">
        <v>767</v>
      </c>
      <c r="M308" s="38">
        <v>22</v>
      </c>
      <c r="Q308" s="10"/>
      <c r="R308" s="6"/>
      <c r="S308" s="6"/>
    </row>
    <row r="309" spans="1:19" x14ac:dyDescent="0.2">
      <c r="A309" s="5">
        <v>422</v>
      </c>
      <c r="B309" s="8" t="s">
        <v>1254</v>
      </c>
      <c r="H309" s="8" t="s">
        <v>1255</v>
      </c>
      <c r="I309" s="8" t="s">
        <v>1255</v>
      </c>
      <c r="J309" s="5">
        <f>86-1</f>
        <v>85</v>
      </c>
      <c r="K309" s="5" t="s">
        <v>292</v>
      </c>
      <c r="L309" s="5" t="s">
        <v>767</v>
      </c>
      <c r="M309" s="5">
        <v>22</v>
      </c>
      <c r="N309" s="5" t="s">
        <v>43</v>
      </c>
      <c r="O309" s="5" t="s">
        <v>789</v>
      </c>
      <c r="Q309" s="10" t="s">
        <v>553</v>
      </c>
      <c r="S309" s="5" t="s">
        <v>328</v>
      </c>
    </row>
    <row r="310" spans="1:19" x14ac:dyDescent="0.2">
      <c r="A310" s="5"/>
      <c r="B310" s="8" t="s">
        <v>1256</v>
      </c>
      <c r="I310" s="8" t="s">
        <v>1257</v>
      </c>
      <c r="J310" s="5">
        <f>10-4</f>
        <v>6</v>
      </c>
      <c r="K310" s="5" t="s">
        <v>292</v>
      </c>
      <c r="L310" s="5" t="s">
        <v>767</v>
      </c>
      <c r="M310" s="5">
        <v>22</v>
      </c>
      <c r="Q310" s="10"/>
    </row>
    <row r="311" spans="1:19" x14ac:dyDescent="0.2">
      <c r="A311" s="5"/>
      <c r="B311" s="8" t="s">
        <v>1258</v>
      </c>
      <c r="H311" s="8" t="s">
        <v>1259</v>
      </c>
      <c r="I311" s="8" t="s">
        <v>1260</v>
      </c>
      <c r="J311" s="5">
        <f>50</f>
        <v>50</v>
      </c>
      <c r="K311" s="5" t="s">
        <v>292</v>
      </c>
      <c r="L311" s="5" t="s">
        <v>767</v>
      </c>
      <c r="M311" s="5">
        <v>22</v>
      </c>
      <c r="N311" s="5" t="s">
        <v>43</v>
      </c>
      <c r="Q311" s="107" t="s">
        <v>1261</v>
      </c>
      <c r="S311" s="5" t="s">
        <v>328</v>
      </c>
    </row>
    <row r="312" spans="1:19" x14ac:dyDescent="0.2">
      <c r="A312" s="5"/>
      <c r="B312" s="8">
        <v>9251979</v>
      </c>
      <c r="H312" s="8" t="s">
        <v>1262</v>
      </c>
      <c r="I312" s="8" t="s">
        <v>1263</v>
      </c>
      <c r="J312" s="5">
        <f>1</f>
        <v>1</v>
      </c>
      <c r="K312" s="5" t="s">
        <v>292</v>
      </c>
      <c r="L312" s="5" t="s">
        <v>767</v>
      </c>
      <c r="M312" s="5">
        <v>22</v>
      </c>
      <c r="N312" s="5" t="s">
        <v>43</v>
      </c>
      <c r="R312" s="6"/>
      <c r="S312" s="6"/>
    </row>
    <row r="313" spans="1:19" ht="18.75" customHeight="1" x14ac:dyDescent="0.2">
      <c r="A313" s="5">
        <v>426</v>
      </c>
      <c r="B313" s="8" t="s">
        <v>1264</v>
      </c>
      <c r="D313" s="8" t="s">
        <v>269</v>
      </c>
      <c r="E313" s="24">
        <v>43686</v>
      </c>
      <c r="F313" s="8" t="s">
        <v>259</v>
      </c>
      <c r="G313" s="8" t="s">
        <v>260</v>
      </c>
      <c r="H313" s="8" t="s">
        <v>1265</v>
      </c>
      <c r="I313" s="8" t="s">
        <v>1266</v>
      </c>
      <c r="J313" s="5">
        <f>29</f>
        <v>29</v>
      </c>
      <c r="K313" s="5" t="s">
        <v>292</v>
      </c>
      <c r="L313" s="5" t="s">
        <v>767</v>
      </c>
      <c r="M313" s="5">
        <v>23</v>
      </c>
      <c r="N313" s="5" t="s">
        <v>43</v>
      </c>
      <c r="O313" s="5" t="s">
        <v>789</v>
      </c>
      <c r="Q313" s="10" t="s">
        <v>553</v>
      </c>
    </row>
    <row r="314" spans="1:19" x14ac:dyDescent="0.2">
      <c r="A314" s="5">
        <v>425</v>
      </c>
      <c r="B314" s="8" t="s">
        <v>1267</v>
      </c>
      <c r="D314" s="8" t="s">
        <v>269</v>
      </c>
      <c r="E314" s="24">
        <v>43686</v>
      </c>
      <c r="F314" s="8" t="s">
        <v>259</v>
      </c>
      <c r="G314" s="8" t="s">
        <v>260</v>
      </c>
      <c r="H314" s="8" t="s">
        <v>1268</v>
      </c>
      <c r="I314" s="8" t="s">
        <v>1269</v>
      </c>
      <c r="J314" s="5">
        <f>9</f>
        <v>9</v>
      </c>
      <c r="K314" s="5" t="s">
        <v>292</v>
      </c>
      <c r="L314" s="5" t="s">
        <v>767</v>
      </c>
      <c r="M314" s="5">
        <v>23</v>
      </c>
      <c r="N314" s="5" t="s">
        <v>43</v>
      </c>
      <c r="O314" s="5" t="s">
        <v>789</v>
      </c>
      <c r="Q314" s="10" t="s">
        <v>553</v>
      </c>
      <c r="S314" s="5" t="s">
        <v>328</v>
      </c>
    </row>
    <row r="315" spans="1:19" x14ac:dyDescent="0.2">
      <c r="A315" s="5">
        <v>424</v>
      </c>
      <c r="B315" s="8" t="s">
        <v>1270</v>
      </c>
      <c r="D315" s="8" t="s">
        <v>269</v>
      </c>
      <c r="E315" s="24">
        <v>43686</v>
      </c>
      <c r="F315" s="8" t="s">
        <v>259</v>
      </c>
      <c r="G315" s="8" t="s">
        <v>260</v>
      </c>
      <c r="H315" s="8" t="s">
        <v>1271</v>
      </c>
      <c r="I315" s="8" t="s">
        <v>1272</v>
      </c>
      <c r="J315" s="5">
        <f>35</f>
        <v>35</v>
      </c>
      <c r="K315" s="5" t="s">
        <v>292</v>
      </c>
      <c r="L315" s="5" t="s">
        <v>767</v>
      </c>
      <c r="M315" s="5">
        <v>23</v>
      </c>
      <c r="N315" s="5" t="s">
        <v>1104</v>
      </c>
      <c r="O315" s="5" t="s">
        <v>789</v>
      </c>
      <c r="Q315" s="10" t="s">
        <v>553</v>
      </c>
      <c r="S315" s="5" t="s">
        <v>328</v>
      </c>
    </row>
    <row r="316" spans="1:19" x14ac:dyDescent="0.2">
      <c r="A316" s="5">
        <v>1345</v>
      </c>
      <c r="B316" s="8" t="s">
        <v>1273</v>
      </c>
      <c r="H316" s="8" t="s">
        <v>1274</v>
      </c>
      <c r="I316" s="8" t="s">
        <v>1274</v>
      </c>
      <c r="J316" s="5">
        <f>7</f>
        <v>7</v>
      </c>
      <c r="K316" s="5" t="s">
        <v>292</v>
      </c>
      <c r="L316" s="5" t="s">
        <v>767</v>
      </c>
      <c r="M316" s="5">
        <v>24</v>
      </c>
      <c r="N316" s="5" t="s">
        <v>1275</v>
      </c>
      <c r="O316" s="5" t="s">
        <v>520</v>
      </c>
      <c r="Q316" s="5" t="s">
        <v>1276</v>
      </c>
      <c r="R316" s="6"/>
      <c r="S316" s="6"/>
    </row>
    <row r="317" spans="1:19" x14ac:dyDescent="0.2">
      <c r="A317" s="5">
        <v>370</v>
      </c>
      <c r="B317" s="8" t="s">
        <v>1277</v>
      </c>
      <c r="H317" s="8" t="s">
        <v>1278</v>
      </c>
      <c r="I317" s="8" t="s">
        <v>1278</v>
      </c>
      <c r="J317" s="5">
        <f>10</f>
        <v>10</v>
      </c>
      <c r="K317" s="5" t="s">
        <v>292</v>
      </c>
      <c r="L317" s="5" t="s">
        <v>767</v>
      </c>
      <c r="M317" s="5">
        <v>24</v>
      </c>
      <c r="N317" s="5" t="s">
        <v>43</v>
      </c>
      <c r="O317" s="5" t="s">
        <v>266</v>
      </c>
      <c r="Q317" s="5" t="s">
        <v>1279</v>
      </c>
    </row>
    <row r="318" spans="1:19" x14ac:dyDescent="0.2">
      <c r="A318" s="5">
        <v>369</v>
      </c>
      <c r="B318" s="8" t="s">
        <v>1280</v>
      </c>
      <c r="H318" s="8" t="s">
        <v>1281</v>
      </c>
      <c r="I318" s="8" t="s">
        <v>1281</v>
      </c>
      <c r="J318" s="5">
        <f>84</f>
        <v>84</v>
      </c>
      <c r="K318" s="5" t="s">
        <v>292</v>
      </c>
      <c r="L318" s="5" t="s">
        <v>767</v>
      </c>
      <c r="M318" s="5">
        <v>24</v>
      </c>
      <c r="N318" s="5" t="s">
        <v>43</v>
      </c>
      <c r="O318" s="5" t="s">
        <v>266</v>
      </c>
      <c r="Q318" s="5" t="s">
        <v>1279</v>
      </c>
    </row>
    <row r="319" spans="1:19" x14ac:dyDescent="0.2">
      <c r="A319" s="5">
        <v>367</v>
      </c>
      <c r="B319" s="8" t="s">
        <v>1282</v>
      </c>
      <c r="H319" s="8" t="s">
        <v>1283</v>
      </c>
      <c r="I319" s="8" t="s">
        <v>1284</v>
      </c>
      <c r="J319" s="5">
        <f>55</f>
        <v>55</v>
      </c>
      <c r="K319" s="5" t="s">
        <v>292</v>
      </c>
      <c r="L319" s="5" t="s">
        <v>767</v>
      </c>
      <c r="M319" s="5">
        <v>24</v>
      </c>
      <c r="N319" s="5" t="s">
        <v>43</v>
      </c>
      <c r="O319" s="5" t="s">
        <v>266</v>
      </c>
      <c r="Q319" s="5" t="s">
        <v>1279</v>
      </c>
    </row>
    <row r="320" spans="1:19" x14ac:dyDescent="0.2">
      <c r="A320" s="5">
        <v>368</v>
      </c>
      <c r="B320" s="8" t="s">
        <v>1285</v>
      </c>
      <c r="H320" s="8" t="s">
        <v>1286</v>
      </c>
      <c r="I320" s="8" t="s">
        <v>1286</v>
      </c>
      <c r="J320" s="5">
        <f>44</f>
        <v>44</v>
      </c>
      <c r="K320" s="5" t="s">
        <v>292</v>
      </c>
      <c r="L320" s="5" t="s">
        <v>1287</v>
      </c>
      <c r="M320" s="5">
        <v>24</v>
      </c>
      <c r="N320" s="5" t="s">
        <v>43</v>
      </c>
      <c r="O320" s="5" t="s">
        <v>266</v>
      </c>
      <c r="Q320" s="5" t="s">
        <v>1279</v>
      </c>
    </row>
    <row r="321" spans="1:20" x14ac:dyDescent="0.2">
      <c r="A321" s="5">
        <v>371</v>
      </c>
      <c r="B321" s="8" t="s">
        <v>1288</v>
      </c>
      <c r="H321" s="8" t="s">
        <v>1289</v>
      </c>
      <c r="I321" s="8" t="s">
        <v>1290</v>
      </c>
      <c r="J321" s="5">
        <f>779</f>
        <v>779</v>
      </c>
      <c r="K321" s="5" t="s">
        <v>292</v>
      </c>
      <c r="L321" s="5" t="s">
        <v>767</v>
      </c>
      <c r="M321" s="5">
        <v>24</v>
      </c>
      <c r="N321" s="5" t="s">
        <v>43</v>
      </c>
      <c r="O321" s="5" t="s">
        <v>266</v>
      </c>
      <c r="Q321" s="5" t="s">
        <v>1291</v>
      </c>
    </row>
    <row r="322" spans="1:20" x14ac:dyDescent="0.2">
      <c r="A322" s="5">
        <v>1497</v>
      </c>
      <c r="B322" s="8">
        <v>1169110</v>
      </c>
      <c r="H322" s="8" t="s">
        <v>1292</v>
      </c>
      <c r="I322" s="8" t="s">
        <v>1292</v>
      </c>
      <c r="J322" s="5">
        <f>0</f>
        <v>0</v>
      </c>
      <c r="K322" s="5" t="s">
        <v>292</v>
      </c>
      <c r="L322" s="5" t="s">
        <v>767</v>
      </c>
      <c r="M322" s="5">
        <v>24</v>
      </c>
      <c r="N322" s="5" t="s">
        <v>805</v>
      </c>
      <c r="O322" s="5" t="s">
        <v>574</v>
      </c>
      <c r="Q322" s="10" t="s">
        <v>1293</v>
      </c>
      <c r="R322" s="6"/>
      <c r="S322" s="6"/>
    </row>
    <row r="323" spans="1:20" x14ac:dyDescent="0.2">
      <c r="A323" s="5"/>
      <c r="B323" s="8" t="s">
        <v>1294</v>
      </c>
      <c r="H323" s="8" t="s">
        <v>1295</v>
      </c>
      <c r="I323" s="8" t="s">
        <v>1295</v>
      </c>
      <c r="J323" s="5">
        <f>2-2</f>
        <v>0</v>
      </c>
      <c r="K323" s="5" t="s">
        <v>292</v>
      </c>
      <c r="L323" s="5" t="s">
        <v>767</v>
      </c>
      <c r="M323" s="5">
        <v>24</v>
      </c>
      <c r="N323" s="5" t="s">
        <v>805</v>
      </c>
      <c r="Q323" s="107" t="s">
        <v>1296</v>
      </c>
      <c r="R323" s="6"/>
      <c r="S323" s="6"/>
    </row>
    <row r="324" spans="1:20" x14ac:dyDescent="0.2">
      <c r="A324" s="5"/>
      <c r="B324" s="189">
        <v>618015231421</v>
      </c>
      <c r="H324" s="8" t="s">
        <v>1297</v>
      </c>
      <c r="I324" s="8" t="s">
        <v>1297</v>
      </c>
      <c r="J324" s="5">
        <f>24-7</f>
        <v>17</v>
      </c>
      <c r="K324" s="5" t="s">
        <v>292</v>
      </c>
      <c r="L324" s="5" t="s">
        <v>767</v>
      </c>
      <c r="M324" s="5">
        <v>24</v>
      </c>
      <c r="N324" s="5" t="s">
        <v>805</v>
      </c>
      <c r="Q324" s="107" t="s">
        <v>1298</v>
      </c>
      <c r="R324" s="6"/>
      <c r="S324" s="6"/>
    </row>
    <row r="325" spans="1:20" x14ac:dyDescent="0.2">
      <c r="A325" s="5">
        <v>1396</v>
      </c>
      <c r="B325" s="8" t="s">
        <v>1299</v>
      </c>
      <c r="H325" s="8" t="s">
        <v>1300</v>
      </c>
      <c r="I325" s="8" t="s">
        <v>1301</v>
      </c>
      <c r="J325" s="5">
        <f>2-2</f>
        <v>0</v>
      </c>
      <c r="K325" s="5" t="s">
        <v>292</v>
      </c>
      <c r="L325" s="5" t="s">
        <v>767</v>
      </c>
      <c r="M325" s="5">
        <v>25</v>
      </c>
      <c r="N325" s="5" t="s">
        <v>1127</v>
      </c>
      <c r="O325" s="5" t="s">
        <v>574</v>
      </c>
      <c r="Q325" s="5" t="s">
        <v>1302</v>
      </c>
      <c r="R325" s="6"/>
      <c r="S325" s="6" t="s">
        <v>1139</v>
      </c>
      <c r="T325" s="5" t="s">
        <v>777</v>
      </c>
    </row>
    <row r="326" spans="1:20" x14ac:dyDescent="0.2">
      <c r="A326" s="5">
        <v>1397</v>
      </c>
      <c r="B326" s="8" t="s">
        <v>1303</v>
      </c>
      <c r="H326" s="8" t="s">
        <v>1304</v>
      </c>
      <c r="I326" s="8" t="s">
        <v>1305</v>
      </c>
      <c r="J326" s="5">
        <f>4-1-3</f>
        <v>0</v>
      </c>
      <c r="K326" s="5" t="s">
        <v>292</v>
      </c>
      <c r="L326" s="5" t="s">
        <v>767</v>
      </c>
      <c r="M326" s="5">
        <v>25</v>
      </c>
      <c r="N326" s="5" t="s">
        <v>1127</v>
      </c>
      <c r="O326" s="5" t="s">
        <v>574</v>
      </c>
      <c r="Q326" s="10" t="s">
        <v>553</v>
      </c>
      <c r="R326" s="6"/>
      <c r="S326" s="6" t="s">
        <v>1139</v>
      </c>
      <c r="T326" s="5" t="s">
        <v>777</v>
      </c>
    </row>
    <row r="327" spans="1:20" x14ac:dyDescent="0.2">
      <c r="A327" s="5">
        <v>1398</v>
      </c>
      <c r="B327" s="8" t="s">
        <v>1306</v>
      </c>
      <c r="H327" s="8" t="s">
        <v>1307</v>
      </c>
      <c r="I327" s="8" t="s">
        <v>1308</v>
      </c>
      <c r="J327" s="5">
        <f>3-3</f>
        <v>0</v>
      </c>
      <c r="K327" s="5" t="s">
        <v>292</v>
      </c>
      <c r="L327" s="5" t="s">
        <v>767</v>
      </c>
      <c r="M327" s="5">
        <v>25</v>
      </c>
      <c r="N327" s="5" t="s">
        <v>1127</v>
      </c>
      <c r="O327" s="5" t="s">
        <v>574</v>
      </c>
      <c r="Q327" s="10" t="s">
        <v>553</v>
      </c>
      <c r="R327" s="6"/>
      <c r="S327" s="6"/>
      <c r="T327" s="5" t="s">
        <v>777</v>
      </c>
    </row>
    <row r="328" spans="1:20" x14ac:dyDescent="0.2">
      <c r="A328" s="5">
        <v>1395</v>
      </c>
      <c r="B328" s="8" t="s">
        <v>1309</v>
      </c>
      <c r="H328" s="8" t="s">
        <v>1310</v>
      </c>
      <c r="I328" s="8" t="s">
        <v>1311</v>
      </c>
      <c r="J328" s="5">
        <f>30-30</f>
        <v>0</v>
      </c>
      <c r="K328" s="5" t="s">
        <v>292</v>
      </c>
      <c r="L328" s="5" t="s">
        <v>767</v>
      </c>
      <c r="M328" s="5">
        <v>25</v>
      </c>
      <c r="N328" s="5" t="s">
        <v>1127</v>
      </c>
      <c r="O328" s="5" t="s">
        <v>574</v>
      </c>
      <c r="Q328" s="5" t="s">
        <v>1312</v>
      </c>
      <c r="R328" s="6"/>
      <c r="S328" s="6"/>
      <c r="T328" s="5" t="s">
        <v>777</v>
      </c>
    </row>
    <row r="329" spans="1:20" x14ac:dyDescent="0.2">
      <c r="A329" s="5"/>
      <c r="B329" s="8" t="s">
        <v>1313</v>
      </c>
      <c r="I329" s="8" t="s">
        <v>1314</v>
      </c>
      <c r="J329" s="5">
        <f>6</f>
        <v>6</v>
      </c>
      <c r="K329" s="5" t="s">
        <v>292</v>
      </c>
      <c r="L329" s="5" t="s">
        <v>767</v>
      </c>
      <c r="M329" s="5">
        <v>26</v>
      </c>
      <c r="R329" s="6"/>
      <c r="S329" s="6"/>
    </row>
    <row r="330" spans="1:20" x14ac:dyDescent="0.2">
      <c r="A330" s="5"/>
      <c r="B330" s="8" t="s">
        <v>1315</v>
      </c>
      <c r="I330" s="8" t="s">
        <v>1316</v>
      </c>
      <c r="J330" s="5">
        <f>4</f>
        <v>4</v>
      </c>
      <c r="K330" s="5" t="s">
        <v>292</v>
      </c>
      <c r="L330" s="5" t="s">
        <v>767</v>
      </c>
      <c r="M330" s="5">
        <v>26</v>
      </c>
      <c r="R330" s="6"/>
      <c r="S330" s="6"/>
    </row>
    <row r="331" spans="1:20" x14ac:dyDescent="0.2">
      <c r="A331" s="5">
        <v>666</v>
      </c>
      <c r="B331" s="8" t="s">
        <v>1317</v>
      </c>
      <c r="D331" s="8" t="s">
        <v>773</v>
      </c>
      <c r="E331" s="24">
        <v>43673</v>
      </c>
      <c r="F331" s="8" t="s">
        <v>259</v>
      </c>
      <c r="G331" s="8" t="s">
        <v>375</v>
      </c>
      <c r="H331" s="8" t="s">
        <v>1318</v>
      </c>
      <c r="I331" s="8" t="s">
        <v>1319</v>
      </c>
      <c r="J331" s="5">
        <f>155+20</f>
        <v>175</v>
      </c>
      <c r="K331" s="5" t="s">
        <v>292</v>
      </c>
      <c r="L331" s="5" t="s">
        <v>767</v>
      </c>
      <c r="M331" s="5">
        <v>27</v>
      </c>
      <c r="N331" s="5" t="s">
        <v>43</v>
      </c>
      <c r="O331" s="5" t="s">
        <v>789</v>
      </c>
      <c r="Q331" s="5" t="s">
        <v>843</v>
      </c>
    </row>
    <row r="332" spans="1:20" x14ac:dyDescent="0.2">
      <c r="A332" s="5">
        <v>2396</v>
      </c>
      <c r="B332" s="8" t="s">
        <v>1320</v>
      </c>
      <c r="C332" s="8">
        <v>61301211121</v>
      </c>
      <c r="D332" s="8" t="s">
        <v>1025</v>
      </c>
      <c r="E332" s="24">
        <v>43673</v>
      </c>
      <c r="F332" s="8" t="s">
        <v>259</v>
      </c>
      <c r="G332" s="8" t="s">
        <v>276</v>
      </c>
      <c r="H332" s="8" t="s">
        <v>1321</v>
      </c>
      <c r="I332" s="8" t="s">
        <v>1322</v>
      </c>
      <c r="J332" s="5">
        <v>199</v>
      </c>
      <c r="K332" s="5" t="s">
        <v>292</v>
      </c>
      <c r="L332" s="5" t="s">
        <v>767</v>
      </c>
      <c r="M332" s="5">
        <v>27</v>
      </c>
      <c r="N332" s="5" t="s">
        <v>43</v>
      </c>
      <c r="O332" s="5" t="s">
        <v>266</v>
      </c>
      <c r="Q332" s="5" t="s">
        <v>1323</v>
      </c>
    </row>
    <row r="333" spans="1:20" x14ac:dyDescent="0.2">
      <c r="B333" s="130" t="s">
        <v>1324</v>
      </c>
      <c r="H333" s="8" t="s">
        <v>1325</v>
      </c>
      <c r="I333" s="8" t="s">
        <v>1326</v>
      </c>
      <c r="J333" s="5">
        <f>4</f>
        <v>4</v>
      </c>
      <c r="K333" s="5" t="s">
        <v>292</v>
      </c>
      <c r="L333" s="5" t="s">
        <v>767</v>
      </c>
      <c r="M333" s="5">
        <v>27</v>
      </c>
      <c r="N333" s="5" t="s">
        <v>43</v>
      </c>
      <c r="Q333" s="107" t="s">
        <v>1327</v>
      </c>
    </row>
    <row r="334" spans="1:20" x14ac:dyDescent="0.2">
      <c r="B334" s="8" t="s">
        <v>1328</v>
      </c>
      <c r="H334" s="8" t="s">
        <v>1329</v>
      </c>
      <c r="I334" s="8" t="s">
        <v>1330</v>
      </c>
      <c r="J334" s="5">
        <f>2</f>
        <v>2</v>
      </c>
      <c r="K334" s="5" t="s">
        <v>292</v>
      </c>
      <c r="L334" s="5" t="s">
        <v>767</v>
      </c>
      <c r="M334" s="5">
        <v>27</v>
      </c>
      <c r="N334" s="5" t="s">
        <v>43</v>
      </c>
      <c r="Q334" s="107" t="s">
        <v>1327</v>
      </c>
    </row>
    <row r="335" spans="1:20" x14ac:dyDescent="0.2">
      <c r="B335" s="8" t="s">
        <v>1331</v>
      </c>
      <c r="H335" s="8" t="s">
        <v>1332</v>
      </c>
      <c r="I335" s="8" t="s">
        <v>1333</v>
      </c>
      <c r="J335" s="5">
        <f>8</f>
        <v>8</v>
      </c>
      <c r="K335" s="5" t="s">
        <v>292</v>
      </c>
      <c r="L335" s="5" t="s">
        <v>767</v>
      </c>
      <c r="M335" s="5">
        <v>27</v>
      </c>
      <c r="N335" s="5" t="s">
        <v>43</v>
      </c>
      <c r="Q335" s="107" t="s">
        <v>900</v>
      </c>
      <c r="R335" s="6"/>
      <c r="S335" s="6" t="s">
        <v>328</v>
      </c>
    </row>
    <row r="336" spans="1:20" x14ac:dyDescent="0.2">
      <c r="B336" s="8" t="s">
        <v>1285</v>
      </c>
      <c r="C336" s="8" t="s">
        <v>1334</v>
      </c>
      <c r="D336" s="8" t="s">
        <v>542</v>
      </c>
      <c r="E336" s="24">
        <v>43673</v>
      </c>
      <c r="F336" s="8" t="s">
        <v>259</v>
      </c>
      <c r="G336" s="8" t="s">
        <v>276</v>
      </c>
      <c r="H336" s="8" t="s">
        <v>1335</v>
      </c>
      <c r="I336" s="8" t="s">
        <v>1336</v>
      </c>
      <c r="J336" s="5">
        <f>10</f>
        <v>10</v>
      </c>
      <c r="K336" s="5" t="s">
        <v>292</v>
      </c>
      <c r="L336" s="5" t="s">
        <v>767</v>
      </c>
      <c r="M336" s="5">
        <v>27</v>
      </c>
      <c r="N336" s="5" t="s">
        <v>43</v>
      </c>
    </row>
    <row r="337" spans="1:20" x14ac:dyDescent="0.2">
      <c r="B337" s="187">
        <v>618015233821</v>
      </c>
      <c r="I337" s="8" t="s">
        <v>1337</v>
      </c>
      <c r="J337" s="5">
        <f>100-24</f>
        <v>76</v>
      </c>
      <c r="K337" s="5" t="s">
        <v>292</v>
      </c>
      <c r="L337" s="5" t="s">
        <v>767</v>
      </c>
      <c r="M337" s="5">
        <v>27</v>
      </c>
      <c r="O337" s="5" t="s">
        <v>1338</v>
      </c>
    </row>
    <row r="338" spans="1:20" x14ac:dyDescent="0.2">
      <c r="A338" s="5">
        <v>876</v>
      </c>
      <c r="B338" s="8" t="s">
        <v>1339</v>
      </c>
      <c r="H338" s="8" t="s">
        <v>43</v>
      </c>
      <c r="I338" s="8" t="s">
        <v>1340</v>
      </c>
      <c r="J338" s="5">
        <v>9</v>
      </c>
      <c r="K338" s="5" t="s">
        <v>292</v>
      </c>
      <c r="L338" s="5" t="s">
        <v>767</v>
      </c>
      <c r="M338" s="5">
        <v>27</v>
      </c>
      <c r="N338" s="5" t="s">
        <v>43</v>
      </c>
      <c r="O338" s="5" t="s">
        <v>789</v>
      </c>
      <c r="Q338" s="5" t="s">
        <v>871</v>
      </c>
    </row>
    <row r="339" spans="1:20" x14ac:dyDescent="0.2">
      <c r="B339" s="8" t="s">
        <v>1341</v>
      </c>
      <c r="H339" s="8" t="s">
        <v>1342</v>
      </c>
      <c r="I339" s="8" t="s">
        <v>1343</v>
      </c>
      <c r="J339" s="5">
        <f>8</f>
        <v>8</v>
      </c>
      <c r="K339" s="5" t="s">
        <v>292</v>
      </c>
      <c r="L339" s="5" t="s">
        <v>767</v>
      </c>
      <c r="M339" s="5">
        <v>27</v>
      </c>
      <c r="N339" s="5" t="s">
        <v>43</v>
      </c>
      <c r="Q339" s="107" t="s">
        <v>1344</v>
      </c>
    </row>
    <row r="340" spans="1:20" x14ac:dyDescent="0.2">
      <c r="A340" s="5">
        <v>2052</v>
      </c>
      <c r="B340" s="8" t="s">
        <v>1345</v>
      </c>
      <c r="H340" s="8" t="s">
        <v>1346</v>
      </c>
      <c r="I340" s="8" t="s">
        <v>1347</v>
      </c>
      <c r="J340" s="5">
        <f>632+110-16-50-6-6-4-4-8-20-10-12-12-50-200-2+178+112-2+1767-3-2-18</f>
        <v>2374</v>
      </c>
      <c r="K340" s="5" t="s">
        <v>292</v>
      </c>
      <c r="L340" s="5" t="s">
        <v>767</v>
      </c>
      <c r="M340" s="5">
        <v>28</v>
      </c>
      <c r="N340" s="5" t="s">
        <v>1348</v>
      </c>
      <c r="O340" s="5" t="s">
        <v>574</v>
      </c>
      <c r="Q340" s="10" t="s">
        <v>553</v>
      </c>
      <c r="R340" s="6"/>
      <c r="S340" s="6" t="s">
        <v>328</v>
      </c>
      <c r="T340" s="5" t="s">
        <v>777</v>
      </c>
    </row>
    <row r="341" spans="1:20" x14ac:dyDescent="0.2">
      <c r="A341" s="5"/>
      <c r="B341" s="8" t="s">
        <v>1349</v>
      </c>
      <c r="I341" s="8" t="s">
        <v>1350</v>
      </c>
      <c r="J341" s="5">
        <f>104</f>
        <v>104</v>
      </c>
      <c r="K341" s="5" t="s">
        <v>292</v>
      </c>
      <c r="L341" s="5" t="s">
        <v>767</v>
      </c>
      <c r="M341" s="5">
        <v>28</v>
      </c>
      <c r="Q341" s="10"/>
      <c r="R341" s="6"/>
      <c r="S341" s="6"/>
    </row>
    <row r="342" spans="1:20" x14ac:dyDescent="0.2">
      <c r="A342" s="5">
        <v>2053</v>
      </c>
      <c r="B342" s="8" t="s">
        <v>1351</v>
      </c>
      <c r="H342" s="8" t="s">
        <v>1352</v>
      </c>
      <c r="I342" s="8" t="s">
        <v>1353</v>
      </c>
      <c r="J342" s="5">
        <f>374-14-8</f>
        <v>352</v>
      </c>
      <c r="K342" s="5" t="s">
        <v>292</v>
      </c>
      <c r="L342" s="5" t="s">
        <v>767</v>
      </c>
      <c r="M342" s="5">
        <v>28</v>
      </c>
      <c r="N342" s="5" t="s">
        <v>1348</v>
      </c>
      <c r="O342" s="5" t="s">
        <v>574</v>
      </c>
      <c r="Q342" s="10" t="s">
        <v>553</v>
      </c>
      <c r="R342" s="6"/>
      <c r="S342" s="6" t="s">
        <v>328</v>
      </c>
      <c r="T342" s="5" t="s">
        <v>777</v>
      </c>
    </row>
    <row r="343" spans="1:20" x14ac:dyDescent="0.2">
      <c r="A343" s="5">
        <v>2054</v>
      </c>
      <c r="B343" s="8" t="s">
        <v>1354</v>
      </c>
      <c r="H343" s="12" t="s">
        <v>1355</v>
      </c>
      <c r="I343" s="8" t="s">
        <v>1356</v>
      </c>
      <c r="J343" s="5">
        <f>186-4-12-6-2</f>
        <v>162</v>
      </c>
      <c r="K343" s="5" t="s">
        <v>292</v>
      </c>
      <c r="L343" s="5" t="s">
        <v>767</v>
      </c>
      <c r="M343" s="5">
        <v>28</v>
      </c>
      <c r="N343" s="5" t="s">
        <v>1348</v>
      </c>
      <c r="O343" s="5" t="s">
        <v>574</v>
      </c>
      <c r="Q343" s="10" t="s">
        <v>553</v>
      </c>
      <c r="R343" s="6"/>
      <c r="S343" s="6" t="s">
        <v>328</v>
      </c>
      <c r="T343" s="5" t="s">
        <v>777</v>
      </c>
    </row>
    <row r="344" spans="1:20" x14ac:dyDescent="0.2">
      <c r="A344" s="5">
        <v>2055</v>
      </c>
      <c r="B344" s="8" t="s">
        <v>1357</v>
      </c>
      <c r="H344" s="8" t="s">
        <v>1358</v>
      </c>
      <c r="I344" s="8" t="s">
        <v>1359</v>
      </c>
      <c r="J344" s="5">
        <f>1208-16</f>
        <v>1192</v>
      </c>
      <c r="K344" s="5" t="s">
        <v>292</v>
      </c>
      <c r="L344" s="5" t="s">
        <v>767</v>
      </c>
      <c r="M344" s="5">
        <v>28</v>
      </c>
      <c r="N344" s="5" t="s">
        <v>1348</v>
      </c>
      <c r="O344" s="5" t="s">
        <v>574</v>
      </c>
      <c r="Q344" s="10" t="s">
        <v>553</v>
      </c>
      <c r="R344" s="6"/>
      <c r="S344" s="6" t="s">
        <v>328</v>
      </c>
      <c r="T344" s="5" t="s">
        <v>777</v>
      </c>
    </row>
    <row r="345" spans="1:20" x14ac:dyDescent="0.2">
      <c r="A345" s="5">
        <v>2056</v>
      </c>
      <c r="B345" s="8" t="s">
        <v>1360</v>
      </c>
      <c r="H345" s="8" t="s">
        <v>1361</v>
      </c>
      <c r="I345" s="8" t="s">
        <v>1362</v>
      </c>
      <c r="J345" s="5">
        <v>302</v>
      </c>
      <c r="K345" s="5" t="s">
        <v>292</v>
      </c>
      <c r="L345" s="5" t="s">
        <v>767</v>
      </c>
      <c r="M345" s="5">
        <v>28</v>
      </c>
      <c r="N345" s="5" t="s">
        <v>1348</v>
      </c>
      <c r="O345" s="5" t="s">
        <v>574</v>
      </c>
      <c r="Q345" s="10" t="s">
        <v>553</v>
      </c>
      <c r="R345" s="6"/>
      <c r="S345" s="6" t="s">
        <v>328</v>
      </c>
      <c r="T345" s="5" t="s">
        <v>777</v>
      </c>
    </row>
    <row r="346" spans="1:20" x14ac:dyDescent="0.2">
      <c r="A346" s="5"/>
      <c r="B346" s="8" t="s">
        <v>1363</v>
      </c>
      <c r="H346" s="8" t="s">
        <v>1364</v>
      </c>
      <c r="I346" s="8" t="s">
        <v>1365</v>
      </c>
      <c r="J346" s="5">
        <f>845</f>
        <v>845</v>
      </c>
      <c r="K346" s="5" t="s">
        <v>292</v>
      </c>
      <c r="L346" s="5" t="s">
        <v>767</v>
      </c>
      <c r="M346" s="5">
        <v>28</v>
      </c>
      <c r="N346" s="5" t="s">
        <v>1348</v>
      </c>
      <c r="Q346" s="10" t="s">
        <v>553</v>
      </c>
    </row>
    <row r="347" spans="1:20" x14ac:dyDescent="0.2">
      <c r="A347" s="5">
        <v>2057</v>
      </c>
      <c r="B347" s="8" t="s">
        <v>1366</v>
      </c>
      <c r="H347" s="8" t="s">
        <v>1367</v>
      </c>
      <c r="I347" s="8" t="s">
        <v>1368</v>
      </c>
      <c r="J347" s="5">
        <f>2338-915</f>
        <v>1423</v>
      </c>
      <c r="K347" s="5" t="s">
        <v>292</v>
      </c>
      <c r="L347" s="5" t="s">
        <v>767</v>
      </c>
      <c r="M347" s="5">
        <v>28</v>
      </c>
      <c r="N347" s="5" t="s">
        <v>1348</v>
      </c>
      <c r="O347" s="5" t="s">
        <v>574</v>
      </c>
      <c r="Q347" s="10" t="s">
        <v>553</v>
      </c>
      <c r="R347" s="6"/>
      <c r="S347" s="6" t="s">
        <v>328</v>
      </c>
      <c r="T347" s="5" t="s">
        <v>777</v>
      </c>
    </row>
    <row r="348" spans="1:20" x14ac:dyDescent="0.2">
      <c r="A348" s="5">
        <v>2058</v>
      </c>
      <c r="B348" s="8" t="s">
        <v>1369</v>
      </c>
      <c r="H348" s="8" t="s">
        <v>1358</v>
      </c>
      <c r="I348" s="8" t="s">
        <v>1358</v>
      </c>
      <c r="J348" s="5">
        <f>391-2+2-47</f>
        <v>344</v>
      </c>
      <c r="K348" s="5" t="s">
        <v>292</v>
      </c>
      <c r="L348" s="5" t="s">
        <v>767</v>
      </c>
      <c r="M348" s="5">
        <v>28</v>
      </c>
      <c r="N348" s="5" t="s">
        <v>1348</v>
      </c>
      <c r="O348" s="5" t="s">
        <v>574</v>
      </c>
      <c r="Q348" s="10" t="s">
        <v>553</v>
      </c>
      <c r="R348" s="6"/>
      <c r="S348" s="6"/>
      <c r="T348" s="5" t="s">
        <v>777</v>
      </c>
    </row>
    <row r="349" spans="1:20" x14ac:dyDescent="0.2">
      <c r="A349" s="5">
        <v>306</v>
      </c>
      <c r="B349" s="8" t="s">
        <v>1370</v>
      </c>
      <c r="H349" s="8" t="s">
        <v>1371</v>
      </c>
      <c r="I349" s="8" t="s">
        <v>1371</v>
      </c>
      <c r="J349" s="5">
        <v>0</v>
      </c>
      <c r="K349" s="5" t="s">
        <v>292</v>
      </c>
      <c r="L349" s="5" t="s">
        <v>767</v>
      </c>
      <c r="M349" s="5">
        <v>29</v>
      </c>
      <c r="N349" s="5" t="s">
        <v>43</v>
      </c>
      <c r="Q349" s="5" t="s">
        <v>553</v>
      </c>
      <c r="R349" s="6"/>
      <c r="S349" s="6" t="s">
        <v>328</v>
      </c>
    </row>
    <row r="350" spans="1:20" x14ac:dyDescent="0.2">
      <c r="A350" s="5">
        <v>1402</v>
      </c>
      <c r="B350" s="8" t="s">
        <v>1372</v>
      </c>
      <c r="H350" s="8" t="s">
        <v>1373</v>
      </c>
      <c r="I350" s="8" t="s">
        <v>1373</v>
      </c>
      <c r="J350" s="5">
        <v>21</v>
      </c>
      <c r="K350" s="5" t="s">
        <v>292</v>
      </c>
      <c r="L350" s="5" t="s">
        <v>767</v>
      </c>
      <c r="M350" s="5">
        <v>29</v>
      </c>
      <c r="N350" s="5" t="s">
        <v>805</v>
      </c>
      <c r="O350" s="5" t="s">
        <v>574</v>
      </c>
      <c r="Q350" s="10" t="s">
        <v>553</v>
      </c>
      <c r="R350" s="6"/>
      <c r="S350" s="6" t="s">
        <v>1139</v>
      </c>
      <c r="T350" s="5" t="s">
        <v>777</v>
      </c>
    </row>
    <row r="351" spans="1:20" x14ac:dyDescent="0.2">
      <c r="A351" s="5">
        <v>1404</v>
      </c>
      <c r="B351" s="8" t="s">
        <v>1374</v>
      </c>
      <c r="H351" s="8" t="s">
        <v>1371</v>
      </c>
      <c r="I351" s="8" t="s">
        <v>1371</v>
      </c>
      <c r="J351" s="5">
        <v>5</v>
      </c>
      <c r="K351" s="5" t="s">
        <v>292</v>
      </c>
      <c r="L351" s="5" t="s">
        <v>767</v>
      </c>
      <c r="M351" s="5">
        <v>29</v>
      </c>
      <c r="N351" s="5" t="s">
        <v>805</v>
      </c>
      <c r="O351" s="5" t="s">
        <v>574</v>
      </c>
      <c r="Q351" s="10" t="s">
        <v>553</v>
      </c>
      <c r="R351" s="6"/>
      <c r="S351" s="6" t="s">
        <v>328</v>
      </c>
      <c r="T351" s="5" t="s">
        <v>777</v>
      </c>
    </row>
    <row r="352" spans="1:20" x14ac:dyDescent="0.2">
      <c r="A352" s="5">
        <v>1405</v>
      </c>
      <c r="B352" s="8" t="s">
        <v>1375</v>
      </c>
      <c r="H352" s="8" t="s">
        <v>1376</v>
      </c>
      <c r="I352" s="8" t="s">
        <v>1376</v>
      </c>
      <c r="J352" s="5">
        <v>4</v>
      </c>
      <c r="K352" s="5" t="s">
        <v>292</v>
      </c>
      <c r="L352" s="5" t="s">
        <v>767</v>
      </c>
      <c r="M352" s="5">
        <v>29</v>
      </c>
      <c r="N352" s="5" t="s">
        <v>805</v>
      </c>
      <c r="O352" s="5" t="s">
        <v>574</v>
      </c>
      <c r="Q352" s="10" t="s">
        <v>553</v>
      </c>
      <c r="R352" s="6"/>
      <c r="S352" s="6" t="s">
        <v>328</v>
      </c>
      <c r="T352" s="5" t="s">
        <v>777</v>
      </c>
    </row>
    <row r="353" spans="1:20" x14ac:dyDescent="0.2">
      <c r="A353" s="5">
        <v>1406</v>
      </c>
      <c r="B353" s="8" t="s">
        <v>1377</v>
      </c>
      <c r="H353" s="8" t="s">
        <v>43</v>
      </c>
      <c r="I353" s="8" t="s">
        <v>1378</v>
      </c>
      <c r="J353" s="5">
        <f>20-4</f>
        <v>16</v>
      </c>
      <c r="K353" s="5" t="s">
        <v>292</v>
      </c>
      <c r="L353" s="5" t="s">
        <v>767</v>
      </c>
      <c r="M353" s="5">
        <v>29</v>
      </c>
      <c r="N353" s="5" t="s">
        <v>805</v>
      </c>
      <c r="O353" s="5" t="s">
        <v>574</v>
      </c>
      <c r="Q353" s="10" t="s">
        <v>553</v>
      </c>
      <c r="R353" s="6"/>
      <c r="S353" s="6" t="s">
        <v>328</v>
      </c>
      <c r="T353" s="5" t="s">
        <v>777</v>
      </c>
    </row>
    <row r="354" spans="1:20" x14ac:dyDescent="0.2">
      <c r="A354" s="5">
        <v>2085</v>
      </c>
      <c r="B354" s="8" t="s">
        <v>1379</v>
      </c>
      <c r="H354" s="8" t="s">
        <v>1380</v>
      </c>
      <c r="I354" s="8" t="s">
        <v>1380</v>
      </c>
      <c r="J354" s="5">
        <v>103</v>
      </c>
      <c r="K354" s="5" t="s">
        <v>292</v>
      </c>
      <c r="L354" s="5" t="s">
        <v>767</v>
      </c>
      <c r="M354" s="5">
        <v>29</v>
      </c>
      <c r="N354" s="5" t="s">
        <v>805</v>
      </c>
      <c r="O354" s="5" t="s">
        <v>574</v>
      </c>
      <c r="Q354" s="5" t="s">
        <v>553</v>
      </c>
      <c r="T354" s="5" t="s">
        <v>777</v>
      </c>
    </row>
    <row r="355" spans="1:20" x14ac:dyDescent="0.2">
      <c r="A355" s="5">
        <v>4</v>
      </c>
      <c r="B355" s="8" t="s">
        <v>1381</v>
      </c>
      <c r="H355" s="8" t="s">
        <v>1382</v>
      </c>
      <c r="I355" s="8" t="s">
        <v>1382</v>
      </c>
      <c r="J355" s="5">
        <f>40-1</f>
        <v>39</v>
      </c>
      <c r="K355" s="5" t="s">
        <v>292</v>
      </c>
      <c r="L355" s="5" t="s">
        <v>767</v>
      </c>
      <c r="M355" s="5">
        <v>30</v>
      </c>
      <c r="N355" s="5" t="s">
        <v>43</v>
      </c>
      <c r="O355" s="5" t="s">
        <v>266</v>
      </c>
      <c r="Q355" s="5" t="s">
        <v>1383</v>
      </c>
      <c r="R355" s="5" t="s">
        <v>1384</v>
      </c>
    </row>
    <row r="356" spans="1:20" x14ac:dyDescent="0.2">
      <c r="A356" s="5">
        <v>5</v>
      </c>
      <c r="B356" s="8" t="s">
        <v>1385</v>
      </c>
      <c r="H356" s="8" t="s">
        <v>1386</v>
      </c>
      <c r="I356" s="8" t="s">
        <v>1386</v>
      </c>
      <c r="J356" s="5">
        <f>72-32</f>
        <v>40</v>
      </c>
      <c r="K356" s="5" t="s">
        <v>292</v>
      </c>
      <c r="L356" s="5" t="s">
        <v>767</v>
      </c>
      <c r="M356" s="5">
        <v>30</v>
      </c>
      <c r="N356" s="5" t="s">
        <v>43</v>
      </c>
      <c r="O356" s="5" t="s">
        <v>266</v>
      </c>
      <c r="Q356" s="5" t="s">
        <v>1387</v>
      </c>
    </row>
    <row r="357" spans="1:20" x14ac:dyDescent="0.2">
      <c r="A357" s="5">
        <v>275</v>
      </c>
      <c r="B357" s="8" t="s">
        <v>1388</v>
      </c>
      <c r="H357" s="8" t="s">
        <v>1389</v>
      </c>
      <c r="I357" s="8" t="s">
        <v>1389</v>
      </c>
      <c r="J357" s="5">
        <f>35-1-2-1-1-1-1-1-1-1-1</f>
        <v>24</v>
      </c>
      <c r="K357" s="5" t="s">
        <v>292</v>
      </c>
      <c r="L357" s="5" t="s">
        <v>767</v>
      </c>
      <c r="M357" s="5">
        <v>30</v>
      </c>
      <c r="N357" s="5" t="s">
        <v>43</v>
      </c>
      <c r="O357" s="5" t="s">
        <v>520</v>
      </c>
      <c r="Q357" s="5" t="s">
        <v>1390</v>
      </c>
    </row>
    <row r="358" spans="1:20" x14ac:dyDescent="0.2">
      <c r="A358" s="5">
        <v>322</v>
      </c>
      <c r="B358" s="8" t="s">
        <v>1391</v>
      </c>
      <c r="H358" s="8" t="s">
        <v>1392</v>
      </c>
      <c r="I358" s="8" t="s">
        <v>1392</v>
      </c>
      <c r="J358" s="5">
        <f>246-12-6-228</f>
        <v>0</v>
      </c>
      <c r="K358" s="5" t="s">
        <v>292</v>
      </c>
      <c r="L358" s="5" t="s">
        <v>767</v>
      </c>
      <c r="M358" s="5">
        <v>30</v>
      </c>
      <c r="N358" s="5" t="s">
        <v>43</v>
      </c>
      <c r="O358" s="5" t="s">
        <v>266</v>
      </c>
      <c r="Q358" s="5" t="s">
        <v>1390</v>
      </c>
    </row>
    <row r="359" spans="1:20" x14ac:dyDescent="0.2">
      <c r="A359" s="5"/>
      <c r="B359" s="8" t="s">
        <v>1393</v>
      </c>
      <c r="H359" s="8" t="s">
        <v>1392</v>
      </c>
      <c r="I359" s="8" t="s">
        <v>1392</v>
      </c>
      <c r="J359" s="5">
        <f>100+228-6-6-4-6-6-6-2</f>
        <v>292</v>
      </c>
      <c r="K359" s="5" t="s">
        <v>292</v>
      </c>
      <c r="L359" s="5" t="s">
        <v>767</v>
      </c>
      <c r="M359" s="5">
        <v>30</v>
      </c>
      <c r="N359" s="5" t="s">
        <v>43</v>
      </c>
      <c r="Q359" s="5" t="s">
        <v>1394</v>
      </c>
      <c r="R359" s="6"/>
      <c r="S359" s="6"/>
    </row>
    <row r="360" spans="1:20" x14ac:dyDescent="0.2">
      <c r="A360" s="5">
        <v>1407</v>
      </c>
      <c r="B360" s="8" t="s">
        <v>1395</v>
      </c>
      <c r="H360" s="8" t="s">
        <v>1396</v>
      </c>
      <c r="I360" s="8" t="s">
        <v>1396</v>
      </c>
      <c r="J360" s="5">
        <v>3</v>
      </c>
      <c r="K360" s="5" t="s">
        <v>292</v>
      </c>
      <c r="L360" s="5" t="s">
        <v>767</v>
      </c>
      <c r="M360" s="5">
        <v>30</v>
      </c>
      <c r="N360" s="5" t="s">
        <v>805</v>
      </c>
      <c r="O360" s="5" t="s">
        <v>574</v>
      </c>
      <c r="Q360" s="10" t="s">
        <v>1397</v>
      </c>
      <c r="S360" s="5" t="s">
        <v>328</v>
      </c>
      <c r="T360" s="5" t="s">
        <v>777</v>
      </c>
    </row>
    <row r="361" spans="1:20" x14ac:dyDescent="0.2">
      <c r="A361" s="5">
        <v>428</v>
      </c>
      <c r="B361" s="8" t="s">
        <v>1398</v>
      </c>
      <c r="H361" s="8" t="s">
        <v>1399</v>
      </c>
      <c r="I361" s="8" t="s">
        <v>1399</v>
      </c>
      <c r="J361" s="5">
        <f>46-1-8-2-2-1-10-8-1-10</f>
        <v>3</v>
      </c>
      <c r="K361" s="5" t="s">
        <v>292</v>
      </c>
      <c r="L361" s="5" t="s">
        <v>767</v>
      </c>
      <c r="M361" s="5">
        <v>31</v>
      </c>
      <c r="N361" s="5" t="s">
        <v>43</v>
      </c>
      <c r="O361" s="5" t="s">
        <v>789</v>
      </c>
      <c r="Q361" s="10" t="s">
        <v>553</v>
      </c>
      <c r="S361" s="5" t="s">
        <v>328</v>
      </c>
    </row>
    <row r="362" spans="1:20" x14ac:dyDescent="0.2">
      <c r="A362" s="5">
        <v>429</v>
      </c>
      <c r="B362" s="8" t="s">
        <v>1400</v>
      </c>
      <c r="H362" s="8" t="s">
        <v>1401</v>
      </c>
      <c r="I362" s="8" t="s">
        <v>1402</v>
      </c>
      <c r="J362" s="5">
        <f>25-10</f>
        <v>15</v>
      </c>
      <c r="K362" s="5" t="s">
        <v>292</v>
      </c>
      <c r="L362" s="5" t="s">
        <v>767</v>
      </c>
      <c r="M362" s="5">
        <v>31</v>
      </c>
      <c r="N362" s="5" t="s">
        <v>43</v>
      </c>
      <c r="O362" s="5" t="s">
        <v>789</v>
      </c>
      <c r="Q362" s="10" t="s">
        <v>553</v>
      </c>
      <c r="S362" s="5" t="s">
        <v>328</v>
      </c>
    </row>
    <row r="363" spans="1:20" x14ac:dyDescent="0.2">
      <c r="A363" s="5">
        <v>430</v>
      </c>
      <c r="B363" s="8" t="s">
        <v>1403</v>
      </c>
      <c r="H363" s="8" t="s">
        <v>1404</v>
      </c>
      <c r="I363" s="8" t="s">
        <v>1405</v>
      </c>
      <c r="J363" s="5">
        <v>67</v>
      </c>
      <c r="K363" s="5" t="s">
        <v>292</v>
      </c>
      <c r="L363" s="5" t="s">
        <v>767</v>
      </c>
      <c r="M363" s="5">
        <v>31</v>
      </c>
      <c r="N363" s="5" t="s">
        <v>877</v>
      </c>
      <c r="O363" s="5" t="s">
        <v>789</v>
      </c>
      <c r="Q363" s="10" t="s">
        <v>553</v>
      </c>
      <c r="S363" s="5" t="s">
        <v>328</v>
      </c>
    </row>
    <row r="364" spans="1:20" x14ac:dyDescent="0.2">
      <c r="A364" s="5">
        <v>431</v>
      </c>
      <c r="B364" s="8" t="s">
        <v>1406</v>
      </c>
      <c r="H364" s="8" t="s">
        <v>1407</v>
      </c>
      <c r="I364" s="8" t="s">
        <v>1407</v>
      </c>
      <c r="J364" s="5">
        <f>175-1-8-10-1-1-7-1-10</f>
        <v>136</v>
      </c>
      <c r="K364" s="5" t="s">
        <v>292</v>
      </c>
      <c r="L364" s="5" t="s">
        <v>767</v>
      </c>
      <c r="M364" s="5">
        <v>31</v>
      </c>
      <c r="N364" s="5" t="s">
        <v>877</v>
      </c>
      <c r="O364" s="5" t="s">
        <v>789</v>
      </c>
      <c r="Q364" s="10" t="s">
        <v>553</v>
      </c>
      <c r="S364" s="5" t="s">
        <v>852</v>
      </c>
    </row>
    <row r="365" spans="1:20" x14ac:dyDescent="0.2">
      <c r="B365" s="8" t="s">
        <v>1408</v>
      </c>
      <c r="C365" s="34"/>
      <c r="H365" s="8" t="s">
        <v>1409</v>
      </c>
      <c r="I365" s="8" t="s">
        <v>1409</v>
      </c>
      <c r="J365" s="5">
        <f>4</f>
        <v>4</v>
      </c>
      <c r="K365" s="5" t="s">
        <v>292</v>
      </c>
      <c r="L365" s="5" t="s">
        <v>767</v>
      </c>
      <c r="M365" s="5">
        <v>31</v>
      </c>
      <c r="N365" s="5" t="s">
        <v>43</v>
      </c>
      <c r="O365" s="5" t="s">
        <v>789</v>
      </c>
      <c r="S365" s="5" t="s">
        <v>852</v>
      </c>
    </row>
    <row r="366" spans="1:20" x14ac:dyDescent="0.2">
      <c r="B366" s="8" t="s">
        <v>1410</v>
      </c>
      <c r="H366" s="8" t="s">
        <v>1411</v>
      </c>
      <c r="I366" s="8" t="s">
        <v>1411</v>
      </c>
      <c r="J366" s="5">
        <f>6</f>
        <v>6</v>
      </c>
      <c r="K366" s="5" t="s">
        <v>292</v>
      </c>
      <c r="L366" s="5" t="s">
        <v>767</v>
      </c>
      <c r="M366" s="5">
        <v>31</v>
      </c>
      <c r="N366" s="5" t="s">
        <v>43</v>
      </c>
      <c r="O366" s="5" t="s">
        <v>789</v>
      </c>
    </row>
    <row r="367" spans="1:20" x14ac:dyDescent="0.2">
      <c r="A367" s="5">
        <v>432</v>
      </c>
      <c r="B367" s="8">
        <v>9733000</v>
      </c>
      <c r="C367" s="34"/>
      <c r="H367" s="8" t="s">
        <v>1412</v>
      </c>
      <c r="I367" s="8" t="s">
        <v>1412</v>
      </c>
      <c r="J367" s="5">
        <f>835-12</f>
        <v>823</v>
      </c>
      <c r="K367" s="5" t="s">
        <v>292</v>
      </c>
      <c r="L367" s="5" t="s">
        <v>767</v>
      </c>
      <c r="M367" s="5">
        <v>32</v>
      </c>
      <c r="N367" s="5" t="s">
        <v>877</v>
      </c>
      <c r="O367" s="5" t="s">
        <v>789</v>
      </c>
      <c r="Q367" s="10" t="s">
        <v>1413</v>
      </c>
    </row>
    <row r="368" spans="1:20" x14ac:dyDescent="0.2">
      <c r="A368" s="5"/>
      <c r="B368" s="8" t="s">
        <v>1414</v>
      </c>
      <c r="H368" s="8" t="s">
        <v>1415</v>
      </c>
      <c r="I368" s="8" t="s">
        <v>1415</v>
      </c>
      <c r="J368" s="5">
        <f>1</f>
        <v>1</v>
      </c>
      <c r="K368" s="5" t="s">
        <v>21</v>
      </c>
      <c r="L368" s="5" t="s">
        <v>767</v>
      </c>
      <c r="M368" s="5">
        <v>32</v>
      </c>
      <c r="Q368" s="5" t="s">
        <v>1416</v>
      </c>
    </row>
    <row r="369" spans="1:19" x14ac:dyDescent="0.2">
      <c r="A369" s="5">
        <v>340</v>
      </c>
      <c r="B369" s="34">
        <v>61204022821</v>
      </c>
      <c r="H369" s="8" t="s">
        <v>1417</v>
      </c>
      <c r="I369" s="8" t="s">
        <v>1417</v>
      </c>
      <c r="J369" s="5">
        <f>87-20+10-1+32</f>
        <v>108</v>
      </c>
      <c r="K369" s="5" t="s">
        <v>292</v>
      </c>
      <c r="L369" s="5" t="s">
        <v>767</v>
      </c>
      <c r="M369" s="5">
        <v>33</v>
      </c>
      <c r="N369" s="5" t="s">
        <v>1418</v>
      </c>
      <c r="Q369" s="5" t="s">
        <v>1419</v>
      </c>
      <c r="S369" s="5" t="s">
        <v>328</v>
      </c>
    </row>
    <row r="370" spans="1:19" x14ac:dyDescent="0.2">
      <c r="A370" s="5">
        <v>433</v>
      </c>
      <c r="B370" s="34" t="s">
        <v>1420</v>
      </c>
      <c r="H370" s="8" t="s">
        <v>1421</v>
      </c>
      <c r="I370" s="8" t="s">
        <v>1421</v>
      </c>
      <c r="J370" s="5">
        <f>100</f>
        <v>100</v>
      </c>
      <c r="K370" s="5" t="s">
        <v>292</v>
      </c>
      <c r="L370" s="5" t="s">
        <v>767</v>
      </c>
      <c r="M370" s="5">
        <v>33</v>
      </c>
      <c r="N370" s="5" t="s">
        <v>877</v>
      </c>
      <c r="O370" s="5" t="s">
        <v>789</v>
      </c>
      <c r="Q370" s="10" t="s">
        <v>553</v>
      </c>
      <c r="S370" s="5" t="s">
        <v>328</v>
      </c>
    </row>
    <row r="371" spans="1:19" x14ac:dyDescent="0.2">
      <c r="A371" s="5"/>
      <c r="B371" s="34">
        <v>613032243121</v>
      </c>
      <c r="I371" s="8" t="s">
        <v>1422</v>
      </c>
      <c r="J371" s="5">
        <f>39</f>
        <v>39</v>
      </c>
      <c r="K371" s="5" t="s">
        <v>292</v>
      </c>
      <c r="L371" s="5" t="s">
        <v>767</v>
      </c>
      <c r="M371" s="5">
        <v>33</v>
      </c>
      <c r="Q371" s="10"/>
    </row>
    <row r="372" spans="1:19" x14ac:dyDescent="0.2">
      <c r="A372" s="5">
        <v>434</v>
      </c>
      <c r="B372" s="8" t="s">
        <v>1423</v>
      </c>
      <c r="H372" s="8" t="s">
        <v>1423</v>
      </c>
      <c r="I372" s="8" t="s">
        <v>1424</v>
      </c>
      <c r="J372" s="5">
        <f>33</f>
        <v>33</v>
      </c>
      <c r="K372" s="5" t="s">
        <v>292</v>
      </c>
      <c r="L372" s="5" t="s">
        <v>767</v>
      </c>
      <c r="M372" s="5">
        <v>33</v>
      </c>
      <c r="N372" s="5" t="s">
        <v>43</v>
      </c>
      <c r="O372" s="5" t="s">
        <v>789</v>
      </c>
      <c r="Q372" s="10" t="s">
        <v>553</v>
      </c>
      <c r="S372" s="5" t="s">
        <v>328</v>
      </c>
    </row>
    <row r="373" spans="1:19" x14ac:dyDescent="0.2">
      <c r="A373" s="5">
        <v>435</v>
      </c>
      <c r="B373" s="11" t="s">
        <v>1425</v>
      </c>
      <c r="H373" s="8" t="s">
        <v>1426</v>
      </c>
      <c r="I373" s="8" t="s">
        <v>1427</v>
      </c>
      <c r="J373" s="5">
        <f>228-9-3-22-3-3-6-4-3-2-8-100-8+25+100-8-102-1+540-5-10</f>
        <v>596</v>
      </c>
      <c r="K373" s="5" t="s">
        <v>292</v>
      </c>
      <c r="L373" s="5" t="s">
        <v>767</v>
      </c>
      <c r="M373" s="5">
        <v>33</v>
      </c>
      <c r="N373" s="5" t="s">
        <v>1021</v>
      </c>
      <c r="O373" s="5" t="s">
        <v>789</v>
      </c>
      <c r="Q373" s="10" t="s">
        <v>553</v>
      </c>
      <c r="S373" s="5" t="s">
        <v>328</v>
      </c>
    </row>
    <row r="374" spans="1:19" x14ac:dyDescent="0.2">
      <c r="A374" s="5">
        <v>436</v>
      </c>
      <c r="H374" s="8" t="s">
        <v>1428</v>
      </c>
      <c r="I374" s="8" t="s">
        <v>1429</v>
      </c>
      <c r="J374" s="5">
        <f>346-1-6-22-32+29-2-3-3-8-1-1-3-8-4-50-1-5</f>
        <v>225</v>
      </c>
      <c r="K374" s="5" t="s">
        <v>292</v>
      </c>
      <c r="L374" s="5" t="s">
        <v>767</v>
      </c>
      <c r="M374" s="5">
        <v>33</v>
      </c>
      <c r="N374" s="5" t="s">
        <v>43</v>
      </c>
      <c r="O374" s="5" t="s">
        <v>789</v>
      </c>
      <c r="Q374" s="10" t="s">
        <v>553</v>
      </c>
    </row>
    <row r="375" spans="1:19" x14ac:dyDescent="0.2">
      <c r="A375" s="5"/>
      <c r="B375" s="8">
        <v>61205022821</v>
      </c>
      <c r="I375" s="8" t="s">
        <v>1430</v>
      </c>
      <c r="J375" s="5">
        <f>438-10</f>
        <v>428</v>
      </c>
      <c r="K375" s="5" t="s">
        <v>292</v>
      </c>
      <c r="L375" s="5" t="s">
        <v>767</v>
      </c>
      <c r="M375" s="5">
        <v>33</v>
      </c>
      <c r="Q375" s="10"/>
    </row>
    <row r="376" spans="1:19" x14ac:dyDescent="0.2">
      <c r="A376" s="5"/>
      <c r="B376" s="8" t="s">
        <v>1431</v>
      </c>
      <c r="H376" s="8" t="s">
        <v>1432</v>
      </c>
      <c r="I376" s="8" t="s">
        <v>1433</v>
      </c>
      <c r="J376" s="5">
        <f>21</f>
        <v>21</v>
      </c>
      <c r="K376" s="5" t="s">
        <v>292</v>
      </c>
      <c r="L376" s="5" t="s">
        <v>767</v>
      </c>
      <c r="M376" s="5">
        <v>33</v>
      </c>
      <c r="Q376" s="10"/>
    </row>
    <row r="377" spans="1:19" x14ac:dyDescent="0.2">
      <c r="A377" s="5"/>
      <c r="B377" s="8" t="s">
        <v>1434</v>
      </c>
      <c r="I377" s="8" t="s">
        <v>1435</v>
      </c>
      <c r="J377" s="5">
        <f>100-8</f>
        <v>92</v>
      </c>
      <c r="K377" s="5" t="s">
        <v>292</v>
      </c>
      <c r="L377" s="5" t="s">
        <v>767</v>
      </c>
      <c r="M377" s="5">
        <v>34</v>
      </c>
      <c r="Q377" s="10"/>
    </row>
    <row r="378" spans="1:19" x14ac:dyDescent="0.2">
      <c r="A378" s="5"/>
      <c r="B378" s="8" t="s">
        <v>1436</v>
      </c>
      <c r="I378" s="8" t="s">
        <v>1437</v>
      </c>
      <c r="J378" s="5">
        <f>8</f>
        <v>8</v>
      </c>
      <c r="K378" s="5" t="s">
        <v>292</v>
      </c>
      <c r="L378" s="5" t="s">
        <v>767</v>
      </c>
      <c r="M378" s="5">
        <v>34</v>
      </c>
      <c r="Q378" s="10"/>
    </row>
    <row r="379" spans="1:19" x14ac:dyDescent="0.2">
      <c r="A379" s="5"/>
      <c r="B379" s="8" t="s">
        <v>1438</v>
      </c>
      <c r="I379" s="8" t="s">
        <v>1439</v>
      </c>
      <c r="J379" s="5">
        <f>300-60</f>
        <v>240</v>
      </c>
      <c r="K379" s="5" t="s">
        <v>292</v>
      </c>
      <c r="L379" s="5" t="s">
        <v>767</v>
      </c>
      <c r="M379" s="5">
        <v>34</v>
      </c>
      <c r="Q379" s="10"/>
    </row>
    <row r="380" spans="1:19" x14ac:dyDescent="0.2">
      <c r="A380" s="5">
        <v>438</v>
      </c>
      <c r="B380" s="8" t="s">
        <v>1440</v>
      </c>
      <c r="C380" s="34"/>
      <c r="H380" s="8" t="s">
        <v>1441</v>
      </c>
      <c r="I380" s="8" t="s">
        <v>1442</v>
      </c>
      <c r="J380" s="5">
        <f>25-5-3</f>
        <v>17</v>
      </c>
      <c r="K380" s="5" t="s">
        <v>292</v>
      </c>
      <c r="L380" s="5" t="s">
        <v>767</v>
      </c>
      <c r="M380" s="5">
        <v>34</v>
      </c>
      <c r="N380" s="5" t="s">
        <v>43</v>
      </c>
      <c r="O380" s="5" t="s">
        <v>789</v>
      </c>
      <c r="Q380" s="35" t="s">
        <v>553</v>
      </c>
      <c r="S380" s="5" t="s">
        <v>328</v>
      </c>
    </row>
    <row r="381" spans="1:19" x14ac:dyDescent="0.2">
      <c r="A381" s="5"/>
      <c r="B381" s="8" t="s">
        <v>1443</v>
      </c>
      <c r="C381" s="34"/>
      <c r="I381" s="8" t="s">
        <v>1444</v>
      </c>
      <c r="J381" s="5">
        <f>100-4-8-8-1-10</f>
        <v>69</v>
      </c>
      <c r="K381" s="5" t="s">
        <v>292</v>
      </c>
      <c r="L381" s="5" t="s">
        <v>767</v>
      </c>
      <c r="M381" s="5">
        <v>34</v>
      </c>
      <c r="Q381" s="35"/>
    </row>
    <row r="382" spans="1:19" x14ac:dyDescent="0.2">
      <c r="A382" s="5">
        <v>439</v>
      </c>
      <c r="B382" s="8" t="s">
        <v>1445</v>
      </c>
      <c r="H382" s="8" t="s">
        <v>1446</v>
      </c>
      <c r="I382" s="8" t="s">
        <v>1447</v>
      </c>
      <c r="J382" s="5">
        <f>57-2-4-24+2-20+11</f>
        <v>20</v>
      </c>
      <c r="K382" s="5" t="s">
        <v>292</v>
      </c>
      <c r="L382" s="5" t="s">
        <v>767</v>
      </c>
      <c r="M382" s="5">
        <v>34</v>
      </c>
      <c r="N382" s="5" t="s">
        <v>43</v>
      </c>
      <c r="O382" s="5" t="s">
        <v>789</v>
      </c>
      <c r="Q382" s="10" t="s">
        <v>553</v>
      </c>
      <c r="S382" s="5" t="s">
        <v>328</v>
      </c>
    </row>
    <row r="383" spans="1:19" x14ac:dyDescent="0.2">
      <c r="A383" s="5">
        <v>440</v>
      </c>
      <c r="B383" s="8" t="s">
        <v>1448</v>
      </c>
      <c r="H383" s="8" t="s">
        <v>1449</v>
      </c>
      <c r="I383" s="8" t="s">
        <v>1449</v>
      </c>
      <c r="J383" s="5">
        <v>44</v>
      </c>
      <c r="K383" s="5" t="s">
        <v>292</v>
      </c>
      <c r="L383" s="5" t="s">
        <v>767</v>
      </c>
      <c r="M383" s="5">
        <v>34</v>
      </c>
      <c r="N383" s="5" t="s">
        <v>43</v>
      </c>
      <c r="O383" s="5" t="s">
        <v>789</v>
      </c>
      <c r="Q383" s="10" t="s">
        <v>553</v>
      </c>
      <c r="S383" s="5" t="s">
        <v>328</v>
      </c>
    </row>
    <row r="384" spans="1:19" x14ac:dyDescent="0.2">
      <c r="A384" s="5">
        <v>441</v>
      </c>
      <c r="B384" s="8" t="s">
        <v>1450</v>
      </c>
      <c r="C384" s="34"/>
      <c r="H384" s="8" t="s">
        <v>1451</v>
      </c>
      <c r="I384" s="8" t="s">
        <v>1451</v>
      </c>
      <c r="J384" s="5">
        <v>12</v>
      </c>
      <c r="K384" s="5" t="s">
        <v>292</v>
      </c>
      <c r="L384" s="5" t="s">
        <v>767</v>
      </c>
      <c r="M384" s="5">
        <v>34</v>
      </c>
      <c r="N384" s="5" t="s">
        <v>43</v>
      </c>
      <c r="O384" s="5" t="s">
        <v>789</v>
      </c>
      <c r="Q384" s="10" t="s">
        <v>553</v>
      </c>
      <c r="S384" s="5" t="s">
        <v>328</v>
      </c>
    </row>
    <row r="385" spans="1:20" x14ac:dyDescent="0.2">
      <c r="A385" s="5">
        <v>442</v>
      </c>
      <c r="B385" s="8" t="s">
        <v>1452</v>
      </c>
      <c r="H385" s="8" t="s">
        <v>1453</v>
      </c>
      <c r="I385" s="8" t="s">
        <v>1453</v>
      </c>
      <c r="J385" s="5">
        <f>10-10</f>
        <v>0</v>
      </c>
      <c r="K385" s="5" t="s">
        <v>292</v>
      </c>
      <c r="L385" s="5" t="s">
        <v>767</v>
      </c>
      <c r="M385" s="5">
        <v>34</v>
      </c>
      <c r="N385" s="5" t="s">
        <v>43</v>
      </c>
      <c r="O385" s="5" t="s">
        <v>789</v>
      </c>
      <c r="Q385" s="10" t="s">
        <v>553</v>
      </c>
      <c r="S385" s="5" t="s">
        <v>328</v>
      </c>
    </row>
    <row r="386" spans="1:20" x14ac:dyDescent="0.2">
      <c r="A386" s="5">
        <v>443</v>
      </c>
      <c r="B386" s="8" t="s">
        <v>1454</v>
      </c>
      <c r="H386" s="8" t="s">
        <v>1455</v>
      </c>
      <c r="I386" s="8" t="s">
        <v>1456</v>
      </c>
      <c r="J386" s="5">
        <v>53</v>
      </c>
      <c r="K386" s="5" t="s">
        <v>292</v>
      </c>
      <c r="L386" s="5" t="s">
        <v>767</v>
      </c>
      <c r="M386" s="5">
        <v>34</v>
      </c>
      <c r="N386" s="5" t="s">
        <v>43</v>
      </c>
      <c r="O386" s="5" t="s">
        <v>789</v>
      </c>
      <c r="Q386" s="10" t="s">
        <v>553</v>
      </c>
      <c r="S386" s="5" t="s">
        <v>328</v>
      </c>
    </row>
    <row r="387" spans="1:20" x14ac:dyDescent="0.2">
      <c r="A387" s="5">
        <v>444</v>
      </c>
      <c r="B387" s="8" t="s">
        <v>1457</v>
      </c>
      <c r="H387" s="8" t="s">
        <v>1458</v>
      </c>
      <c r="I387" s="8" t="s">
        <v>1458</v>
      </c>
      <c r="J387" s="5">
        <v>1</v>
      </c>
      <c r="K387" s="5" t="s">
        <v>292</v>
      </c>
      <c r="L387" s="5" t="s">
        <v>767</v>
      </c>
      <c r="M387" s="5">
        <v>34</v>
      </c>
      <c r="N387" s="5" t="s">
        <v>43</v>
      </c>
      <c r="O387" s="5" t="s">
        <v>789</v>
      </c>
      <c r="Q387" s="10" t="s">
        <v>553</v>
      </c>
      <c r="S387" s="5" t="s">
        <v>328</v>
      </c>
    </row>
    <row r="388" spans="1:20" x14ac:dyDescent="0.2">
      <c r="A388" s="5">
        <v>445</v>
      </c>
      <c r="B388" s="8" t="s">
        <v>1459</v>
      </c>
      <c r="C388" s="8" t="s">
        <v>1460</v>
      </c>
      <c r="D388" s="8" t="s">
        <v>542</v>
      </c>
      <c r="E388" s="24">
        <v>43673</v>
      </c>
      <c r="F388" s="8" t="s">
        <v>259</v>
      </c>
      <c r="G388" s="8" t="s">
        <v>276</v>
      </c>
      <c r="H388" s="8" t="s">
        <v>1461</v>
      </c>
      <c r="I388" s="8" t="s">
        <v>1462</v>
      </c>
      <c r="J388" s="5">
        <v>9</v>
      </c>
      <c r="K388" s="5" t="s">
        <v>292</v>
      </c>
      <c r="L388" s="5" t="s">
        <v>767</v>
      </c>
      <c r="M388" s="5">
        <v>34</v>
      </c>
      <c r="N388" s="5" t="s">
        <v>43</v>
      </c>
      <c r="O388" s="5" t="s">
        <v>789</v>
      </c>
      <c r="Q388" s="10" t="s">
        <v>553</v>
      </c>
      <c r="S388" s="5" t="s">
        <v>328</v>
      </c>
    </row>
    <row r="389" spans="1:20" x14ac:dyDescent="0.2">
      <c r="A389" s="5">
        <v>446</v>
      </c>
      <c r="B389" s="8" t="s">
        <v>1463</v>
      </c>
      <c r="C389" s="34"/>
      <c r="H389" s="8" t="s">
        <v>1462</v>
      </c>
      <c r="I389" s="8" t="s">
        <v>1462</v>
      </c>
      <c r="J389" s="5">
        <v>35</v>
      </c>
      <c r="K389" s="5" t="s">
        <v>292</v>
      </c>
      <c r="L389" s="5" t="s">
        <v>767</v>
      </c>
      <c r="M389" s="5">
        <v>34</v>
      </c>
      <c r="N389" s="5" t="s">
        <v>43</v>
      </c>
      <c r="O389" s="5" t="s">
        <v>789</v>
      </c>
      <c r="Q389" s="10" t="s">
        <v>553</v>
      </c>
      <c r="S389" s="5" t="s">
        <v>328</v>
      </c>
    </row>
    <row r="390" spans="1:20" x14ac:dyDescent="0.2">
      <c r="A390" s="5">
        <v>447</v>
      </c>
      <c r="B390" s="34" t="s">
        <v>1464</v>
      </c>
      <c r="H390" s="8" t="s">
        <v>1465</v>
      </c>
      <c r="I390" s="8" t="s">
        <v>1465</v>
      </c>
      <c r="J390" s="5">
        <v>97</v>
      </c>
      <c r="K390" s="5" t="s">
        <v>292</v>
      </c>
      <c r="L390" s="5" t="s">
        <v>767</v>
      </c>
      <c r="M390" s="5">
        <v>34</v>
      </c>
      <c r="N390" s="5" t="s">
        <v>43</v>
      </c>
      <c r="O390" s="5" t="s">
        <v>789</v>
      </c>
      <c r="Q390" s="10" t="s">
        <v>553</v>
      </c>
      <c r="S390" s="5" t="s">
        <v>328</v>
      </c>
    </row>
    <row r="391" spans="1:20" x14ac:dyDescent="0.2">
      <c r="A391" s="5">
        <v>448</v>
      </c>
      <c r="B391" s="8" t="s">
        <v>1466</v>
      </c>
      <c r="H391" s="8" t="s">
        <v>1467</v>
      </c>
      <c r="I391" s="8" t="s">
        <v>1467</v>
      </c>
      <c r="J391" s="5">
        <v>99</v>
      </c>
      <c r="K391" s="5" t="s">
        <v>292</v>
      </c>
      <c r="L391" s="5" t="s">
        <v>767</v>
      </c>
      <c r="M391" s="5">
        <v>34</v>
      </c>
      <c r="N391" s="5" t="s">
        <v>43</v>
      </c>
      <c r="O391" s="5" t="s">
        <v>789</v>
      </c>
      <c r="Q391" s="10" t="s">
        <v>553</v>
      </c>
      <c r="S391" s="5" t="s">
        <v>328</v>
      </c>
    </row>
    <row r="392" spans="1:20" x14ac:dyDescent="0.2">
      <c r="A392" s="5">
        <v>449</v>
      </c>
      <c r="B392" s="8" t="s">
        <v>1468</v>
      </c>
      <c r="H392" s="8" t="s">
        <v>1469</v>
      </c>
      <c r="I392" s="8" t="s">
        <v>1469</v>
      </c>
      <c r="J392" s="5">
        <v>0</v>
      </c>
      <c r="K392" s="5" t="s">
        <v>292</v>
      </c>
      <c r="L392" s="5" t="s">
        <v>767</v>
      </c>
      <c r="M392" s="5">
        <v>34</v>
      </c>
      <c r="N392" s="5" t="s">
        <v>43</v>
      </c>
      <c r="O392" s="5" t="s">
        <v>789</v>
      </c>
      <c r="Q392" s="10" t="s">
        <v>553</v>
      </c>
      <c r="S392" s="5" t="s">
        <v>328</v>
      </c>
    </row>
    <row r="393" spans="1:20" x14ac:dyDescent="0.2">
      <c r="A393" s="5">
        <v>450</v>
      </c>
      <c r="B393" s="8" t="s">
        <v>1470</v>
      </c>
      <c r="H393" s="8" t="s">
        <v>1471</v>
      </c>
      <c r="I393" s="8" t="s">
        <v>1471</v>
      </c>
      <c r="J393" s="5">
        <v>26</v>
      </c>
      <c r="K393" s="5" t="s">
        <v>292</v>
      </c>
      <c r="L393" s="5" t="s">
        <v>767</v>
      </c>
      <c r="M393" s="5">
        <v>34</v>
      </c>
      <c r="N393" s="5" t="s">
        <v>43</v>
      </c>
      <c r="O393" s="5" t="s">
        <v>789</v>
      </c>
      <c r="Q393" s="10" t="s">
        <v>553</v>
      </c>
      <c r="S393" s="5" t="s">
        <v>328</v>
      </c>
    </row>
    <row r="394" spans="1:20" x14ac:dyDescent="0.2">
      <c r="A394" s="5">
        <v>451</v>
      </c>
      <c r="B394" s="8" t="s">
        <v>1472</v>
      </c>
      <c r="H394" s="8" t="s">
        <v>1473</v>
      </c>
      <c r="I394" s="8" t="s">
        <v>1473</v>
      </c>
      <c r="J394" s="5">
        <v>5</v>
      </c>
      <c r="K394" s="5" t="s">
        <v>292</v>
      </c>
      <c r="L394" s="5" t="s">
        <v>767</v>
      </c>
      <c r="M394" s="5">
        <v>34</v>
      </c>
      <c r="N394" s="5" t="s">
        <v>43</v>
      </c>
      <c r="O394" s="5" t="s">
        <v>789</v>
      </c>
      <c r="Q394" s="10" t="s">
        <v>553</v>
      </c>
    </row>
    <row r="395" spans="1:20" x14ac:dyDescent="0.2">
      <c r="A395" s="5">
        <v>485</v>
      </c>
      <c r="B395" s="8" t="s">
        <v>1474</v>
      </c>
      <c r="C395" s="8" t="s">
        <v>1475</v>
      </c>
      <c r="D395" s="8" t="s">
        <v>914</v>
      </c>
      <c r="E395" s="24">
        <v>43673</v>
      </c>
      <c r="F395" s="8" t="s">
        <v>259</v>
      </c>
      <c r="G395" s="8" t="s">
        <v>375</v>
      </c>
      <c r="H395" s="8" t="s">
        <v>1476</v>
      </c>
      <c r="I395" s="8" t="s">
        <v>1477</v>
      </c>
      <c r="J395" s="5">
        <f>132-8-3+1-10-2-8-1-1-5+100-15+3-3-10+3-10-2-1</f>
        <v>160</v>
      </c>
      <c r="K395" s="5" t="s">
        <v>292</v>
      </c>
      <c r="L395" s="5" t="s">
        <v>767</v>
      </c>
      <c r="M395" s="5">
        <v>34</v>
      </c>
      <c r="N395" s="5" t="s">
        <v>43</v>
      </c>
      <c r="O395" s="5" t="s">
        <v>789</v>
      </c>
      <c r="Q395" s="10" t="s">
        <v>1478</v>
      </c>
      <c r="R395" s="6"/>
      <c r="S395" s="6" t="s">
        <v>1139</v>
      </c>
    </row>
    <row r="396" spans="1:20" x14ac:dyDescent="0.2">
      <c r="A396" s="5">
        <v>1401</v>
      </c>
      <c r="B396" s="8" t="s">
        <v>1479</v>
      </c>
      <c r="C396" s="8" t="s">
        <v>1475</v>
      </c>
      <c r="D396" s="8" t="s">
        <v>914</v>
      </c>
      <c r="E396" s="24">
        <v>43673</v>
      </c>
      <c r="F396" s="8" t="s">
        <v>259</v>
      </c>
      <c r="G396" s="8" t="s">
        <v>375</v>
      </c>
      <c r="H396" s="8" t="s">
        <v>1476</v>
      </c>
      <c r="I396" s="8" t="s">
        <v>1480</v>
      </c>
      <c r="J396" s="5">
        <v>0</v>
      </c>
      <c r="K396" s="5" t="s">
        <v>292</v>
      </c>
      <c r="L396" s="5" t="s">
        <v>767</v>
      </c>
      <c r="M396" s="5">
        <v>34</v>
      </c>
      <c r="N396" s="5" t="s">
        <v>805</v>
      </c>
      <c r="O396" s="5" t="s">
        <v>574</v>
      </c>
      <c r="Q396" s="10" t="s">
        <v>553</v>
      </c>
      <c r="T396" s="5" t="s">
        <v>777</v>
      </c>
    </row>
    <row r="397" spans="1:20" x14ac:dyDescent="0.2">
      <c r="A397" s="5"/>
      <c r="B397" s="8">
        <v>61801529321</v>
      </c>
      <c r="H397" s="8" t="s">
        <v>1481</v>
      </c>
      <c r="I397" s="8" t="s">
        <v>1481</v>
      </c>
      <c r="J397" s="5">
        <f>78-1-4+1-15-2-2-4-24+2-20</f>
        <v>9</v>
      </c>
      <c r="K397" s="5" t="s">
        <v>21</v>
      </c>
      <c r="L397" s="5" t="s">
        <v>767</v>
      </c>
      <c r="M397" s="5">
        <v>34</v>
      </c>
      <c r="N397" s="5" t="s">
        <v>805</v>
      </c>
      <c r="Q397" s="107" t="s">
        <v>1482</v>
      </c>
    </row>
    <row r="398" spans="1:20" x14ac:dyDescent="0.2">
      <c r="A398" s="5">
        <v>278</v>
      </c>
      <c r="B398" s="8">
        <v>61801529221</v>
      </c>
      <c r="H398" s="8" t="s">
        <v>1483</v>
      </c>
      <c r="I398" s="8" t="s">
        <v>1484</v>
      </c>
      <c r="J398" s="5">
        <f>204-15+46-5-64-8-10-2-16-22-2-1-2-2-1-3-5</f>
        <v>92</v>
      </c>
      <c r="K398" s="5" t="s">
        <v>292</v>
      </c>
      <c r="L398" s="5" t="s">
        <v>767</v>
      </c>
      <c r="M398" s="5">
        <v>34</v>
      </c>
      <c r="N398" s="5" t="s">
        <v>43</v>
      </c>
      <c r="O398" s="5" t="s">
        <v>520</v>
      </c>
      <c r="Q398" s="5" t="s">
        <v>1485</v>
      </c>
    </row>
    <row r="399" spans="1:20" x14ac:dyDescent="0.2">
      <c r="A399" s="5"/>
      <c r="B399" s="11" t="s">
        <v>1486</v>
      </c>
      <c r="H399" s="8" t="s">
        <v>1487</v>
      </c>
      <c r="I399" s="8" t="s">
        <v>1488</v>
      </c>
      <c r="J399" s="5">
        <f>6</f>
        <v>6</v>
      </c>
      <c r="K399" s="5" t="s">
        <v>292</v>
      </c>
      <c r="L399" s="5" t="s">
        <v>1287</v>
      </c>
      <c r="M399" s="5">
        <v>34</v>
      </c>
    </row>
    <row r="400" spans="1:20" x14ac:dyDescent="0.2">
      <c r="A400" s="5"/>
      <c r="B400" s="11" t="s">
        <v>1489</v>
      </c>
      <c r="H400" s="8" t="s">
        <v>1490</v>
      </c>
      <c r="I400" s="8" t="s">
        <v>1491</v>
      </c>
      <c r="J400" s="5">
        <f>6</f>
        <v>6</v>
      </c>
      <c r="K400" s="5" t="s">
        <v>292</v>
      </c>
      <c r="L400" s="5" t="s">
        <v>1287</v>
      </c>
      <c r="M400" s="5">
        <v>34</v>
      </c>
    </row>
    <row r="401" spans="1:20" x14ac:dyDescent="0.2">
      <c r="A401" s="5"/>
      <c r="B401" s="11" t="s">
        <v>1492</v>
      </c>
      <c r="I401" s="8" t="s">
        <v>1493</v>
      </c>
      <c r="J401" s="5">
        <f>4</f>
        <v>4</v>
      </c>
      <c r="K401" s="5" t="s">
        <v>292</v>
      </c>
      <c r="L401" s="5" t="s">
        <v>1287</v>
      </c>
      <c r="M401" s="5">
        <v>34</v>
      </c>
    </row>
    <row r="402" spans="1:20" x14ac:dyDescent="0.2">
      <c r="A402" s="5">
        <v>346</v>
      </c>
      <c r="B402" s="8">
        <v>2308490</v>
      </c>
      <c r="H402" s="8" t="s">
        <v>1494</v>
      </c>
      <c r="I402" s="8" t="s">
        <v>1494</v>
      </c>
      <c r="J402" s="5">
        <v>16</v>
      </c>
      <c r="K402" s="5" t="s">
        <v>21</v>
      </c>
      <c r="L402" s="5" t="s">
        <v>767</v>
      </c>
      <c r="M402" s="5">
        <v>35</v>
      </c>
      <c r="N402" s="5" t="s">
        <v>1495</v>
      </c>
      <c r="Q402" s="5" t="s">
        <v>1496</v>
      </c>
    </row>
    <row r="403" spans="1:20" x14ac:dyDescent="0.2">
      <c r="A403" s="5">
        <v>347</v>
      </c>
      <c r="B403" s="8">
        <v>111831</v>
      </c>
      <c r="H403" s="8" t="s">
        <v>1497</v>
      </c>
      <c r="I403" s="8" t="s">
        <v>1497</v>
      </c>
      <c r="J403" s="5">
        <f>50-20</f>
        <v>30</v>
      </c>
      <c r="K403" s="5" t="s">
        <v>292</v>
      </c>
      <c r="L403" s="5" t="s">
        <v>767</v>
      </c>
      <c r="M403" s="5">
        <v>35</v>
      </c>
      <c r="N403" s="5" t="s">
        <v>1495</v>
      </c>
      <c r="Q403" s="5" t="s">
        <v>1498</v>
      </c>
      <c r="S403" s="5" t="s">
        <v>328</v>
      </c>
    </row>
    <row r="404" spans="1:20" x14ac:dyDescent="0.2">
      <c r="A404" s="5">
        <v>452</v>
      </c>
      <c r="B404" s="8" t="s">
        <v>1499</v>
      </c>
      <c r="H404" s="8" t="s">
        <v>1500</v>
      </c>
      <c r="I404" s="8" t="s">
        <v>1500</v>
      </c>
      <c r="J404" s="5">
        <v>372</v>
      </c>
      <c r="K404" s="5" t="s">
        <v>292</v>
      </c>
      <c r="L404" s="5" t="s">
        <v>767</v>
      </c>
      <c r="M404" s="5">
        <v>35</v>
      </c>
      <c r="N404" s="5" t="s">
        <v>43</v>
      </c>
      <c r="O404" s="5" t="s">
        <v>789</v>
      </c>
      <c r="Q404" s="10" t="s">
        <v>553</v>
      </c>
      <c r="S404" s="5" t="s">
        <v>328</v>
      </c>
    </row>
    <row r="405" spans="1:20" x14ac:dyDescent="0.2">
      <c r="A405" s="5">
        <v>453</v>
      </c>
      <c r="B405" s="8" t="s">
        <v>1501</v>
      </c>
      <c r="H405" s="8" t="s">
        <v>1502</v>
      </c>
      <c r="I405" s="8" t="s">
        <v>1502</v>
      </c>
      <c r="J405" s="5">
        <v>486</v>
      </c>
      <c r="K405" s="5" t="s">
        <v>292</v>
      </c>
      <c r="L405" s="5" t="s">
        <v>767</v>
      </c>
      <c r="M405" s="5">
        <v>35</v>
      </c>
      <c r="N405" s="5" t="s">
        <v>43</v>
      </c>
      <c r="O405" s="5" t="s">
        <v>789</v>
      </c>
      <c r="Q405" s="10" t="s">
        <v>553</v>
      </c>
      <c r="S405" s="5" t="s">
        <v>328</v>
      </c>
    </row>
    <row r="406" spans="1:20" x14ac:dyDescent="0.2">
      <c r="A406" s="5">
        <v>454</v>
      </c>
      <c r="B406" s="8" t="s">
        <v>1503</v>
      </c>
      <c r="H406" s="8" t="s">
        <v>1504</v>
      </c>
      <c r="I406" s="8" t="s">
        <v>1504</v>
      </c>
      <c r="J406" s="5">
        <v>33</v>
      </c>
      <c r="K406" s="5" t="s">
        <v>292</v>
      </c>
      <c r="L406" s="5" t="s">
        <v>767</v>
      </c>
      <c r="M406" s="5">
        <v>35</v>
      </c>
      <c r="N406" s="5" t="s">
        <v>43</v>
      </c>
      <c r="O406" s="5" t="s">
        <v>789</v>
      </c>
      <c r="Q406" s="10" t="s">
        <v>553</v>
      </c>
      <c r="S406" s="5" t="s">
        <v>328</v>
      </c>
    </row>
    <row r="407" spans="1:20" x14ac:dyDescent="0.2">
      <c r="A407" s="5">
        <v>455</v>
      </c>
      <c r="B407" s="8" t="s">
        <v>1505</v>
      </c>
      <c r="H407" s="8" t="s">
        <v>1502</v>
      </c>
      <c r="I407" s="8" t="s">
        <v>1502</v>
      </c>
      <c r="J407" s="5">
        <v>150</v>
      </c>
      <c r="K407" s="5" t="s">
        <v>292</v>
      </c>
      <c r="L407" s="5" t="s">
        <v>767</v>
      </c>
      <c r="M407" s="5">
        <v>35</v>
      </c>
      <c r="N407" s="5" t="s">
        <v>43</v>
      </c>
      <c r="O407" s="5" t="s">
        <v>789</v>
      </c>
      <c r="Q407" s="10" t="s">
        <v>553</v>
      </c>
      <c r="S407" s="5" t="s">
        <v>328</v>
      </c>
    </row>
    <row r="408" spans="1:20" x14ac:dyDescent="0.2">
      <c r="A408" s="5">
        <v>456</v>
      </c>
      <c r="B408" s="8" t="s">
        <v>1506</v>
      </c>
      <c r="H408" s="8" t="s">
        <v>1502</v>
      </c>
      <c r="I408" s="8" t="s">
        <v>1502</v>
      </c>
      <c r="J408" s="5">
        <v>200</v>
      </c>
      <c r="K408" s="5" t="s">
        <v>292</v>
      </c>
      <c r="L408" s="5" t="s">
        <v>767</v>
      </c>
      <c r="M408" s="5">
        <v>35</v>
      </c>
      <c r="N408" s="5" t="s">
        <v>43</v>
      </c>
      <c r="O408" s="5" t="s">
        <v>789</v>
      </c>
      <c r="Q408" s="5" t="s">
        <v>553</v>
      </c>
      <c r="R408" s="6"/>
      <c r="S408" s="6" t="s">
        <v>328</v>
      </c>
    </row>
    <row r="409" spans="1:20" x14ac:dyDescent="0.2">
      <c r="A409" s="5">
        <v>1408</v>
      </c>
      <c r="B409" s="8" t="s">
        <v>1507</v>
      </c>
      <c r="H409" s="8" t="s">
        <v>1508</v>
      </c>
      <c r="I409" s="8" t="s">
        <v>1508</v>
      </c>
      <c r="J409" s="5">
        <v>115</v>
      </c>
      <c r="K409" s="5" t="s">
        <v>292</v>
      </c>
      <c r="L409" s="5" t="s">
        <v>767</v>
      </c>
      <c r="M409" s="5">
        <v>36</v>
      </c>
      <c r="N409" s="5" t="s">
        <v>1104</v>
      </c>
      <c r="O409" s="5" t="s">
        <v>574</v>
      </c>
      <c r="Q409" s="10" t="s">
        <v>553</v>
      </c>
      <c r="R409" s="6"/>
      <c r="S409" s="6" t="s">
        <v>328</v>
      </c>
      <c r="T409" s="5" t="s">
        <v>777</v>
      </c>
    </row>
    <row r="410" spans="1:20" x14ac:dyDescent="0.2">
      <c r="A410" s="5">
        <v>1409</v>
      </c>
      <c r="B410" s="8" t="s">
        <v>1509</v>
      </c>
      <c r="H410" s="8" t="s">
        <v>1510</v>
      </c>
      <c r="I410" s="8" t="s">
        <v>1510</v>
      </c>
      <c r="J410" s="5">
        <f>164</f>
        <v>164</v>
      </c>
      <c r="K410" s="5" t="s">
        <v>292</v>
      </c>
      <c r="L410" s="5" t="s">
        <v>767</v>
      </c>
      <c r="M410" s="5">
        <v>37</v>
      </c>
      <c r="N410" s="5" t="s">
        <v>1021</v>
      </c>
      <c r="O410" s="5" t="s">
        <v>574</v>
      </c>
      <c r="Q410" s="10" t="s">
        <v>553</v>
      </c>
      <c r="T410" s="5" t="s">
        <v>777</v>
      </c>
    </row>
    <row r="411" spans="1:20" x14ac:dyDescent="0.2">
      <c r="A411" s="5">
        <v>2399</v>
      </c>
      <c r="B411" s="8" t="s">
        <v>1511</v>
      </c>
      <c r="H411" s="8" t="s">
        <v>1512</v>
      </c>
      <c r="I411" s="8" t="s">
        <v>1512</v>
      </c>
      <c r="J411" s="5">
        <f>6</f>
        <v>6</v>
      </c>
      <c r="K411" s="5" t="s">
        <v>292</v>
      </c>
      <c r="L411" s="5" t="s">
        <v>767</v>
      </c>
      <c r="M411" s="5">
        <v>37</v>
      </c>
      <c r="N411" s="5" t="s">
        <v>43</v>
      </c>
      <c r="O411" s="5" t="s">
        <v>266</v>
      </c>
      <c r="Q411" s="5" t="s">
        <v>1513</v>
      </c>
    </row>
    <row r="412" spans="1:20" x14ac:dyDescent="0.2">
      <c r="A412" s="5">
        <v>2400</v>
      </c>
      <c r="B412" s="8" t="s">
        <v>1514</v>
      </c>
      <c r="H412" s="8" t="s">
        <v>1515</v>
      </c>
      <c r="I412" s="8" t="s">
        <v>1515</v>
      </c>
      <c r="J412" s="5">
        <f>6</f>
        <v>6</v>
      </c>
      <c r="K412" s="5" t="s">
        <v>292</v>
      </c>
      <c r="L412" s="5" t="s">
        <v>767</v>
      </c>
      <c r="M412" s="5">
        <v>37</v>
      </c>
      <c r="N412" s="5" t="s">
        <v>43</v>
      </c>
      <c r="O412" s="5" t="s">
        <v>266</v>
      </c>
      <c r="Q412" s="5" t="s">
        <v>1513</v>
      </c>
    </row>
    <row r="413" spans="1:20" x14ac:dyDescent="0.2">
      <c r="A413" s="5"/>
      <c r="B413" s="148" t="s">
        <v>1516</v>
      </c>
      <c r="H413" s="8" t="s">
        <v>1517</v>
      </c>
      <c r="I413" s="8" t="s">
        <v>1518</v>
      </c>
      <c r="J413" s="5">
        <f>5+10-1</f>
        <v>14</v>
      </c>
      <c r="K413" s="5" t="s">
        <v>21</v>
      </c>
      <c r="L413" s="5" t="s">
        <v>767</v>
      </c>
      <c r="M413" s="5">
        <v>38</v>
      </c>
    </row>
    <row r="414" spans="1:20" x14ac:dyDescent="0.2">
      <c r="A414" s="5"/>
      <c r="B414" s="8" t="s">
        <v>1519</v>
      </c>
      <c r="H414" s="8" t="s">
        <v>1520</v>
      </c>
      <c r="I414" s="8" t="s">
        <v>1520</v>
      </c>
      <c r="J414" s="5">
        <f>2-2</f>
        <v>0</v>
      </c>
      <c r="K414" s="5" t="s">
        <v>21</v>
      </c>
      <c r="L414" s="5" t="s">
        <v>1287</v>
      </c>
      <c r="M414" s="5">
        <v>38</v>
      </c>
    </row>
    <row r="415" spans="1:20" x14ac:dyDescent="0.2">
      <c r="A415" s="5">
        <v>457</v>
      </c>
      <c r="B415" s="34" t="s">
        <v>1521</v>
      </c>
      <c r="H415" s="8" t="s">
        <v>1522</v>
      </c>
      <c r="I415" s="8" t="s">
        <v>1522</v>
      </c>
      <c r="J415" s="5">
        <f>32-4-2+1-24-2+4+4-1-1-7+2-2+46-8+14+8-2-4-16</f>
        <v>38</v>
      </c>
      <c r="K415" s="5" t="s">
        <v>292</v>
      </c>
      <c r="L415" s="5" t="s">
        <v>767</v>
      </c>
      <c r="M415" s="5">
        <v>38</v>
      </c>
      <c r="N415" s="5" t="s">
        <v>1104</v>
      </c>
      <c r="O415" s="5" t="s">
        <v>789</v>
      </c>
      <c r="Q415" s="5" t="s">
        <v>1523</v>
      </c>
      <c r="R415" s="6"/>
      <c r="S415" s="6"/>
    </row>
    <row r="416" spans="1:20" x14ac:dyDescent="0.2">
      <c r="A416" s="5">
        <v>1426</v>
      </c>
      <c r="H416" s="8" t="s">
        <v>1522</v>
      </c>
      <c r="I416" s="8" t="s">
        <v>1522</v>
      </c>
      <c r="J416" s="5">
        <v>0</v>
      </c>
      <c r="K416" s="5" t="s">
        <v>292</v>
      </c>
      <c r="L416" s="5" t="s">
        <v>767</v>
      </c>
      <c r="M416" s="5">
        <v>38</v>
      </c>
      <c r="N416" s="5" t="s">
        <v>805</v>
      </c>
      <c r="O416" s="5" t="s">
        <v>574</v>
      </c>
      <c r="Q416" s="5" t="s">
        <v>1523</v>
      </c>
      <c r="R416" s="6"/>
      <c r="S416" s="6"/>
      <c r="T416" s="5" t="s">
        <v>777</v>
      </c>
    </row>
    <row r="417" spans="1:20" x14ac:dyDescent="0.2">
      <c r="A417" s="5"/>
      <c r="B417" s="34" t="s">
        <v>1524</v>
      </c>
      <c r="H417" s="8" t="s">
        <v>1525</v>
      </c>
      <c r="I417" s="8" t="s">
        <v>1526</v>
      </c>
      <c r="J417" s="5">
        <f>19+2</f>
        <v>21</v>
      </c>
      <c r="K417" s="5" t="s">
        <v>21</v>
      </c>
      <c r="L417" s="5" t="s">
        <v>767</v>
      </c>
      <c r="M417" s="5">
        <v>38</v>
      </c>
      <c r="Q417" s="10"/>
      <c r="S417" s="5" t="s">
        <v>328</v>
      </c>
    </row>
    <row r="418" spans="1:20" x14ac:dyDescent="0.2">
      <c r="A418" s="5">
        <v>458</v>
      </c>
      <c r="B418" s="34" t="s">
        <v>1527</v>
      </c>
      <c r="H418" s="8" t="s">
        <v>1528</v>
      </c>
      <c r="I418" s="34" t="s">
        <v>1529</v>
      </c>
      <c r="J418" s="5">
        <f>1223-22-6+15-6-2-1-2+42-10-8+220-2-8-102-1-205-10</f>
        <v>1115</v>
      </c>
      <c r="K418" s="5" t="s">
        <v>292</v>
      </c>
      <c r="L418" s="5" t="s">
        <v>767</v>
      </c>
      <c r="M418" s="5">
        <v>39</v>
      </c>
      <c r="N418" s="5" t="s">
        <v>43</v>
      </c>
      <c r="O418" s="5" t="s">
        <v>789</v>
      </c>
      <c r="Q418" s="10" t="s">
        <v>553</v>
      </c>
    </row>
    <row r="419" spans="1:20" x14ac:dyDescent="0.2">
      <c r="A419" s="5">
        <v>337</v>
      </c>
      <c r="B419" s="8" t="s">
        <v>1530</v>
      </c>
      <c r="H419" s="8" t="s">
        <v>1531</v>
      </c>
      <c r="I419" s="8" t="s">
        <v>1531</v>
      </c>
      <c r="J419" s="5">
        <v>41</v>
      </c>
      <c r="K419" s="5" t="s">
        <v>292</v>
      </c>
      <c r="L419" s="5" t="s">
        <v>767</v>
      </c>
      <c r="M419" s="5">
        <v>40</v>
      </c>
      <c r="N419" s="5" t="s">
        <v>1418</v>
      </c>
      <c r="Q419" s="5" t="s">
        <v>553</v>
      </c>
      <c r="R419" s="6"/>
      <c r="S419" s="6" t="s">
        <v>328</v>
      </c>
    </row>
    <row r="420" spans="1:20" x14ac:dyDescent="0.2">
      <c r="A420" s="5">
        <v>1411</v>
      </c>
      <c r="B420" s="11" t="s">
        <v>1532</v>
      </c>
      <c r="C420" s="11" t="s">
        <v>1533</v>
      </c>
      <c r="D420" s="11"/>
      <c r="E420" s="26"/>
      <c r="F420" s="11"/>
      <c r="G420" s="11"/>
      <c r="H420" s="8" t="s">
        <v>1534</v>
      </c>
      <c r="I420" s="8" t="s">
        <v>1534</v>
      </c>
      <c r="J420" s="5">
        <v>17</v>
      </c>
      <c r="K420" s="5" t="s">
        <v>292</v>
      </c>
      <c r="L420" s="5" t="s">
        <v>767</v>
      </c>
      <c r="M420" s="5">
        <v>40</v>
      </c>
      <c r="N420" s="5" t="s">
        <v>805</v>
      </c>
      <c r="O420" s="5" t="s">
        <v>574</v>
      </c>
      <c r="Q420" s="10" t="s">
        <v>553</v>
      </c>
      <c r="R420" s="6"/>
      <c r="S420" s="6" t="s">
        <v>328</v>
      </c>
      <c r="T420" s="5" t="s">
        <v>777</v>
      </c>
    </row>
    <row r="421" spans="1:20" x14ac:dyDescent="0.2">
      <c r="A421" s="5">
        <v>1412</v>
      </c>
      <c r="B421" s="8" t="s">
        <v>1535</v>
      </c>
      <c r="H421" s="8" t="s">
        <v>1536</v>
      </c>
      <c r="I421" s="8" t="s">
        <v>1536</v>
      </c>
      <c r="J421" s="5">
        <v>35</v>
      </c>
      <c r="K421" s="5" t="s">
        <v>292</v>
      </c>
      <c r="L421" s="5" t="s">
        <v>767</v>
      </c>
      <c r="M421" s="5">
        <v>40</v>
      </c>
      <c r="N421" s="5" t="s">
        <v>805</v>
      </c>
      <c r="O421" s="5" t="s">
        <v>574</v>
      </c>
      <c r="Q421" s="10" t="s">
        <v>553</v>
      </c>
      <c r="R421" s="6"/>
      <c r="S421" s="6"/>
      <c r="T421" s="5" t="s">
        <v>777</v>
      </c>
    </row>
    <row r="422" spans="1:20" x14ac:dyDescent="0.2">
      <c r="A422" s="5"/>
      <c r="B422" s="11" t="s">
        <v>1537</v>
      </c>
      <c r="H422" s="8" t="s">
        <v>1538</v>
      </c>
      <c r="I422" s="8" t="s">
        <v>1538</v>
      </c>
      <c r="J422" s="5">
        <f>10-8</f>
        <v>2</v>
      </c>
      <c r="K422" s="5" t="s">
        <v>292</v>
      </c>
      <c r="L422" s="5" t="s">
        <v>1287</v>
      </c>
      <c r="M422" s="5">
        <v>40</v>
      </c>
      <c r="N422" s="5" t="s">
        <v>805</v>
      </c>
      <c r="Q422" s="10"/>
      <c r="R422" s="6"/>
      <c r="S422" s="6"/>
    </row>
    <row r="423" spans="1:20" x14ac:dyDescent="0.2">
      <c r="A423" s="5"/>
      <c r="B423" s="11" t="s">
        <v>1539</v>
      </c>
      <c r="H423" s="8" t="s">
        <v>1540</v>
      </c>
      <c r="I423" s="8" t="s">
        <v>1541</v>
      </c>
      <c r="J423" s="5">
        <f>10-8</f>
        <v>2</v>
      </c>
      <c r="K423" s="5" t="s">
        <v>292</v>
      </c>
      <c r="L423" s="5" t="s">
        <v>1287</v>
      </c>
      <c r="M423" s="5">
        <v>40</v>
      </c>
      <c r="N423" s="5" t="s">
        <v>805</v>
      </c>
      <c r="Q423" s="10"/>
      <c r="R423" s="6"/>
      <c r="S423" s="6"/>
    </row>
    <row r="424" spans="1:20" x14ac:dyDescent="0.2">
      <c r="A424" s="5"/>
      <c r="B424" s="11" t="s">
        <v>1542</v>
      </c>
      <c r="H424" s="8" t="s">
        <v>1543</v>
      </c>
      <c r="I424" s="8" t="s">
        <v>1543</v>
      </c>
      <c r="J424" s="5">
        <f>25-16</f>
        <v>9</v>
      </c>
      <c r="K424" s="5" t="s">
        <v>292</v>
      </c>
      <c r="L424" s="5" t="s">
        <v>1287</v>
      </c>
      <c r="M424" s="5">
        <v>40</v>
      </c>
      <c r="N424" s="5" t="s">
        <v>81</v>
      </c>
      <c r="Q424" s="10"/>
      <c r="R424" s="6"/>
      <c r="S424" s="6"/>
    </row>
    <row r="425" spans="1:20" x14ac:dyDescent="0.2">
      <c r="A425" s="5"/>
      <c r="B425" s="11" t="s">
        <v>1544</v>
      </c>
      <c r="H425" s="8" t="s">
        <v>1543</v>
      </c>
      <c r="I425" s="8" t="s">
        <v>1543</v>
      </c>
      <c r="J425" s="5">
        <f>25-16</f>
        <v>9</v>
      </c>
      <c r="K425" s="5" t="s">
        <v>292</v>
      </c>
      <c r="L425" s="5" t="s">
        <v>1287</v>
      </c>
      <c r="M425" s="5">
        <v>40</v>
      </c>
      <c r="N425" s="5" t="s">
        <v>81</v>
      </c>
      <c r="Q425" s="10"/>
      <c r="R425" s="6"/>
      <c r="S425" s="6" t="s">
        <v>328</v>
      </c>
    </row>
    <row r="426" spans="1:20" x14ac:dyDescent="0.2">
      <c r="A426" s="5">
        <v>1414</v>
      </c>
      <c r="B426" s="11" t="s">
        <v>1545</v>
      </c>
      <c r="C426" s="11"/>
      <c r="D426" s="11"/>
      <c r="E426" s="26"/>
      <c r="F426" s="11"/>
      <c r="G426" s="11"/>
      <c r="H426" s="8" t="s">
        <v>1546</v>
      </c>
      <c r="I426" s="8" t="s">
        <v>1546</v>
      </c>
      <c r="J426" s="5">
        <v>17</v>
      </c>
      <c r="K426" s="5" t="s">
        <v>292</v>
      </c>
      <c r="L426" s="5" t="s">
        <v>767</v>
      </c>
      <c r="M426" s="5">
        <v>40</v>
      </c>
      <c r="N426" s="5" t="s">
        <v>805</v>
      </c>
      <c r="O426" s="5" t="s">
        <v>574</v>
      </c>
      <c r="Q426" s="10" t="s">
        <v>553</v>
      </c>
      <c r="R426" s="6"/>
      <c r="S426" s="6" t="s">
        <v>328</v>
      </c>
      <c r="T426" s="5" t="s">
        <v>777</v>
      </c>
    </row>
    <row r="427" spans="1:20" x14ac:dyDescent="0.2">
      <c r="A427" s="5">
        <v>1415</v>
      </c>
      <c r="B427" s="11" t="s">
        <v>1547</v>
      </c>
      <c r="C427" s="11"/>
      <c r="D427" s="11"/>
      <c r="E427" s="26"/>
      <c r="F427" s="11"/>
      <c r="G427" s="11"/>
      <c r="H427" s="8" t="s">
        <v>1548</v>
      </c>
      <c r="I427" s="8" t="s">
        <v>1548</v>
      </c>
      <c r="J427" s="5">
        <v>40</v>
      </c>
      <c r="K427" s="5" t="s">
        <v>292</v>
      </c>
      <c r="L427" s="5" t="s">
        <v>767</v>
      </c>
      <c r="M427" s="5">
        <v>40</v>
      </c>
      <c r="N427" s="5" t="s">
        <v>805</v>
      </c>
      <c r="O427" s="5" t="s">
        <v>574</v>
      </c>
      <c r="Q427" s="10" t="s">
        <v>553</v>
      </c>
      <c r="R427" s="6"/>
      <c r="S427" s="6" t="s">
        <v>328</v>
      </c>
      <c r="T427" s="5" t="s">
        <v>777</v>
      </c>
    </row>
    <row r="428" spans="1:20" x14ac:dyDescent="0.2">
      <c r="A428" s="5">
        <v>1417</v>
      </c>
      <c r="B428" s="8" t="s">
        <v>1549</v>
      </c>
      <c r="H428" s="8" t="s">
        <v>1550</v>
      </c>
      <c r="I428" s="8" t="s">
        <v>1550</v>
      </c>
      <c r="J428" s="5">
        <v>108</v>
      </c>
      <c r="K428" s="5" t="s">
        <v>292</v>
      </c>
      <c r="L428" s="5" t="s">
        <v>767</v>
      </c>
      <c r="M428" s="5">
        <v>40</v>
      </c>
      <c r="N428" s="5" t="s">
        <v>805</v>
      </c>
      <c r="O428" s="5" t="s">
        <v>574</v>
      </c>
      <c r="Q428" s="10" t="s">
        <v>553</v>
      </c>
      <c r="R428" s="6"/>
      <c r="S428" s="6" t="s">
        <v>328</v>
      </c>
      <c r="T428" s="5" t="s">
        <v>777</v>
      </c>
    </row>
    <row r="429" spans="1:20" x14ac:dyDescent="0.2">
      <c r="A429" s="5">
        <v>1418</v>
      </c>
      <c r="B429" s="8" t="s">
        <v>1551</v>
      </c>
      <c r="H429" s="8" t="s">
        <v>1552</v>
      </c>
      <c r="I429" s="8" t="s">
        <v>1552</v>
      </c>
      <c r="J429" s="5">
        <v>8</v>
      </c>
      <c r="K429" s="5" t="s">
        <v>292</v>
      </c>
      <c r="L429" s="5" t="s">
        <v>767</v>
      </c>
      <c r="M429" s="5">
        <v>40</v>
      </c>
      <c r="N429" s="5" t="s">
        <v>805</v>
      </c>
      <c r="O429" s="5" t="s">
        <v>574</v>
      </c>
      <c r="Q429" s="10" t="s">
        <v>553</v>
      </c>
      <c r="R429" s="6"/>
      <c r="S429" s="6" t="s">
        <v>328</v>
      </c>
      <c r="T429" s="5" t="s">
        <v>777</v>
      </c>
    </row>
    <row r="430" spans="1:20" x14ac:dyDescent="0.2">
      <c r="A430" s="5">
        <v>1419</v>
      </c>
      <c r="B430" s="8" t="s">
        <v>1553</v>
      </c>
      <c r="H430" s="8" t="s">
        <v>1554</v>
      </c>
      <c r="I430" s="8" t="s">
        <v>1555</v>
      </c>
      <c r="J430" s="5">
        <f>91-33</f>
        <v>58</v>
      </c>
      <c r="K430" s="5" t="s">
        <v>292</v>
      </c>
      <c r="L430" s="5" t="s">
        <v>767</v>
      </c>
      <c r="M430" s="5">
        <v>40</v>
      </c>
      <c r="N430" s="5" t="s">
        <v>805</v>
      </c>
      <c r="O430" s="5" t="s">
        <v>574</v>
      </c>
      <c r="Q430" s="10" t="s">
        <v>553</v>
      </c>
      <c r="R430" s="6"/>
      <c r="S430" s="6" t="s">
        <v>328</v>
      </c>
      <c r="T430" s="5" t="s">
        <v>777</v>
      </c>
    </row>
    <row r="431" spans="1:20" x14ac:dyDescent="0.2">
      <c r="A431" s="5">
        <v>1420</v>
      </c>
      <c r="B431" s="8" t="s">
        <v>1556</v>
      </c>
      <c r="H431" s="8" t="s">
        <v>1557</v>
      </c>
      <c r="I431" s="8" t="s">
        <v>1557</v>
      </c>
      <c r="J431" s="5">
        <v>52</v>
      </c>
      <c r="K431" s="5" t="s">
        <v>292</v>
      </c>
      <c r="L431" s="5" t="s">
        <v>767</v>
      </c>
      <c r="M431" s="5">
        <v>40</v>
      </c>
      <c r="N431" s="5" t="s">
        <v>805</v>
      </c>
      <c r="O431" s="5" t="s">
        <v>574</v>
      </c>
      <c r="Q431" s="10" t="s">
        <v>553</v>
      </c>
      <c r="R431" s="6"/>
      <c r="S431" s="6" t="s">
        <v>328</v>
      </c>
      <c r="T431" s="5" t="s">
        <v>777</v>
      </c>
    </row>
    <row r="432" spans="1:20" x14ac:dyDescent="0.2">
      <c r="A432" s="5">
        <v>1421</v>
      </c>
      <c r="B432" s="8" t="s">
        <v>1558</v>
      </c>
      <c r="H432" s="8" t="s">
        <v>1559</v>
      </c>
      <c r="I432" s="8" t="s">
        <v>1559</v>
      </c>
      <c r="J432" s="5">
        <v>12</v>
      </c>
      <c r="K432" s="5" t="s">
        <v>292</v>
      </c>
      <c r="L432" s="5" t="s">
        <v>767</v>
      </c>
      <c r="M432" s="5">
        <v>40</v>
      </c>
      <c r="N432" s="5" t="s">
        <v>805</v>
      </c>
      <c r="O432" s="5" t="s">
        <v>574</v>
      </c>
      <c r="Q432" s="10" t="s">
        <v>553</v>
      </c>
      <c r="R432" s="6"/>
      <c r="S432" s="6" t="s">
        <v>328</v>
      </c>
      <c r="T432" s="5" t="s">
        <v>777</v>
      </c>
    </row>
    <row r="433" spans="1:21" x14ac:dyDescent="0.2">
      <c r="A433" s="5">
        <v>1422</v>
      </c>
      <c r="B433" s="133" t="s">
        <v>1560</v>
      </c>
      <c r="H433" s="8" t="s">
        <v>1561</v>
      </c>
      <c r="I433" s="8" t="s">
        <v>1562</v>
      </c>
      <c r="J433" s="5">
        <v>961</v>
      </c>
      <c r="K433" s="5" t="s">
        <v>292</v>
      </c>
      <c r="L433" s="5" t="s">
        <v>767</v>
      </c>
      <c r="M433" s="5">
        <v>40</v>
      </c>
      <c r="N433" s="5" t="s">
        <v>1563</v>
      </c>
      <c r="O433" s="5" t="s">
        <v>574</v>
      </c>
      <c r="Q433" s="10" t="s">
        <v>553</v>
      </c>
      <c r="R433" s="6"/>
      <c r="S433" s="6" t="s">
        <v>328</v>
      </c>
      <c r="T433" s="5" t="s">
        <v>777</v>
      </c>
    </row>
    <row r="434" spans="1:21" x14ac:dyDescent="0.2">
      <c r="A434" s="5">
        <v>1423</v>
      </c>
      <c r="B434" s="8" t="s">
        <v>1564</v>
      </c>
      <c r="H434" s="8" t="s">
        <v>1565</v>
      </c>
      <c r="I434" s="8" t="s">
        <v>1566</v>
      </c>
      <c r="J434" s="5">
        <v>0</v>
      </c>
      <c r="K434" s="5" t="s">
        <v>292</v>
      </c>
      <c r="L434" s="5" t="s">
        <v>767</v>
      </c>
      <c r="M434" s="5">
        <v>40</v>
      </c>
      <c r="N434" s="5" t="s">
        <v>805</v>
      </c>
      <c r="O434" s="5" t="s">
        <v>574</v>
      </c>
      <c r="Q434" s="10" t="s">
        <v>553</v>
      </c>
      <c r="R434" s="6"/>
      <c r="S434" s="6" t="s">
        <v>328</v>
      </c>
      <c r="T434" s="5" t="s">
        <v>777</v>
      </c>
    </row>
    <row r="435" spans="1:21" x14ac:dyDescent="0.2">
      <c r="A435" s="5">
        <v>1424</v>
      </c>
      <c r="B435" s="11" t="s">
        <v>1567</v>
      </c>
      <c r="C435" s="11"/>
      <c r="D435" s="11"/>
      <c r="E435" s="26"/>
      <c r="F435" s="11"/>
      <c r="G435" s="11"/>
      <c r="H435" s="8" t="s">
        <v>1568</v>
      </c>
      <c r="I435" s="8" t="s">
        <v>1568</v>
      </c>
      <c r="J435" s="5">
        <v>40</v>
      </c>
      <c r="K435" s="5" t="s">
        <v>292</v>
      </c>
      <c r="L435" s="5" t="s">
        <v>767</v>
      </c>
      <c r="M435" s="5">
        <v>40</v>
      </c>
      <c r="N435" s="5" t="s">
        <v>805</v>
      </c>
      <c r="O435" s="5" t="s">
        <v>574</v>
      </c>
      <c r="Q435" s="10" t="s">
        <v>553</v>
      </c>
      <c r="R435" s="6"/>
      <c r="S435" s="6" t="s">
        <v>328</v>
      </c>
      <c r="T435" s="5" t="s">
        <v>777</v>
      </c>
    </row>
    <row r="436" spans="1:21" x14ac:dyDescent="0.2">
      <c r="A436" s="5">
        <v>1425</v>
      </c>
      <c r="B436" s="8" t="s">
        <v>1569</v>
      </c>
      <c r="H436" s="8" t="s">
        <v>1565</v>
      </c>
      <c r="I436" s="8" t="s">
        <v>1566</v>
      </c>
      <c r="J436" s="5">
        <f>11</f>
        <v>11</v>
      </c>
      <c r="K436" s="5" t="s">
        <v>292</v>
      </c>
      <c r="L436" s="5" t="s">
        <v>767</v>
      </c>
      <c r="M436" s="5">
        <v>40</v>
      </c>
      <c r="N436" s="5" t="s">
        <v>805</v>
      </c>
      <c r="O436" s="5" t="s">
        <v>574</v>
      </c>
      <c r="Q436" s="5" t="s">
        <v>553</v>
      </c>
      <c r="R436" s="6"/>
      <c r="S436" s="6"/>
      <c r="T436" s="5" t="s">
        <v>777</v>
      </c>
    </row>
    <row r="437" spans="1:21" x14ac:dyDescent="0.2">
      <c r="A437" s="5"/>
      <c r="B437" s="8" t="s">
        <v>1570</v>
      </c>
      <c r="H437" s="8" t="s">
        <v>1557</v>
      </c>
      <c r="I437" s="8" t="s">
        <v>1557</v>
      </c>
      <c r="J437" s="5">
        <v>25</v>
      </c>
      <c r="K437" s="5" t="s">
        <v>292</v>
      </c>
      <c r="L437" s="5" t="s">
        <v>767</v>
      </c>
      <c r="M437" s="5">
        <v>40</v>
      </c>
      <c r="N437" s="5" t="s">
        <v>805</v>
      </c>
      <c r="O437" s="5" t="s">
        <v>574</v>
      </c>
      <c r="Q437" s="5" t="s">
        <v>553</v>
      </c>
      <c r="R437" s="6"/>
      <c r="S437" s="6"/>
      <c r="U437" t="s">
        <v>321</v>
      </c>
    </row>
    <row r="438" spans="1:21" x14ac:dyDescent="0.2">
      <c r="A438" s="5"/>
      <c r="B438" s="8" t="s">
        <v>1571</v>
      </c>
      <c r="H438" s="8" t="s">
        <v>1572</v>
      </c>
      <c r="I438" s="8" t="s">
        <v>1573</v>
      </c>
      <c r="J438" s="5">
        <f>24-1-3</f>
        <v>20</v>
      </c>
      <c r="K438" s="5" t="s">
        <v>292</v>
      </c>
      <c r="L438" s="5" t="s">
        <v>767</v>
      </c>
      <c r="M438" s="5">
        <v>41</v>
      </c>
      <c r="N438" s="5" t="s">
        <v>805</v>
      </c>
      <c r="R438" s="6"/>
      <c r="S438" s="6"/>
    </row>
    <row r="439" spans="1:21" x14ac:dyDescent="0.2">
      <c r="A439" s="5"/>
      <c r="B439" s="8" t="s">
        <v>1574</v>
      </c>
      <c r="H439" s="8" t="s">
        <v>1575</v>
      </c>
      <c r="I439" s="8" t="s">
        <v>1576</v>
      </c>
      <c r="J439" s="5">
        <v>24</v>
      </c>
      <c r="K439" s="5" t="s">
        <v>292</v>
      </c>
      <c r="L439" s="5" t="s">
        <v>767</v>
      </c>
      <c r="M439" s="5">
        <v>41</v>
      </c>
      <c r="N439" s="5" t="s">
        <v>805</v>
      </c>
    </row>
    <row r="440" spans="1:21" x14ac:dyDescent="0.2">
      <c r="A440" s="5">
        <v>2404</v>
      </c>
      <c r="B440" s="8" t="s">
        <v>1577</v>
      </c>
      <c r="H440" s="8" t="s">
        <v>1578</v>
      </c>
      <c r="I440" s="8" t="s">
        <v>1578</v>
      </c>
      <c r="J440" s="5">
        <f>18-3-2+1-3-1-1</f>
        <v>9</v>
      </c>
      <c r="K440" s="5" t="s">
        <v>292</v>
      </c>
      <c r="L440" s="5" t="s">
        <v>1287</v>
      </c>
      <c r="M440" s="5">
        <v>41</v>
      </c>
      <c r="N440" s="5" t="s">
        <v>43</v>
      </c>
      <c r="O440" s="5" t="s">
        <v>266</v>
      </c>
      <c r="Q440" s="5" t="s">
        <v>1579</v>
      </c>
    </row>
    <row r="441" spans="1:21" x14ac:dyDescent="0.2">
      <c r="A441" s="5">
        <v>270</v>
      </c>
      <c r="B441" s="8" t="s">
        <v>1580</v>
      </c>
      <c r="D441" s="8" t="s">
        <v>773</v>
      </c>
      <c r="E441" s="24">
        <v>43675</v>
      </c>
      <c r="F441" s="8" t="s">
        <v>259</v>
      </c>
      <c r="G441" s="8" t="s">
        <v>260</v>
      </c>
      <c r="H441" s="8" t="s">
        <v>1581</v>
      </c>
      <c r="I441" s="8" t="s">
        <v>1582</v>
      </c>
      <c r="J441" s="5">
        <v>20</v>
      </c>
      <c r="K441" s="5" t="s">
        <v>292</v>
      </c>
      <c r="L441" s="5" t="s">
        <v>767</v>
      </c>
      <c r="M441" s="5">
        <v>41</v>
      </c>
      <c r="N441" s="5" t="s">
        <v>43</v>
      </c>
      <c r="O441" s="5" t="s">
        <v>266</v>
      </c>
      <c r="Q441" s="5" t="s">
        <v>1583</v>
      </c>
    </row>
    <row r="442" spans="1:21" x14ac:dyDescent="0.2">
      <c r="A442" s="5">
        <v>291</v>
      </c>
      <c r="B442" s="8" t="s">
        <v>1584</v>
      </c>
      <c r="H442" s="8" t="s">
        <v>1585</v>
      </c>
      <c r="I442" s="8" t="s">
        <v>1585</v>
      </c>
      <c r="J442" s="5">
        <v>0</v>
      </c>
      <c r="K442" s="5" t="s">
        <v>292</v>
      </c>
      <c r="L442" s="5" t="s">
        <v>767</v>
      </c>
      <c r="M442" s="5">
        <v>41</v>
      </c>
      <c r="N442" s="5" t="s">
        <v>43</v>
      </c>
      <c r="O442" s="5" t="s">
        <v>266</v>
      </c>
      <c r="Q442" s="5" t="s">
        <v>1323</v>
      </c>
      <c r="S442" s="5" t="s">
        <v>328</v>
      </c>
    </row>
    <row r="443" spans="1:21" x14ac:dyDescent="0.2">
      <c r="A443" s="5">
        <v>459</v>
      </c>
      <c r="B443" s="8" t="s">
        <v>1586</v>
      </c>
      <c r="H443" s="8" t="s">
        <v>1587</v>
      </c>
      <c r="I443" s="8" t="s">
        <v>1587</v>
      </c>
      <c r="J443" s="5">
        <v>82</v>
      </c>
      <c r="K443" s="5" t="s">
        <v>292</v>
      </c>
      <c r="L443" s="5" t="s">
        <v>767</v>
      </c>
      <c r="M443" s="5">
        <v>41</v>
      </c>
      <c r="N443" s="5" t="s">
        <v>43</v>
      </c>
      <c r="O443" s="5" t="s">
        <v>789</v>
      </c>
      <c r="Q443" s="10" t="s">
        <v>553</v>
      </c>
      <c r="R443" s="5" t="s">
        <v>1588</v>
      </c>
    </row>
    <row r="444" spans="1:21" x14ac:dyDescent="0.2">
      <c r="A444" s="5">
        <v>460</v>
      </c>
      <c r="B444" s="8">
        <v>61800929321</v>
      </c>
      <c r="H444" s="8" t="s">
        <v>1589</v>
      </c>
      <c r="I444" s="8" t="s">
        <v>1590</v>
      </c>
      <c r="J444" s="5">
        <f>91-20-2-4-2-3-40+40</f>
        <v>60</v>
      </c>
      <c r="K444" s="5" t="s">
        <v>292</v>
      </c>
      <c r="L444" s="5" t="s">
        <v>767</v>
      </c>
      <c r="M444" s="5">
        <v>41</v>
      </c>
      <c r="N444" s="5" t="s">
        <v>43</v>
      </c>
      <c r="O444" s="5" t="s">
        <v>789</v>
      </c>
      <c r="Q444" s="5" t="s">
        <v>1591</v>
      </c>
    </row>
    <row r="445" spans="1:21" x14ac:dyDescent="0.2">
      <c r="A445" s="5">
        <v>461</v>
      </c>
      <c r="B445" s="8">
        <v>61800929221</v>
      </c>
      <c r="H445" s="8" t="s">
        <v>1592</v>
      </c>
      <c r="I445" s="8" t="s">
        <v>1593</v>
      </c>
      <c r="J445" s="5">
        <f>218-1-2+14-2-1+1-5</f>
        <v>222</v>
      </c>
      <c r="K445" s="5" t="s">
        <v>292</v>
      </c>
      <c r="L445" s="5" t="s">
        <v>767</v>
      </c>
      <c r="M445" s="5">
        <v>41</v>
      </c>
      <c r="N445" s="5" t="s">
        <v>43</v>
      </c>
      <c r="O445" s="5" t="s">
        <v>789</v>
      </c>
      <c r="Q445" s="5" t="s">
        <v>1594</v>
      </c>
      <c r="S445" s="5" t="s">
        <v>328</v>
      </c>
    </row>
    <row r="446" spans="1:21" x14ac:dyDescent="0.2">
      <c r="A446" s="5">
        <v>462</v>
      </c>
      <c r="B446" s="8" t="s">
        <v>1595</v>
      </c>
      <c r="H446" s="8" t="s">
        <v>1596</v>
      </c>
      <c r="I446" s="8" t="s">
        <v>1596</v>
      </c>
      <c r="J446" s="5">
        <v>3</v>
      </c>
      <c r="K446" s="5" t="s">
        <v>292</v>
      </c>
      <c r="L446" s="5" t="s">
        <v>767</v>
      </c>
      <c r="M446" s="5">
        <v>41</v>
      </c>
      <c r="N446" s="5" t="s">
        <v>43</v>
      </c>
      <c r="O446" s="5" t="s">
        <v>789</v>
      </c>
      <c r="Q446" s="10" t="s">
        <v>553</v>
      </c>
    </row>
    <row r="447" spans="1:21" x14ac:dyDescent="0.2">
      <c r="A447" s="5">
        <v>463</v>
      </c>
      <c r="B447" s="8" t="s">
        <v>1597</v>
      </c>
      <c r="H447" s="8" t="s">
        <v>1598</v>
      </c>
      <c r="I447" s="8" t="s">
        <v>1598</v>
      </c>
      <c r="J447" s="5">
        <f>22-2-1-5-7-1</f>
        <v>6</v>
      </c>
      <c r="K447" s="5" t="s">
        <v>292</v>
      </c>
      <c r="L447" s="5" t="s">
        <v>767</v>
      </c>
      <c r="M447" s="5">
        <v>41</v>
      </c>
      <c r="N447" s="5" t="s">
        <v>43</v>
      </c>
      <c r="O447" s="5" t="s">
        <v>789</v>
      </c>
      <c r="Q447" s="5" t="s">
        <v>1599</v>
      </c>
    </row>
    <row r="448" spans="1:21" x14ac:dyDescent="0.2">
      <c r="A448" s="5">
        <v>465</v>
      </c>
      <c r="B448" s="8" t="s">
        <v>1600</v>
      </c>
      <c r="H448" s="8" t="s">
        <v>1601</v>
      </c>
      <c r="I448" s="8" t="s">
        <v>1601</v>
      </c>
      <c r="J448" s="5">
        <v>4</v>
      </c>
      <c r="K448" s="5" t="s">
        <v>292</v>
      </c>
      <c r="L448" s="5" t="s">
        <v>767</v>
      </c>
      <c r="M448" s="5">
        <v>41</v>
      </c>
      <c r="N448" s="5" t="s">
        <v>43</v>
      </c>
      <c r="O448" s="5" t="s">
        <v>789</v>
      </c>
      <c r="Q448" s="5" t="s">
        <v>1602</v>
      </c>
    </row>
    <row r="449" spans="1:19" x14ac:dyDescent="0.2">
      <c r="A449" s="5">
        <v>691</v>
      </c>
      <c r="B449" s="8" t="s">
        <v>1603</v>
      </c>
      <c r="H449" s="8" t="s">
        <v>1604</v>
      </c>
      <c r="I449" s="8" t="s">
        <v>1605</v>
      </c>
      <c r="J449" s="5">
        <f>24-12-8-3-1+30</f>
        <v>30</v>
      </c>
      <c r="K449" s="5" t="s">
        <v>292</v>
      </c>
      <c r="L449" s="5" t="s">
        <v>767</v>
      </c>
      <c r="M449" s="5">
        <v>41</v>
      </c>
      <c r="N449" s="5" t="s">
        <v>43</v>
      </c>
      <c r="O449" s="5" t="s">
        <v>789</v>
      </c>
      <c r="Q449" s="5" t="s">
        <v>1606</v>
      </c>
    </row>
    <row r="450" spans="1:19" x14ac:dyDescent="0.2">
      <c r="A450" s="5">
        <v>2338</v>
      </c>
      <c r="B450" s="8" t="s">
        <v>1607</v>
      </c>
      <c r="H450" s="8" t="s">
        <v>1608</v>
      </c>
      <c r="I450" s="8" t="s">
        <v>1608</v>
      </c>
      <c r="J450" s="5">
        <v>0</v>
      </c>
      <c r="K450" s="5" t="s">
        <v>292</v>
      </c>
      <c r="L450" s="5" t="s">
        <v>767</v>
      </c>
      <c r="M450" s="5">
        <v>41</v>
      </c>
      <c r="N450" s="5" t="s">
        <v>43</v>
      </c>
      <c r="O450" s="5" t="s">
        <v>789</v>
      </c>
      <c r="Q450" s="5" t="s">
        <v>1609</v>
      </c>
    </row>
    <row r="451" spans="1:19" x14ac:dyDescent="0.2">
      <c r="A451" s="5"/>
      <c r="B451" s="189">
        <v>618009233821</v>
      </c>
      <c r="H451" s="8" t="s">
        <v>1610</v>
      </c>
      <c r="I451" s="8" t="s">
        <v>1611</v>
      </c>
      <c r="J451" s="5">
        <f>20-2</f>
        <v>18</v>
      </c>
      <c r="K451" s="5" t="s">
        <v>292</v>
      </c>
      <c r="L451" s="5" t="s">
        <v>767</v>
      </c>
      <c r="M451" s="5">
        <v>41</v>
      </c>
      <c r="N451" s="5" t="s">
        <v>43</v>
      </c>
      <c r="O451" s="5" t="s">
        <v>789</v>
      </c>
      <c r="Q451" s="5" t="s">
        <v>1612</v>
      </c>
    </row>
    <row r="452" spans="1:19" x14ac:dyDescent="0.2">
      <c r="A452" s="5"/>
      <c r="B452" s="8" t="s">
        <v>1613</v>
      </c>
      <c r="H452" s="8" t="s">
        <v>1614</v>
      </c>
      <c r="I452" s="8" t="s">
        <v>1615</v>
      </c>
      <c r="J452" s="5">
        <f>100-29+9-1</f>
        <v>79</v>
      </c>
      <c r="K452" s="5" t="s">
        <v>21</v>
      </c>
      <c r="L452" s="5" t="s">
        <v>767</v>
      </c>
      <c r="M452" s="5">
        <v>42</v>
      </c>
      <c r="N452" s="5" t="s">
        <v>43</v>
      </c>
      <c r="O452" s="5" t="s">
        <v>789</v>
      </c>
      <c r="S452" s="5" t="s">
        <v>328</v>
      </c>
    </row>
    <row r="453" spans="1:19" x14ac:dyDescent="0.2">
      <c r="A453" s="5"/>
      <c r="B453" s="8" t="s">
        <v>1616</v>
      </c>
      <c r="H453" s="8" t="s">
        <v>1617</v>
      </c>
      <c r="I453" s="8" t="s">
        <v>1617</v>
      </c>
      <c r="J453" s="5">
        <f>30</f>
        <v>30</v>
      </c>
      <c r="K453" s="5" t="s">
        <v>21</v>
      </c>
      <c r="L453" s="5" t="s">
        <v>767</v>
      </c>
      <c r="M453" s="5">
        <v>42</v>
      </c>
    </row>
    <row r="454" spans="1:19" x14ac:dyDescent="0.2">
      <c r="A454" s="5">
        <v>466</v>
      </c>
      <c r="B454" s="8" t="s">
        <v>1618</v>
      </c>
      <c r="H454" s="8" t="s">
        <v>1619</v>
      </c>
      <c r="I454" s="8" t="s">
        <v>1620</v>
      </c>
      <c r="J454" s="5">
        <f>126-4-5-22-17-4-10-1</f>
        <v>63</v>
      </c>
      <c r="K454" s="5" t="s">
        <v>292</v>
      </c>
      <c r="L454" s="5" t="s">
        <v>767</v>
      </c>
      <c r="M454" s="5">
        <v>42</v>
      </c>
      <c r="N454" s="5" t="s">
        <v>43</v>
      </c>
      <c r="O454" s="5" t="s">
        <v>789</v>
      </c>
      <c r="Q454" s="10" t="s">
        <v>553</v>
      </c>
    </row>
    <row r="455" spans="1:19" x14ac:dyDescent="0.2">
      <c r="A455" s="5">
        <v>467</v>
      </c>
      <c r="B455" s="8" t="s">
        <v>1621</v>
      </c>
      <c r="H455" s="8" t="s">
        <v>1622</v>
      </c>
      <c r="I455" s="8" t="s">
        <v>1623</v>
      </c>
      <c r="J455" s="5">
        <f>233-3</f>
        <v>230</v>
      </c>
      <c r="K455" s="5" t="s">
        <v>292</v>
      </c>
      <c r="L455" s="5" t="s">
        <v>767</v>
      </c>
      <c r="M455" s="5">
        <v>42</v>
      </c>
      <c r="N455" s="5" t="s">
        <v>43</v>
      </c>
      <c r="O455" s="5" t="s">
        <v>789</v>
      </c>
      <c r="Q455" s="5" t="s">
        <v>1624</v>
      </c>
      <c r="S455" s="5" t="s">
        <v>328</v>
      </c>
    </row>
    <row r="456" spans="1:19" x14ac:dyDescent="0.2">
      <c r="A456" s="5">
        <v>468</v>
      </c>
      <c r="B456" s="8" t="s">
        <v>1625</v>
      </c>
      <c r="H456" s="8" t="s">
        <v>1626</v>
      </c>
      <c r="I456" s="8" t="s">
        <v>1626</v>
      </c>
      <c r="J456" s="5">
        <v>35</v>
      </c>
      <c r="K456" s="5" t="s">
        <v>292</v>
      </c>
      <c r="L456" s="5" t="s">
        <v>767</v>
      </c>
      <c r="M456" s="5">
        <v>42</v>
      </c>
      <c r="N456" s="5" t="s">
        <v>43</v>
      </c>
      <c r="O456" s="5" t="s">
        <v>789</v>
      </c>
      <c r="Q456" s="10" t="s">
        <v>553</v>
      </c>
    </row>
    <row r="457" spans="1:19" x14ac:dyDescent="0.2">
      <c r="A457" s="5">
        <v>469</v>
      </c>
      <c r="B457" s="8" t="s">
        <v>1627</v>
      </c>
      <c r="H457" s="8" t="s">
        <v>1628</v>
      </c>
      <c r="I457" s="8" t="s">
        <v>1628</v>
      </c>
      <c r="J457" s="5">
        <v>97</v>
      </c>
      <c r="K457" s="5" t="s">
        <v>292</v>
      </c>
      <c r="L457" s="5" t="s">
        <v>767</v>
      </c>
      <c r="M457" s="5">
        <v>42</v>
      </c>
      <c r="N457" s="5" t="s">
        <v>43</v>
      </c>
      <c r="O457" s="5" t="s">
        <v>789</v>
      </c>
      <c r="Q457" s="5" t="s">
        <v>1629</v>
      </c>
      <c r="S457" s="5" t="s">
        <v>328</v>
      </c>
    </row>
    <row r="458" spans="1:19" x14ac:dyDescent="0.2">
      <c r="A458" s="5">
        <v>470</v>
      </c>
      <c r="B458" s="8" t="s">
        <v>1630</v>
      </c>
      <c r="H458" s="8" t="s">
        <v>1631</v>
      </c>
      <c r="I458" s="8" t="s">
        <v>1631</v>
      </c>
      <c r="J458" s="5">
        <v>56</v>
      </c>
      <c r="K458" s="5" t="s">
        <v>292</v>
      </c>
      <c r="L458" s="5" t="s">
        <v>767</v>
      </c>
      <c r="M458" s="5">
        <v>42</v>
      </c>
      <c r="N458" s="5" t="s">
        <v>43</v>
      </c>
      <c r="O458" s="5" t="s">
        <v>789</v>
      </c>
      <c r="Q458" s="10" t="s">
        <v>553</v>
      </c>
      <c r="S458" s="5" t="s">
        <v>328</v>
      </c>
    </row>
    <row r="459" spans="1:19" x14ac:dyDescent="0.2">
      <c r="A459" s="5">
        <v>471</v>
      </c>
      <c r="B459" s="8" t="s">
        <v>1632</v>
      </c>
      <c r="H459" s="8" t="s">
        <v>1633</v>
      </c>
      <c r="I459" s="8" t="s">
        <v>1633</v>
      </c>
      <c r="J459" s="5">
        <f>4-1</f>
        <v>3</v>
      </c>
      <c r="K459" s="5" t="s">
        <v>292</v>
      </c>
      <c r="L459" s="5" t="s">
        <v>767</v>
      </c>
      <c r="M459" s="5">
        <v>42</v>
      </c>
      <c r="N459" s="5" t="s">
        <v>43</v>
      </c>
      <c r="O459" s="5" t="s">
        <v>789</v>
      </c>
      <c r="Q459" s="10" t="s">
        <v>553</v>
      </c>
      <c r="S459" s="5" t="s">
        <v>328</v>
      </c>
    </row>
    <row r="460" spans="1:19" x14ac:dyDescent="0.2">
      <c r="A460" s="5">
        <v>472</v>
      </c>
      <c r="B460" s="8" t="s">
        <v>1634</v>
      </c>
      <c r="H460" s="8" t="s">
        <v>1635</v>
      </c>
      <c r="I460" s="8" t="s">
        <v>1635</v>
      </c>
      <c r="J460" s="5">
        <v>8</v>
      </c>
      <c r="K460" s="5" t="s">
        <v>292</v>
      </c>
      <c r="L460" s="5" t="s">
        <v>767</v>
      </c>
      <c r="M460" s="5">
        <v>42</v>
      </c>
      <c r="N460" s="5" t="s">
        <v>43</v>
      </c>
      <c r="O460" s="5" t="s">
        <v>789</v>
      </c>
      <c r="Q460" s="10" t="s">
        <v>553</v>
      </c>
      <c r="S460" s="5" t="s">
        <v>328</v>
      </c>
    </row>
    <row r="461" spans="1:19" x14ac:dyDescent="0.2">
      <c r="A461" s="5">
        <v>473</v>
      </c>
      <c r="B461" s="8" t="s">
        <v>1636</v>
      </c>
      <c r="H461" s="8" t="s">
        <v>1637</v>
      </c>
      <c r="I461" s="8" t="s">
        <v>1638</v>
      </c>
      <c r="J461" s="5">
        <v>9</v>
      </c>
      <c r="K461" s="5" t="s">
        <v>292</v>
      </c>
      <c r="L461" s="5" t="s">
        <v>767</v>
      </c>
      <c r="M461" s="5">
        <v>42</v>
      </c>
      <c r="N461" s="5" t="s">
        <v>43</v>
      </c>
      <c r="O461" s="5" t="s">
        <v>789</v>
      </c>
      <c r="Q461" s="10" t="s">
        <v>553</v>
      </c>
    </row>
    <row r="462" spans="1:19" x14ac:dyDescent="0.2">
      <c r="A462" s="5">
        <v>924</v>
      </c>
      <c r="B462" s="8" t="s">
        <v>553</v>
      </c>
      <c r="H462" s="8" t="s">
        <v>1639</v>
      </c>
      <c r="I462" s="8" t="s">
        <v>1639</v>
      </c>
      <c r="J462" s="5">
        <v>49</v>
      </c>
      <c r="K462" s="5" t="s">
        <v>292</v>
      </c>
      <c r="L462" s="5" t="s">
        <v>767</v>
      </c>
      <c r="M462" s="5">
        <v>42</v>
      </c>
      <c r="N462" s="5" t="s">
        <v>43</v>
      </c>
      <c r="O462" s="5" t="s">
        <v>1640</v>
      </c>
      <c r="Q462" s="5" t="s">
        <v>1641</v>
      </c>
    </row>
    <row r="463" spans="1:19" x14ac:dyDescent="0.2">
      <c r="B463" s="8" t="s">
        <v>1642</v>
      </c>
      <c r="H463" s="8" t="s">
        <v>1643</v>
      </c>
      <c r="I463" s="8" t="s">
        <v>1644</v>
      </c>
      <c r="J463" s="5">
        <f>925+94+90</f>
        <v>1109</v>
      </c>
      <c r="K463" s="5" t="s">
        <v>292</v>
      </c>
      <c r="L463" s="5" t="s">
        <v>767</v>
      </c>
      <c r="M463" s="5">
        <v>42</v>
      </c>
    </row>
    <row r="464" spans="1:19" x14ac:dyDescent="0.2">
      <c r="B464" s="11" t="s">
        <v>1645</v>
      </c>
      <c r="H464" s="8" t="s">
        <v>1646</v>
      </c>
      <c r="I464" s="8" t="s">
        <v>1646</v>
      </c>
      <c r="J464" s="5">
        <f>95+8</f>
        <v>103</v>
      </c>
      <c r="K464" s="5" t="s">
        <v>292</v>
      </c>
      <c r="L464" s="5" t="s">
        <v>767</v>
      </c>
      <c r="M464" s="5">
        <v>42</v>
      </c>
      <c r="R464" s="6"/>
      <c r="S464" s="6" t="s">
        <v>328</v>
      </c>
    </row>
    <row r="465" spans="1:20" x14ac:dyDescent="0.2">
      <c r="A465" s="5">
        <v>1427</v>
      </c>
      <c r="B465" s="8" t="s">
        <v>1647</v>
      </c>
      <c r="H465" s="8" t="s">
        <v>1648</v>
      </c>
      <c r="I465" s="8" t="s">
        <v>1648</v>
      </c>
      <c r="J465" s="5">
        <v>105</v>
      </c>
      <c r="K465" s="5" t="s">
        <v>292</v>
      </c>
      <c r="L465" s="5" t="s">
        <v>767</v>
      </c>
      <c r="M465" s="5">
        <v>43</v>
      </c>
      <c r="N465" s="5" t="s">
        <v>1021</v>
      </c>
      <c r="O465" s="5" t="s">
        <v>574</v>
      </c>
      <c r="Q465" s="10" t="s">
        <v>553</v>
      </c>
      <c r="R465" s="6"/>
      <c r="S465" s="6" t="s">
        <v>328</v>
      </c>
      <c r="T465" s="5" t="s">
        <v>777</v>
      </c>
    </row>
    <row r="466" spans="1:20" x14ac:dyDescent="0.2">
      <c r="A466" s="5">
        <v>1428</v>
      </c>
      <c r="B466" s="8" t="s">
        <v>1649</v>
      </c>
      <c r="H466" s="8" t="s">
        <v>1650</v>
      </c>
      <c r="I466" s="8" t="s">
        <v>1650</v>
      </c>
      <c r="J466" s="5">
        <v>329</v>
      </c>
      <c r="K466" s="5" t="s">
        <v>292</v>
      </c>
      <c r="L466" s="5" t="s">
        <v>767</v>
      </c>
      <c r="M466" s="5">
        <v>43</v>
      </c>
      <c r="N466" s="5" t="s">
        <v>1021</v>
      </c>
      <c r="O466" s="5" t="s">
        <v>574</v>
      </c>
      <c r="Q466" s="10" t="s">
        <v>553</v>
      </c>
      <c r="R466" s="6"/>
      <c r="S466" s="6" t="s">
        <v>328</v>
      </c>
      <c r="T466" s="5" t="s">
        <v>777</v>
      </c>
    </row>
    <row r="467" spans="1:20" x14ac:dyDescent="0.2">
      <c r="A467" s="5">
        <v>1429</v>
      </c>
      <c r="B467" s="8" t="s">
        <v>1651</v>
      </c>
      <c r="H467" s="8" t="s">
        <v>1652</v>
      </c>
      <c r="I467" s="8" t="s">
        <v>1653</v>
      </c>
      <c r="J467" s="5">
        <v>161</v>
      </c>
      <c r="K467" s="5" t="s">
        <v>292</v>
      </c>
      <c r="L467" s="5" t="s">
        <v>767</v>
      </c>
      <c r="M467" s="5">
        <v>43</v>
      </c>
      <c r="N467" s="5" t="s">
        <v>1021</v>
      </c>
      <c r="O467" s="5" t="s">
        <v>574</v>
      </c>
      <c r="Q467" s="10" t="s">
        <v>553</v>
      </c>
      <c r="R467" s="6"/>
      <c r="S467" s="6" t="s">
        <v>328</v>
      </c>
      <c r="T467" s="5" t="s">
        <v>777</v>
      </c>
    </row>
    <row r="468" spans="1:20" x14ac:dyDescent="0.2">
      <c r="A468" s="5">
        <v>1430</v>
      </c>
      <c r="B468" s="8" t="s">
        <v>1654</v>
      </c>
      <c r="H468" s="8" t="s">
        <v>1655</v>
      </c>
      <c r="I468" s="8" t="s">
        <v>1655</v>
      </c>
      <c r="J468" s="5">
        <v>386</v>
      </c>
      <c r="K468" s="5" t="s">
        <v>292</v>
      </c>
      <c r="L468" s="5" t="s">
        <v>767</v>
      </c>
      <c r="M468" s="5">
        <v>43</v>
      </c>
      <c r="N468" s="5" t="s">
        <v>1021</v>
      </c>
      <c r="O468" s="5" t="s">
        <v>574</v>
      </c>
      <c r="Q468" s="10" t="s">
        <v>553</v>
      </c>
      <c r="S468" s="5" t="s">
        <v>328</v>
      </c>
      <c r="T468" s="5" t="s">
        <v>777</v>
      </c>
    </row>
    <row r="469" spans="1:20" x14ac:dyDescent="0.2">
      <c r="A469" s="5">
        <v>474</v>
      </c>
      <c r="B469" s="11" t="s">
        <v>1656</v>
      </c>
      <c r="C469" s="11"/>
      <c r="D469" s="11"/>
      <c r="E469" s="26"/>
      <c r="F469" s="11"/>
      <c r="G469" s="11"/>
      <c r="H469" s="8" t="s">
        <v>43</v>
      </c>
      <c r="I469" s="8" t="s">
        <v>1657</v>
      </c>
      <c r="J469" s="5">
        <v>9</v>
      </c>
      <c r="K469" s="5" t="s">
        <v>292</v>
      </c>
      <c r="L469" s="5" t="s">
        <v>767</v>
      </c>
      <c r="M469" s="5">
        <v>44</v>
      </c>
      <c r="N469" s="5" t="s">
        <v>43</v>
      </c>
      <c r="O469" s="5" t="s">
        <v>789</v>
      </c>
      <c r="Q469" s="10" t="s">
        <v>553</v>
      </c>
      <c r="S469" s="5" t="s">
        <v>328</v>
      </c>
    </row>
    <row r="470" spans="1:20" x14ac:dyDescent="0.2">
      <c r="A470" s="5">
        <v>475</v>
      </c>
      <c r="B470" s="8" t="s">
        <v>1658</v>
      </c>
      <c r="H470" s="8" t="s">
        <v>1659</v>
      </c>
      <c r="I470" s="8" t="s">
        <v>1659</v>
      </c>
      <c r="J470" s="5">
        <v>0</v>
      </c>
      <c r="K470" s="5" t="s">
        <v>292</v>
      </c>
      <c r="L470" s="5" t="s">
        <v>767</v>
      </c>
      <c r="M470" s="5">
        <v>44</v>
      </c>
      <c r="N470" s="5" t="s">
        <v>43</v>
      </c>
      <c r="O470" s="5" t="s">
        <v>789</v>
      </c>
      <c r="Q470" s="10" t="s">
        <v>553</v>
      </c>
      <c r="S470" s="5" t="s">
        <v>328</v>
      </c>
    </row>
    <row r="471" spans="1:20" x14ac:dyDescent="0.2">
      <c r="A471" s="5">
        <v>476</v>
      </c>
      <c r="B471" s="8" t="s">
        <v>1660</v>
      </c>
      <c r="H471" s="8" t="s">
        <v>1661</v>
      </c>
      <c r="I471" s="8" t="s">
        <v>1661</v>
      </c>
      <c r="J471" s="5">
        <v>21</v>
      </c>
      <c r="K471" s="5" t="s">
        <v>292</v>
      </c>
      <c r="L471" s="5" t="s">
        <v>767</v>
      </c>
      <c r="M471" s="5">
        <v>44</v>
      </c>
      <c r="N471" s="5" t="s">
        <v>43</v>
      </c>
      <c r="O471" s="5" t="s">
        <v>789</v>
      </c>
      <c r="Q471" s="10" t="s">
        <v>553</v>
      </c>
    </row>
    <row r="472" spans="1:20" x14ac:dyDescent="0.2">
      <c r="A472" s="5">
        <v>477</v>
      </c>
      <c r="B472" s="11" t="s">
        <v>1662</v>
      </c>
      <c r="C472" s="11"/>
      <c r="D472" s="11"/>
      <c r="E472" s="26"/>
      <c r="F472" s="11"/>
      <c r="G472" s="11"/>
      <c r="H472" s="8" t="s">
        <v>1663</v>
      </c>
      <c r="I472" s="8" t="s">
        <v>1663</v>
      </c>
      <c r="J472" s="5">
        <f>159-4</f>
        <v>155</v>
      </c>
      <c r="K472" s="5" t="s">
        <v>292</v>
      </c>
      <c r="L472" s="5" t="s">
        <v>767</v>
      </c>
      <c r="M472" s="5">
        <v>44</v>
      </c>
      <c r="N472" s="5" t="s">
        <v>43</v>
      </c>
      <c r="O472" s="5" t="s">
        <v>789</v>
      </c>
      <c r="Q472" s="5" t="s">
        <v>1664</v>
      </c>
    </row>
    <row r="473" spans="1:20" x14ac:dyDescent="0.2">
      <c r="A473" s="5">
        <v>2352</v>
      </c>
      <c r="B473" s="8" t="s">
        <v>1665</v>
      </c>
      <c r="H473" s="8" t="s">
        <v>1666</v>
      </c>
      <c r="I473" s="8" t="s">
        <v>1666</v>
      </c>
      <c r="J473" s="5">
        <f>31-3-1-8-3-1-3+35+12+1-4</f>
        <v>56</v>
      </c>
      <c r="K473" s="5" t="s">
        <v>21</v>
      </c>
      <c r="L473" s="5" t="s">
        <v>767</v>
      </c>
      <c r="M473" s="5">
        <v>44</v>
      </c>
      <c r="N473" s="5" t="s">
        <v>43</v>
      </c>
      <c r="O473" s="5" t="s">
        <v>789</v>
      </c>
      <c r="Q473" s="5" t="s">
        <v>1667</v>
      </c>
    </row>
    <row r="474" spans="1:20" x14ac:dyDescent="0.2">
      <c r="A474" s="5"/>
      <c r="B474" s="8" t="s">
        <v>1668</v>
      </c>
      <c r="H474" s="8" t="s">
        <v>1669</v>
      </c>
      <c r="I474" s="8" t="s">
        <v>1669</v>
      </c>
      <c r="J474" s="5">
        <f>34</f>
        <v>34</v>
      </c>
      <c r="K474" s="5" t="s">
        <v>292</v>
      </c>
      <c r="L474" s="5" t="s">
        <v>767</v>
      </c>
      <c r="M474" s="5">
        <v>44</v>
      </c>
      <c r="N474" s="5" t="s">
        <v>43</v>
      </c>
      <c r="Q474" s="107" t="s">
        <v>1670</v>
      </c>
    </row>
    <row r="475" spans="1:20" x14ac:dyDescent="0.2">
      <c r="A475" s="5"/>
      <c r="B475" s="108" t="s">
        <v>1671</v>
      </c>
      <c r="H475" s="8" t="s">
        <v>1672</v>
      </c>
      <c r="I475" s="8" t="s">
        <v>1672</v>
      </c>
      <c r="J475" s="5">
        <f>29</f>
        <v>29</v>
      </c>
      <c r="K475" s="5" t="s">
        <v>292</v>
      </c>
      <c r="L475" s="5" t="s">
        <v>767</v>
      </c>
      <c r="M475" s="5">
        <v>44</v>
      </c>
      <c r="N475" s="5" t="s">
        <v>43</v>
      </c>
      <c r="Q475" s="107" t="s">
        <v>1670</v>
      </c>
      <c r="R475" s="6"/>
      <c r="S475" s="6"/>
    </row>
    <row r="476" spans="1:20" x14ac:dyDescent="0.2">
      <c r="A476" s="5">
        <v>1431</v>
      </c>
      <c r="B476" s="8" t="s">
        <v>1673</v>
      </c>
      <c r="H476" s="8" t="s">
        <v>1674</v>
      </c>
      <c r="I476" s="8" t="s">
        <v>1674</v>
      </c>
      <c r="J476" s="5">
        <f>17-2-2-4+5-4-10</f>
        <v>0</v>
      </c>
      <c r="K476" s="5" t="s">
        <v>292</v>
      </c>
      <c r="L476" s="5" t="s">
        <v>767</v>
      </c>
      <c r="M476" s="5">
        <v>45</v>
      </c>
      <c r="N476" s="5" t="s">
        <v>1104</v>
      </c>
      <c r="O476" s="5" t="s">
        <v>574</v>
      </c>
      <c r="Q476" s="5" t="s">
        <v>1523</v>
      </c>
      <c r="R476" s="6"/>
      <c r="S476" s="6"/>
      <c r="T476" s="5" t="s">
        <v>777</v>
      </c>
    </row>
    <row r="477" spans="1:20" x14ac:dyDescent="0.2">
      <c r="A477" s="5"/>
      <c r="B477" s="8" t="s">
        <v>1675</v>
      </c>
      <c r="H477" s="8" t="s">
        <v>1676</v>
      </c>
      <c r="I477" s="8" t="s">
        <v>1676</v>
      </c>
      <c r="J477" s="5">
        <f>20-6-6+8-2-6</f>
        <v>8</v>
      </c>
      <c r="K477" s="5" t="s">
        <v>292</v>
      </c>
      <c r="L477" s="5" t="s">
        <v>767</v>
      </c>
      <c r="M477" s="5">
        <v>45</v>
      </c>
      <c r="N477" s="5" t="s">
        <v>1104</v>
      </c>
      <c r="Q477" s="107" t="s">
        <v>1677</v>
      </c>
      <c r="R477" s="6"/>
      <c r="S477" s="6" t="s">
        <v>328</v>
      </c>
    </row>
    <row r="478" spans="1:20" x14ac:dyDescent="0.2">
      <c r="A478" s="5">
        <v>276</v>
      </c>
      <c r="B478" s="8" t="s">
        <v>1678</v>
      </c>
      <c r="H478" s="8" t="s">
        <v>1679</v>
      </c>
      <c r="I478" s="8" t="s">
        <v>1679</v>
      </c>
      <c r="J478" s="5">
        <f>23+2-1</f>
        <v>24</v>
      </c>
      <c r="K478" s="5" t="s">
        <v>292</v>
      </c>
      <c r="L478" s="5" t="s">
        <v>767</v>
      </c>
      <c r="M478" s="5">
        <v>45</v>
      </c>
      <c r="N478" s="5" t="s">
        <v>1104</v>
      </c>
      <c r="O478" s="5" t="s">
        <v>266</v>
      </c>
      <c r="Q478" s="5" t="s">
        <v>1680</v>
      </c>
    </row>
    <row r="479" spans="1:20" x14ac:dyDescent="0.2">
      <c r="A479" s="5">
        <v>1433</v>
      </c>
      <c r="B479" s="8" t="s">
        <v>1681</v>
      </c>
      <c r="H479" s="8" t="s">
        <v>1682</v>
      </c>
      <c r="I479" s="8" t="s">
        <v>1683</v>
      </c>
      <c r="J479" s="5">
        <v>5</v>
      </c>
      <c r="K479" s="5" t="s">
        <v>292</v>
      </c>
      <c r="L479" s="5" t="s">
        <v>767</v>
      </c>
      <c r="M479" s="5">
        <v>45</v>
      </c>
      <c r="N479" s="5" t="s">
        <v>1104</v>
      </c>
      <c r="O479" s="5" t="s">
        <v>574</v>
      </c>
      <c r="Q479" s="10" t="s">
        <v>553</v>
      </c>
      <c r="R479" s="6"/>
      <c r="S479" s="6"/>
      <c r="T479" s="5" t="s">
        <v>777</v>
      </c>
    </row>
    <row r="480" spans="1:20" x14ac:dyDescent="0.2">
      <c r="A480" s="5">
        <v>1434</v>
      </c>
      <c r="B480" s="8" t="s">
        <v>1684</v>
      </c>
      <c r="H480" s="8" t="s">
        <v>1685</v>
      </c>
      <c r="I480" s="8" t="s">
        <v>1685</v>
      </c>
      <c r="J480" s="5">
        <v>67</v>
      </c>
      <c r="K480" s="5" t="s">
        <v>292</v>
      </c>
      <c r="L480" s="5" t="s">
        <v>767</v>
      </c>
      <c r="M480" s="5">
        <v>45</v>
      </c>
      <c r="N480" s="5" t="s">
        <v>805</v>
      </c>
      <c r="O480" s="5" t="s">
        <v>574</v>
      </c>
      <c r="Q480" s="5" t="s">
        <v>1686</v>
      </c>
      <c r="R480" s="6"/>
      <c r="S480" s="6"/>
      <c r="T480" s="5" t="s">
        <v>777</v>
      </c>
    </row>
    <row r="481" spans="1:21" x14ac:dyDescent="0.2">
      <c r="A481" s="5"/>
      <c r="B481" s="8" t="s">
        <v>1687</v>
      </c>
      <c r="H481" s="8" t="s">
        <v>1688</v>
      </c>
      <c r="I481" s="8" t="s">
        <v>1688</v>
      </c>
      <c r="J481" s="5">
        <f>10-6+2-3</f>
        <v>3</v>
      </c>
      <c r="K481" s="5" t="s">
        <v>292</v>
      </c>
      <c r="L481" s="5" t="s">
        <v>767</v>
      </c>
      <c r="M481" s="5">
        <v>45</v>
      </c>
      <c r="N481" s="5" t="s">
        <v>805</v>
      </c>
      <c r="Q481" s="107" t="s">
        <v>1689</v>
      </c>
      <c r="R481" s="6"/>
      <c r="S481" s="6"/>
    </row>
    <row r="482" spans="1:21" x14ac:dyDescent="0.2">
      <c r="A482" s="5">
        <v>1435</v>
      </c>
      <c r="B482" s="8" t="s">
        <v>1690</v>
      </c>
      <c r="H482" s="8" t="s">
        <v>1691</v>
      </c>
      <c r="I482" s="8" t="s">
        <v>1691</v>
      </c>
      <c r="J482" s="5">
        <f>18-18</f>
        <v>0</v>
      </c>
      <c r="K482" s="5" t="s">
        <v>292</v>
      </c>
      <c r="L482" s="5" t="s">
        <v>767</v>
      </c>
      <c r="M482" s="5">
        <v>46</v>
      </c>
      <c r="N482" s="5" t="s">
        <v>1563</v>
      </c>
      <c r="O482" s="5" t="s">
        <v>574</v>
      </c>
      <c r="Q482" s="5" t="s">
        <v>1692</v>
      </c>
      <c r="R482" s="6"/>
      <c r="S482" s="6"/>
      <c r="T482" s="5" t="s">
        <v>777</v>
      </c>
    </row>
    <row r="483" spans="1:21" x14ac:dyDescent="0.2">
      <c r="A483" s="5">
        <v>1436</v>
      </c>
      <c r="B483" s="8" t="s">
        <v>1693</v>
      </c>
      <c r="H483" s="8" t="s">
        <v>1694</v>
      </c>
      <c r="I483" s="8" t="s">
        <v>1695</v>
      </c>
      <c r="J483" s="5">
        <f>437-32</f>
        <v>405</v>
      </c>
      <c r="K483" s="5" t="s">
        <v>292</v>
      </c>
      <c r="L483" s="5" t="s">
        <v>767</v>
      </c>
      <c r="M483" s="5">
        <v>46</v>
      </c>
      <c r="N483" s="5" t="s">
        <v>805</v>
      </c>
      <c r="O483" s="5" t="s">
        <v>574</v>
      </c>
      <c r="Q483" s="5" t="s">
        <v>1692</v>
      </c>
      <c r="R483" s="6"/>
      <c r="S483" s="6"/>
      <c r="T483" s="5" t="s">
        <v>777</v>
      </c>
    </row>
    <row r="484" spans="1:21" x14ac:dyDescent="0.2">
      <c r="A484" s="5">
        <v>1437</v>
      </c>
      <c r="B484" s="8" t="s">
        <v>1696</v>
      </c>
      <c r="H484" s="8" t="s">
        <v>1697</v>
      </c>
      <c r="I484" s="8" t="s">
        <v>1698</v>
      </c>
      <c r="J484" s="5">
        <v>55</v>
      </c>
      <c r="K484" s="5" t="s">
        <v>292</v>
      </c>
      <c r="L484" s="5" t="s">
        <v>767</v>
      </c>
      <c r="M484" s="5">
        <v>46</v>
      </c>
      <c r="N484" s="5" t="s">
        <v>805</v>
      </c>
      <c r="O484" s="5" t="s">
        <v>574</v>
      </c>
      <c r="Q484" s="5" t="s">
        <v>1692</v>
      </c>
      <c r="T484" s="5" t="s">
        <v>777</v>
      </c>
    </row>
    <row r="485" spans="1:21" x14ac:dyDescent="0.2">
      <c r="A485" s="5">
        <v>478</v>
      </c>
      <c r="B485" s="11" t="s">
        <v>1699</v>
      </c>
      <c r="C485" s="8" t="s">
        <v>1700</v>
      </c>
      <c r="D485" s="8" t="s">
        <v>281</v>
      </c>
      <c r="E485" s="24">
        <v>43668</v>
      </c>
      <c r="F485" s="8" t="s">
        <v>259</v>
      </c>
      <c r="G485" s="8" t="s">
        <v>276</v>
      </c>
      <c r="H485" s="8" t="s">
        <v>1701</v>
      </c>
      <c r="I485" s="8" t="s">
        <v>1702</v>
      </c>
      <c r="J485" s="5">
        <f>3-3+45-6-2-3-8-6-7+2+500-102+8-8-10-10</f>
        <v>393</v>
      </c>
      <c r="K485" s="5" t="s">
        <v>292</v>
      </c>
      <c r="L485" s="5" t="s">
        <v>767</v>
      </c>
      <c r="M485" s="5">
        <v>47</v>
      </c>
      <c r="N485" s="5" t="s">
        <v>43</v>
      </c>
      <c r="O485" s="5" t="s">
        <v>789</v>
      </c>
      <c r="Q485" s="5" t="s">
        <v>1703</v>
      </c>
    </row>
    <row r="486" spans="1:21" x14ac:dyDescent="0.2">
      <c r="A486" s="5">
        <v>479</v>
      </c>
      <c r="B486" s="8" t="s">
        <v>1704</v>
      </c>
      <c r="C486" s="8" t="s">
        <v>1705</v>
      </c>
      <c r="D486" s="8" t="s">
        <v>773</v>
      </c>
      <c r="E486" s="24">
        <v>43691</v>
      </c>
      <c r="F486" s="8" t="s">
        <v>259</v>
      </c>
      <c r="G486" s="8" t="s">
        <v>276</v>
      </c>
      <c r="H486" s="8" t="s">
        <v>1706</v>
      </c>
      <c r="I486" s="8" t="s">
        <v>1707</v>
      </c>
      <c r="J486" s="5">
        <f>6-2</f>
        <v>4</v>
      </c>
      <c r="K486" s="5" t="s">
        <v>292</v>
      </c>
      <c r="L486" s="5" t="s">
        <v>767</v>
      </c>
      <c r="M486" s="5">
        <v>47</v>
      </c>
      <c r="N486" s="5" t="s">
        <v>43</v>
      </c>
      <c r="O486" s="5" t="s">
        <v>789</v>
      </c>
      <c r="Q486" s="5" t="s">
        <v>1708</v>
      </c>
    </row>
    <row r="487" spans="1:21" x14ac:dyDescent="0.2">
      <c r="A487" s="5">
        <v>480</v>
      </c>
      <c r="B487" s="8" t="s">
        <v>1709</v>
      </c>
      <c r="C487" s="8" t="s">
        <v>1710</v>
      </c>
      <c r="D487" s="8" t="s">
        <v>281</v>
      </c>
      <c r="E487" s="24">
        <v>43668</v>
      </c>
      <c r="F487" s="8" t="s">
        <v>259</v>
      </c>
      <c r="G487" s="8" t="s">
        <v>276</v>
      </c>
      <c r="H487" s="8" t="s">
        <v>1711</v>
      </c>
      <c r="I487" s="8" t="s">
        <v>1712</v>
      </c>
      <c r="J487" s="5">
        <f>135-3-22-3-3-6-6-1-4+150+18+6-3-1-2-3-8-200-8-14+220-33-8-8-102-1+500-5-10</f>
        <v>575</v>
      </c>
      <c r="K487" s="5" t="s">
        <v>292</v>
      </c>
      <c r="L487" s="5" t="s">
        <v>767</v>
      </c>
      <c r="M487" s="5">
        <v>47</v>
      </c>
      <c r="N487" s="5" t="s">
        <v>43</v>
      </c>
      <c r="O487" s="5" t="s">
        <v>789</v>
      </c>
      <c r="Q487" s="5" t="s">
        <v>1713</v>
      </c>
      <c r="S487" s="5" t="s">
        <v>328</v>
      </c>
    </row>
    <row r="488" spans="1:21" x14ac:dyDescent="0.2">
      <c r="A488" s="5">
        <v>486</v>
      </c>
      <c r="B488" s="8" t="s">
        <v>1714</v>
      </c>
      <c r="H488" s="8" t="s">
        <v>1451</v>
      </c>
      <c r="I488" s="8" t="s">
        <v>1451</v>
      </c>
      <c r="J488" s="5">
        <v>4</v>
      </c>
      <c r="K488" s="5" t="s">
        <v>292</v>
      </c>
      <c r="L488" s="5" t="s">
        <v>767</v>
      </c>
      <c r="M488" s="5">
        <v>47</v>
      </c>
      <c r="N488" s="5" t="s">
        <v>43</v>
      </c>
      <c r="O488" s="5" t="s">
        <v>789</v>
      </c>
      <c r="Q488" s="10" t="s">
        <v>553</v>
      </c>
      <c r="U488" t="s">
        <v>321</v>
      </c>
    </row>
    <row r="489" spans="1:21" x14ac:dyDescent="0.2">
      <c r="A489" s="5"/>
      <c r="B489" s="8" t="s">
        <v>1715</v>
      </c>
      <c r="H489" s="8" t="s">
        <v>1716</v>
      </c>
      <c r="I489" s="8" t="s">
        <v>1716</v>
      </c>
      <c r="J489" s="5">
        <f>4</f>
        <v>4</v>
      </c>
      <c r="K489" s="5" t="s">
        <v>292</v>
      </c>
      <c r="L489" s="5" t="s">
        <v>767</v>
      </c>
      <c r="M489" s="5">
        <v>47</v>
      </c>
      <c r="N489" s="5" t="s">
        <v>43</v>
      </c>
      <c r="Q489" s="107" t="s">
        <v>1327</v>
      </c>
    </row>
    <row r="490" spans="1:21" x14ac:dyDescent="0.2">
      <c r="A490" s="5"/>
      <c r="B490" s="8" t="s">
        <v>1717</v>
      </c>
      <c r="H490" s="8" t="s">
        <v>1718</v>
      </c>
      <c r="I490" s="8" t="s">
        <v>1718</v>
      </c>
      <c r="J490" s="5">
        <f>5</f>
        <v>5</v>
      </c>
      <c r="K490" s="5" t="s">
        <v>292</v>
      </c>
      <c r="L490" s="5" t="s">
        <v>767</v>
      </c>
      <c r="M490" s="5">
        <v>47</v>
      </c>
      <c r="N490" s="5" t="s">
        <v>43</v>
      </c>
      <c r="Q490" s="107" t="s">
        <v>1327</v>
      </c>
    </row>
    <row r="491" spans="1:21" x14ac:dyDescent="0.2">
      <c r="A491" s="5"/>
      <c r="B491" s="130" t="s">
        <v>1616</v>
      </c>
      <c r="H491" s="8" t="s">
        <v>1719</v>
      </c>
      <c r="I491" s="8" t="s">
        <v>1719</v>
      </c>
      <c r="J491" s="5">
        <f>2-1+29</f>
        <v>30</v>
      </c>
      <c r="K491" s="5" t="s">
        <v>292</v>
      </c>
      <c r="L491" s="5" t="s">
        <v>767</v>
      </c>
      <c r="M491" s="5">
        <v>47</v>
      </c>
      <c r="N491" s="5" t="s">
        <v>43</v>
      </c>
      <c r="Q491" s="107" t="s">
        <v>1327</v>
      </c>
    </row>
    <row r="492" spans="1:21" x14ac:dyDescent="0.2">
      <c r="A492" s="5"/>
      <c r="B492" s="130" t="s">
        <v>1720</v>
      </c>
      <c r="H492" s="8" t="s">
        <v>1721</v>
      </c>
      <c r="I492" s="8" t="s">
        <v>1721</v>
      </c>
      <c r="J492" s="5">
        <f>5</f>
        <v>5</v>
      </c>
      <c r="K492" s="5" t="s">
        <v>292</v>
      </c>
      <c r="L492" s="5" t="s">
        <v>767</v>
      </c>
      <c r="M492" s="5">
        <v>47</v>
      </c>
      <c r="N492" s="5" t="s">
        <v>43</v>
      </c>
      <c r="Q492" s="107" t="s">
        <v>1722</v>
      </c>
    </row>
    <row r="493" spans="1:21" x14ac:dyDescent="0.2">
      <c r="A493" s="5"/>
      <c r="B493" s="130" t="s">
        <v>1723</v>
      </c>
      <c r="H493" s="8" t="s">
        <v>1724</v>
      </c>
      <c r="I493" s="8" t="s">
        <v>1724</v>
      </c>
      <c r="J493" s="5">
        <f>2-1</f>
        <v>1</v>
      </c>
      <c r="K493" s="5" t="s">
        <v>292</v>
      </c>
      <c r="L493" s="5" t="s">
        <v>767</v>
      </c>
      <c r="M493" s="5">
        <v>47</v>
      </c>
      <c r="N493" s="5" t="s">
        <v>43</v>
      </c>
      <c r="Q493" s="107" t="s">
        <v>1722</v>
      </c>
    </row>
    <row r="494" spans="1:21" s="73" customFormat="1" x14ac:dyDescent="0.2">
      <c r="A494" s="70">
        <v>481</v>
      </c>
      <c r="B494" s="97" t="s">
        <v>1725</v>
      </c>
      <c r="C494" s="97"/>
      <c r="D494" s="97"/>
      <c r="E494" s="183"/>
      <c r="F494" s="97"/>
      <c r="G494" s="97"/>
      <c r="H494" s="97" t="s">
        <v>1726</v>
      </c>
      <c r="I494" s="97" t="s">
        <v>1726</v>
      </c>
      <c r="J494" s="70">
        <f>48+4-1-10-2+3-2-26</f>
        <v>14</v>
      </c>
      <c r="K494" s="70" t="s">
        <v>292</v>
      </c>
      <c r="L494" s="70" t="s">
        <v>767</v>
      </c>
      <c r="M494" s="70">
        <v>48</v>
      </c>
      <c r="N494" s="70" t="s">
        <v>43</v>
      </c>
      <c r="O494" s="70" t="s">
        <v>789</v>
      </c>
      <c r="P494" s="70"/>
      <c r="Q494" s="70" t="s">
        <v>1727</v>
      </c>
      <c r="R494" s="70"/>
      <c r="S494" s="70"/>
      <c r="T494" s="70"/>
    </row>
    <row r="495" spans="1:21" x14ac:dyDescent="0.2">
      <c r="A495" s="5">
        <v>482</v>
      </c>
      <c r="B495" s="8" t="s">
        <v>1728</v>
      </c>
      <c r="H495" s="8" t="s">
        <v>1729</v>
      </c>
      <c r="I495" s="97" t="s">
        <v>1730</v>
      </c>
      <c r="J495" s="5">
        <f>135+4+4-5-2-1-1-6-22-22+38+100+6-3-3-10-3-8-40-8-1+1+27-2-2-2-1-8-8-11-1+60</f>
        <v>205</v>
      </c>
      <c r="K495" s="5" t="s">
        <v>292</v>
      </c>
      <c r="L495" s="5" t="s">
        <v>767</v>
      </c>
      <c r="M495" s="5">
        <v>48</v>
      </c>
      <c r="N495" s="5" t="s">
        <v>43</v>
      </c>
      <c r="O495" s="5" t="s">
        <v>789</v>
      </c>
      <c r="P495" s="5" t="s">
        <v>1731</v>
      </c>
      <c r="Q495" s="5" t="s">
        <v>1732</v>
      </c>
    </row>
    <row r="496" spans="1:21" x14ac:dyDescent="0.2">
      <c r="A496" s="5">
        <v>483</v>
      </c>
      <c r="B496" s="8" t="s">
        <v>1733</v>
      </c>
      <c r="H496" s="8" t="s">
        <v>1734</v>
      </c>
      <c r="I496" s="8" t="s">
        <v>1735</v>
      </c>
      <c r="J496" s="5">
        <f>7-1-3+10+42-30-25</f>
        <v>0</v>
      </c>
      <c r="K496" s="5" t="s">
        <v>292</v>
      </c>
      <c r="L496" s="5" t="s">
        <v>767</v>
      </c>
      <c r="M496" s="5">
        <v>48</v>
      </c>
      <c r="N496" s="5" t="s">
        <v>43</v>
      </c>
      <c r="O496" s="5" t="s">
        <v>789</v>
      </c>
      <c r="Q496" s="5" t="s">
        <v>1736</v>
      </c>
    </row>
    <row r="497" spans="1:20" x14ac:dyDescent="0.2">
      <c r="A497" s="5"/>
      <c r="B497" s="8">
        <v>61802529321</v>
      </c>
      <c r="H497" s="8" t="s">
        <v>1737</v>
      </c>
      <c r="I497" s="8" t="s">
        <v>1737</v>
      </c>
      <c r="J497" s="5">
        <f>46-2+100-4-2-38+8-5-30-30+60-12</f>
        <v>91</v>
      </c>
      <c r="K497" s="5" t="s">
        <v>292</v>
      </c>
      <c r="L497" s="5" t="s">
        <v>767</v>
      </c>
      <c r="M497" s="5">
        <v>48</v>
      </c>
      <c r="N497" s="5" t="s">
        <v>43</v>
      </c>
      <c r="Q497" s="5" t="s">
        <v>1024</v>
      </c>
    </row>
    <row r="498" spans="1:20" x14ac:dyDescent="0.2">
      <c r="A498" s="5">
        <v>484</v>
      </c>
      <c r="B498" s="8">
        <v>61802529221</v>
      </c>
      <c r="H498" s="8" t="s">
        <v>1738</v>
      </c>
      <c r="I498" s="8" t="s">
        <v>1739</v>
      </c>
      <c r="J498" s="5">
        <f>134-30-2-1-30+39-3-2-1-4-4-2-2-2-2-10-2-2-2-2-2-8-2-2-6-2-6-4-6-2-2-2-2-20+20-12+16-18-4</f>
        <v>6</v>
      </c>
      <c r="K498" s="5" t="s">
        <v>292</v>
      </c>
      <c r="L498" s="5" t="s">
        <v>767</v>
      </c>
      <c r="M498" s="5">
        <v>48</v>
      </c>
      <c r="N498" s="5" t="s">
        <v>43</v>
      </c>
      <c r="O498" s="5" t="s">
        <v>789</v>
      </c>
      <c r="Q498" s="5" t="s">
        <v>1740</v>
      </c>
    </row>
    <row r="499" spans="1:20" x14ac:dyDescent="0.2">
      <c r="A499" s="5">
        <v>2402</v>
      </c>
      <c r="B499" s="8" t="s">
        <v>1741</v>
      </c>
      <c r="C499" s="8" t="s">
        <v>1742</v>
      </c>
      <c r="D499" s="8" t="s">
        <v>914</v>
      </c>
      <c r="E499" s="24">
        <v>43685</v>
      </c>
      <c r="F499" s="8" t="s">
        <v>259</v>
      </c>
      <c r="G499" s="8" t="s">
        <v>276</v>
      </c>
      <c r="H499" s="8" t="s">
        <v>1743</v>
      </c>
      <c r="I499" s="8" t="s">
        <v>1744</v>
      </c>
      <c r="J499" s="5">
        <f>5-5</f>
        <v>0</v>
      </c>
      <c r="K499" s="5" t="s">
        <v>292</v>
      </c>
      <c r="L499" s="5" t="s">
        <v>767</v>
      </c>
      <c r="M499" s="5">
        <v>48</v>
      </c>
      <c r="N499" s="5" t="s">
        <v>43</v>
      </c>
      <c r="O499" s="5" t="s">
        <v>266</v>
      </c>
      <c r="Q499" s="5" t="s">
        <v>1745</v>
      </c>
    </row>
    <row r="500" spans="1:20" x14ac:dyDescent="0.2">
      <c r="A500" s="5">
        <v>2403</v>
      </c>
      <c r="B500" s="8" t="s">
        <v>1746</v>
      </c>
      <c r="C500" s="8" t="s">
        <v>1747</v>
      </c>
      <c r="D500" s="8" t="s">
        <v>914</v>
      </c>
      <c r="E500" s="24">
        <v>43685</v>
      </c>
      <c r="F500" s="8" t="s">
        <v>259</v>
      </c>
      <c r="G500" s="8" t="s">
        <v>276</v>
      </c>
      <c r="H500" s="8" t="s">
        <v>1748</v>
      </c>
      <c r="I500" s="8" t="s">
        <v>1749</v>
      </c>
      <c r="J500" s="5">
        <f>25-3-3-19</f>
        <v>0</v>
      </c>
      <c r="K500" s="5" t="s">
        <v>292</v>
      </c>
      <c r="L500" s="5" t="s">
        <v>767</v>
      </c>
      <c r="M500" s="5">
        <v>48</v>
      </c>
      <c r="N500" s="5" t="s">
        <v>43</v>
      </c>
      <c r="O500" s="5" t="s">
        <v>266</v>
      </c>
      <c r="Q500" s="33" t="s">
        <v>1745</v>
      </c>
    </row>
    <row r="501" spans="1:20" x14ac:dyDescent="0.2">
      <c r="A501" s="5">
        <v>487</v>
      </c>
      <c r="B501" s="8" t="s">
        <v>1750</v>
      </c>
      <c r="H501" s="8" t="s">
        <v>1751</v>
      </c>
      <c r="I501" s="8" t="s">
        <v>1751</v>
      </c>
      <c r="J501" s="5">
        <v>286</v>
      </c>
      <c r="K501" s="5" t="s">
        <v>292</v>
      </c>
      <c r="L501" s="5" t="s">
        <v>767</v>
      </c>
      <c r="M501" s="5">
        <v>49</v>
      </c>
      <c r="N501" s="5" t="s">
        <v>43</v>
      </c>
      <c r="O501" s="5" t="s">
        <v>789</v>
      </c>
      <c r="Q501" s="10" t="s">
        <v>553</v>
      </c>
    </row>
    <row r="502" spans="1:20" x14ac:dyDescent="0.2">
      <c r="A502" s="5">
        <v>488</v>
      </c>
      <c r="B502" s="8" t="s">
        <v>1752</v>
      </c>
      <c r="H502" s="8" t="s">
        <v>1753</v>
      </c>
      <c r="I502" s="8" t="s">
        <v>1753</v>
      </c>
      <c r="J502" s="5">
        <f>949-20-20-3-10-50+5</f>
        <v>851</v>
      </c>
      <c r="K502" s="5" t="s">
        <v>292</v>
      </c>
      <c r="L502" s="5" t="s">
        <v>767</v>
      </c>
      <c r="M502" s="5">
        <v>49</v>
      </c>
      <c r="N502" s="5" t="s">
        <v>43</v>
      </c>
      <c r="O502" s="5" t="s">
        <v>789</v>
      </c>
      <c r="Q502" s="10" t="s">
        <v>553</v>
      </c>
      <c r="R502" s="5" t="s">
        <v>1754</v>
      </c>
    </row>
    <row r="503" spans="1:20" x14ac:dyDescent="0.2">
      <c r="A503" s="5">
        <v>489</v>
      </c>
      <c r="B503" s="8" t="s">
        <v>1755</v>
      </c>
      <c r="H503" s="8" t="s">
        <v>1751</v>
      </c>
      <c r="I503" s="8" t="s">
        <v>1751</v>
      </c>
      <c r="J503" s="5">
        <v>261</v>
      </c>
      <c r="K503" s="5" t="s">
        <v>292</v>
      </c>
      <c r="L503" s="5" t="s">
        <v>767</v>
      </c>
      <c r="M503" s="5">
        <v>49</v>
      </c>
      <c r="N503" s="5" t="s">
        <v>43</v>
      </c>
      <c r="O503" s="5" t="s">
        <v>789</v>
      </c>
      <c r="Q503" s="5" t="s">
        <v>1756</v>
      </c>
    </row>
    <row r="504" spans="1:20" x14ac:dyDescent="0.2">
      <c r="A504" s="5">
        <v>490</v>
      </c>
      <c r="B504" s="11" t="s">
        <v>1757</v>
      </c>
      <c r="C504" s="11"/>
      <c r="D504" s="11"/>
      <c r="E504" s="26"/>
      <c r="F504" s="11"/>
      <c r="G504" s="11"/>
      <c r="H504" s="8" t="s">
        <v>1758</v>
      </c>
      <c r="I504" s="8" t="s">
        <v>1759</v>
      </c>
      <c r="J504" s="5">
        <v>0</v>
      </c>
      <c r="K504" s="5" t="s">
        <v>292</v>
      </c>
      <c r="L504" s="5" t="s">
        <v>767</v>
      </c>
      <c r="M504" s="5">
        <v>49</v>
      </c>
      <c r="N504" s="5" t="s">
        <v>43</v>
      </c>
      <c r="O504" s="5" t="s">
        <v>789</v>
      </c>
      <c r="Q504" s="5" t="s">
        <v>1760</v>
      </c>
      <c r="S504" s="5" t="s">
        <v>328</v>
      </c>
    </row>
    <row r="505" spans="1:20" x14ac:dyDescent="0.2">
      <c r="A505" s="5">
        <v>491</v>
      </c>
      <c r="B505" s="8" t="s">
        <v>1761</v>
      </c>
      <c r="H505" s="8" t="s">
        <v>1762</v>
      </c>
      <c r="I505" s="8" t="s">
        <v>1762</v>
      </c>
      <c r="J505" s="5">
        <v>5</v>
      </c>
      <c r="K505" s="5" t="s">
        <v>292</v>
      </c>
      <c r="L505" s="5" t="s">
        <v>767</v>
      </c>
      <c r="M505" s="5">
        <v>49</v>
      </c>
      <c r="N505" s="5" t="s">
        <v>43</v>
      </c>
      <c r="O505" s="5" t="s">
        <v>789</v>
      </c>
      <c r="Q505" s="10" t="s">
        <v>553</v>
      </c>
      <c r="S505" s="5" t="s">
        <v>328</v>
      </c>
    </row>
    <row r="506" spans="1:20" x14ac:dyDescent="0.2">
      <c r="A506" s="5">
        <v>492</v>
      </c>
      <c r="B506" s="8" t="s">
        <v>1763</v>
      </c>
      <c r="H506" s="8" t="s">
        <v>1764</v>
      </c>
      <c r="I506" s="8" t="s">
        <v>1764</v>
      </c>
      <c r="J506" s="5">
        <v>28</v>
      </c>
      <c r="K506" s="5" t="s">
        <v>292</v>
      </c>
      <c r="L506" s="5" t="s">
        <v>767</v>
      </c>
      <c r="M506" s="5">
        <v>49</v>
      </c>
      <c r="N506" s="5" t="s">
        <v>43</v>
      </c>
      <c r="O506" s="5" t="s">
        <v>789</v>
      </c>
      <c r="Q506" s="5" t="s">
        <v>553</v>
      </c>
      <c r="S506" s="5" t="s">
        <v>328</v>
      </c>
    </row>
    <row r="507" spans="1:20" x14ac:dyDescent="0.2">
      <c r="A507" s="5">
        <v>493</v>
      </c>
      <c r="B507" s="8" t="s">
        <v>1765</v>
      </c>
      <c r="H507" s="8" t="s">
        <v>1751</v>
      </c>
      <c r="I507" s="8" t="s">
        <v>1751</v>
      </c>
      <c r="J507" s="5">
        <v>16</v>
      </c>
      <c r="K507" s="5" t="s">
        <v>292</v>
      </c>
      <c r="L507" s="5" t="s">
        <v>767</v>
      </c>
      <c r="M507" s="5">
        <v>49</v>
      </c>
      <c r="N507" s="5" t="s">
        <v>43</v>
      </c>
      <c r="O507" s="5" t="s">
        <v>789</v>
      </c>
      <c r="Q507" s="10" t="s">
        <v>553</v>
      </c>
    </row>
    <row r="508" spans="1:20" x14ac:dyDescent="0.2">
      <c r="A508" s="5">
        <v>2337</v>
      </c>
      <c r="B508" s="8" t="s">
        <v>1766</v>
      </c>
      <c r="H508" s="8" t="s">
        <v>1767</v>
      </c>
      <c r="I508" s="8" t="s">
        <v>1767</v>
      </c>
      <c r="J508" s="5">
        <f>196-23</f>
        <v>173</v>
      </c>
      <c r="K508" s="5" t="s">
        <v>292</v>
      </c>
      <c r="L508" s="5" t="s">
        <v>767</v>
      </c>
      <c r="M508" s="5">
        <v>49</v>
      </c>
      <c r="N508" s="5" t="s">
        <v>76</v>
      </c>
      <c r="O508" s="5" t="s">
        <v>789</v>
      </c>
      <c r="Q508" s="5" t="s">
        <v>1768</v>
      </c>
    </row>
    <row r="509" spans="1:20" x14ac:dyDescent="0.2">
      <c r="A509" s="5">
        <v>828</v>
      </c>
      <c r="B509" s="8" t="s">
        <v>1769</v>
      </c>
      <c r="C509" s="11"/>
      <c r="D509" s="11"/>
      <c r="E509" s="26"/>
      <c r="F509" s="11"/>
      <c r="G509" s="11"/>
      <c r="H509" s="8" t="s">
        <v>1770</v>
      </c>
      <c r="I509" s="8" t="s">
        <v>1770</v>
      </c>
      <c r="J509" s="5">
        <f>22-3-4-4+1-5</f>
        <v>7</v>
      </c>
      <c r="K509" s="5" t="s">
        <v>292</v>
      </c>
      <c r="L509" s="5" t="s">
        <v>767</v>
      </c>
      <c r="M509" s="5">
        <v>50</v>
      </c>
      <c r="N509" s="5" t="s">
        <v>1771</v>
      </c>
      <c r="O509" s="5" t="s">
        <v>789</v>
      </c>
      <c r="Q509" s="5" t="s">
        <v>1772</v>
      </c>
      <c r="R509" s="6"/>
      <c r="S509" s="6"/>
    </row>
    <row r="510" spans="1:20" x14ac:dyDescent="0.2">
      <c r="A510" s="5">
        <v>1438</v>
      </c>
      <c r="B510" s="8" t="s">
        <v>1773</v>
      </c>
      <c r="H510" s="8" t="s">
        <v>1774</v>
      </c>
      <c r="I510" s="8" t="s">
        <v>1774</v>
      </c>
      <c r="J510" s="5">
        <v>26</v>
      </c>
      <c r="K510" s="5" t="s">
        <v>292</v>
      </c>
      <c r="L510" s="5" t="s">
        <v>767</v>
      </c>
      <c r="M510" s="5">
        <v>50</v>
      </c>
      <c r="N510" s="5" t="s">
        <v>805</v>
      </c>
      <c r="O510" s="5" t="s">
        <v>574</v>
      </c>
      <c r="Q510" s="5" t="s">
        <v>1775</v>
      </c>
      <c r="R510" s="6"/>
      <c r="S510" s="6" t="s">
        <v>328</v>
      </c>
      <c r="T510" s="5" t="s">
        <v>777</v>
      </c>
    </row>
    <row r="511" spans="1:20" x14ac:dyDescent="0.2">
      <c r="A511" s="5">
        <v>1439</v>
      </c>
      <c r="B511" s="8" t="s">
        <v>1776</v>
      </c>
      <c r="H511" s="8" t="s">
        <v>1777</v>
      </c>
      <c r="I511" s="8" t="s">
        <v>1777</v>
      </c>
      <c r="J511" s="5">
        <v>2</v>
      </c>
      <c r="K511" s="5" t="s">
        <v>292</v>
      </c>
      <c r="L511" s="5" t="s">
        <v>767</v>
      </c>
      <c r="M511" s="5">
        <v>50</v>
      </c>
      <c r="N511" s="5" t="s">
        <v>805</v>
      </c>
      <c r="O511" s="5" t="s">
        <v>574</v>
      </c>
      <c r="Q511" s="10" t="s">
        <v>553</v>
      </c>
      <c r="R511" s="6"/>
      <c r="S511" s="6"/>
      <c r="T511" s="5" t="s">
        <v>777</v>
      </c>
    </row>
    <row r="512" spans="1:20" x14ac:dyDescent="0.2">
      <c r="A512" s="5">
        <v>1470</v>
      </c>
      <c r="B512" s="11" t="s">
        <v>1778</v>
      </c>
      <c r="C512" s="11"/>
      <c r="D512" s="11"/>
      <c r="E512" s="26"/>
      <c r="F512" s="11"/>
      <c r="G512" s="11"/>
      <c r="H512" s="8" t="s">
        <v>1779</v>
      </c>
      <c r="I512" s="8" t="s">
        <v>1779</v>
      </c>
      <c r="J512" s="5">
        <v>6</v>
      </c>
      <c r="K512" s="5" t="s">
        <v>292</v>
      </c>
      <c r="L512" s="5" t="s">
        <v>767</v>
      </c>
      <c r="M512" s="5">
        <v>50</v>
      </c>
      <c r="N512" s="5" t="s">
        <v>805</v>
      </c>
      <c r="O512" s="5" t="s">
        <v>574</v>
      </c>
      <c r="Q512" s="5" t="s">
        <v>1780</v>
      </c>
      <c r="R512" s="6"/>
      <c r="S512" s="6"/>
      <c r="T512" s="5" t="s">
        <v>777</v>
      </c>
    </row>
    <row r="513" spans="1:20" x14ac:dyDescent="0.2">
      <c r="A513" s="5">
        <v>2082</v>
      </c>
      <c r="B513" s="11" t="s">
        <v>1781</v>
      </c>
      <c r="C513" s="11"/>
      <c r="D513" s="11"/>
      <c r="E513" s="26"/>
      <c r="F513" s="11"/>
      <c r="G513" s="11"/>
      <c r="H513" s="8" t="s">
        <v>1779</v>
      </c>
      <c r="I513" s="8" t="s">
        <v>1779</v>
      </c>
      <c r="J513" s="5">
        <f>14</f>
        <v>14</v>
      </c>
      <c r="K513" s="5" t="s">
        <v>292</v>
      </c>
      <c r="L513" s="5" t="s">
        <v>767</v>
      </c>
      <c r="M513" s="5">
        <v>50</v>
      </c>
      <c r="N513" s="5" t="s">
        <v>805</v>
      </c>
      <c r="O513" s="5" t="s">
        <v>574</v>
      </c>
      <c r="Q513" s="5" t="s">
        <v>1782</v>
      </c>
      <c r="R513" s="6"/>
      <c r="S513" s="6"/>
      <c r="T513" s="5" t="s">
        <v>777</v>
      </c>
    </row>
    <row r="514" spans="1:20" x14ac:dyDescent="0.2">
      <c r="A514" s="5">
        <v>2083</v>
      </c>
      <c r="B514" s="11" t="s">
        <v>1783</v>
      </c>
      <c r="C514" s="11"/>
      <c r="D514" s="11"/>
      <c r="E514" s="26"/>
      <c r="F514" s="11"/>
      <c r="G514" s="11"/>
      <c r="H514" s="8" t="s">
        <v>1784</v>
      </c>
      <c r="I514" s="8" t="s">
        <v>1784</v>
      </c>
      <c r="J514" s="5">
        <v>30</v>
      </c>
      <c r="K514" s="5" t="s">
        <v>292</v>
      </c>
      <c r="L514" s="5" t="s">
        <v>767</v>
      </c>
      <c r="M514" s="5">
        <v>50</v>
      </c>
      <c r="N514" s="5" t="s">
        <v>805</v>
      </c>
      <c r="O514" s="5" t="s">
        <v>574</v>
      </c>
      <c r="Q514" s="5" t="s">
        <v>1785</v>
      </c>
      <c r="R514" s="6"/>
      <c r="S514" s="6" t="s">
        <v>328</v>
      </c>
      <c r="T514" s="5" t="s">
        <v>777</v>
      </c>
    </row>
    <row r="515" spans="1:20" x14ac:dyDescent="0.2">
      <c r="A515" s="5">
        <v>2084</v>
      </c>
      <c r="B515" s="11" t="s">
        <v>1786</v>
      </c>
      <c r="C515" s="11"/>
      <c r="D515" s="11"/>
      <c r="E515" s="26"/>
      <c r="F515" s="11"/>
      <c r="G515" s="11"/>
      <c r="H515" s="8" t="s">
        <v>1787</v>
      </c>
      <c r="I515" s="8" t="s">
        <v>1784</v>
      </c>
      <c r="J515" s="5">
        <v>5</v>
      </c>
      <c r="K515" s="5" t="s">
        <v>292</v>
      </c>
      <c r="L515" s="5" t="s">
        <v>767</v>
      </c>
      <c r="M515" s="5">
        <v>50</v>
      </c>
      <c r="N515" s="5" t="s">
        <v>805</v>
      </c>
      <c r="O515" s="5" t="s">
        <v>574</v>
      </c>
      <c r="Q515" s="10" t="s">
        <v>553</v>
      </c>
      <c r="T515" s="5" t="s">
        <v>777</v>
      </c>
    </row>
    <row r="516" spans="1:20" x14ac:dyDescent="0.2">
      <c r="A516" s="5">
        <v>2345</v>
      </c>
      <c r="B516" s="8" t="s">
        <v>1788</v>
      </c>
      <c r="H516" s="8" t="s">
        <v>1789</v>
      </c>
      <c r="I516" s="8" t="s">
        <v>1789</v>
      </c>
      <c r="J516" s="5">
        <v>0</v>
      </c>
      <c r="K516" s="5" t="s">
        <v>21</v>
      </c>
      <c r="L516" s="5" t="s">
        <v>767</v>
      </c>
      <c r="M516" s="5">
        <v>50</v>
      </c>
      <c r="N516" s="5" t="s">
        <v>43</v>
      </c>
      <c r="O516" s="5" t="s">
        <v>789</v>
      </c>
      <c r="Q516" s="5" t="s">
        <v>1790</v>
      </c>
    </row>
    <row r="517" spans="1:20" x14ac:dyDescent="0.2">
      <c r="A517" s="5"/>
      <c r="B517" s="8" t="s">
        <v>1791</v>
      </c>
      <c r="H517" s="8" t="s">
        <v>1792</v>
      </c>
      <c r="I517" s="8" t="s">
        <v>1792</v>
      </c>
      <c r="J517" s="5">
        <f>79-28</f>
        <v>51</v>
      </c>
      <c r="K517" s="5" t="s">
        <v>21</v>
      </c>
      <c r="L517" s="5" t="s">
        <v>767</v>
      </c>
      <c r="M517" s="5">
        <v>50</v>
      </c>
      <c r="N517" s="5" t="s">
        <v>43</v>
      </c>
      <c r="Q517" s="107" t="s">
        <v>1793</v>
      </c>
    </row>
    <row r="518" spans="1:20" x14ac:dyDescent="0.2">
      <c r="A518" s="5"/>
      <c r="B518" s="8">
        <v>22292021</v>
      </c>
      <c r="H518" s="100" t="s">
        <v>1794</v>
      </c>
      <c r="I518" s="108" t="s">
        <v>1794</v>
      </c>
      <c r="J518" s="5">
        <f>100</f>
        <v>100</v>
      </c>
      <c r="K518" s="5" t="s">
        <v>21</v>
      </c>
      <c r="L518" s="5" t="s">
        <v>767</v>
      </c>
      <c r="M518" s="5">
        <v>50</v>
      </c>
      <c r="N518" s="5" t="s">
        <v>43</v>
      </c>
      <c r="Q518" s="107"/>
    </row>
    <row r="519" spans="1:20" x14ac:dyDescent="0.2">
      <c r="A519" s="5">
        <v>11</v>
      </c>
      <c r="B519" s="8" t="s">
        <v>1795</v>
      </c>
      <c r="H519" s="8" t="s">
        <v>1796</v>
      </c>
      <c r="I519" s="8" t="s">
        <v>1796</v>
      </c>
      <c r="J519" s="5">
        <f>35-1-2-2-30</f>
        <v>0</v>
      </c>
      <c r="K519" s="5" t="s">
        <v>292</v>
      </c>
      <c r="L519" s="5" t="s">
        <v>767</v>
      </c>
      <c r="M519" s="5">
        <v>51</v>
      </c>
      <c r="N519" s="5" t="s">
        <v>43</v>
      </c>
      <c r="O519" s="5" t="s">
        <v>266</v>
      </c>
      <c r="Q519" s="5" t="s">
        <v>1797</v>
      </c>
    </row>
    <row r="520" spans="1:20" x14ac:dyDescent="0.2">
      <c r="A520" s="5"/>
      <c r="B520" s="8" t="s">
        <v>1798</v>
      </c>
      <c r="H520" s="8" t="s">
        <v>1799</v>
      </c>
      <c r="I520" s="8" t="s">
        <v>1799</v>
      </c>
      <c r="J520" s="5">
        <f>200+104-2</f>
        <v>302</v>
      </c>
      <c r="K520" s="5" t="s">
        <v>292</v>
      </c>
      <c r="L520" s="5" t="s">
        <v>767</v>
      </c>
      <c r="M520" s="5">
        <v>51</v>
      </c>
      <c r="N520" s="5" t="s">
        <v>43</v>
      </c>
      <c r="Q520" s="5" t="s">
        <v>1800</v>
      </c>
    </row>
    <row r="521" spans="1:20" x14ac:dyDescent="0.2">
      <c r="A521" s="5">
        <v>12</v>
      </c>
      <c r="B521" s="8" t="s">
        <v>1801</v>
      </c>
      <c r="H521" s="8" t="s">
        <v>1802</v>
      </c>
      <c r="I521" s="8" t="s">
        <v>1802</v>
      </c>
      <c r="J521" s="5">
        <v>242</v>
      </c>
      <c r="K521" s="5" t="s">
        <v>292</v>
      </c>
      <c r="L521" s="5" t="s">
        <v>767</v>
      </c>
      <c r="M521" s="5">
        <v>51</v>
      </c>
      <c r="N521" s="5" t="s">
        <v>43</v>
      </c>
      <c r="O521" s="5" t="s">
        <v>266</v>
      </c>
      <c r="Q521" s="5" t="s">
        <v>1797</v>
      </c>
    </row>
    <row r="522" spans="1:20" x14ac:dyDescent="0.2">
      <c r="A522" s="5">
        <v>237</v>
      </c>
      <c r="B522" s="8">
        <v>42014004</v>
      </c>
      <c r="H522" s="8" t="s">
        <v>1803</v>
      </c>
      <c r="I522" s="8" t="s">
        <v>1803</v>
      </c>
      <c r="J522" s="5">
        <f>7</f>
        <v>7</v>
      </c>
      <c r="K522" s="5" t="s">
        <v>292</v>
      </c>
      <c r="L522" s="5" t="s">
        <v>767</v>
      </c>
      <c r="M522" s="5">
        <v>51</v>
      </c>
      <c r="N522" s="5" t="s">
        <v>43</v>
      </c>
      <c r="O522" s="5" t="s">
        <v>520</v>
      </c>
      <c r="Q522" s="5" t="s">
        <v>553</v>
      </c>
      <c r="S522" s="5" t="s">
        <v>328</v>
      </c>
    </row>
    <row r="523" spans="1:20" x14ac:dyDescent="0.2">
      <c r="A523" s="5">
        <v>494</v>
      </c>
      <c r="B523" s="8" t="s">
        <v>1804</v>
      </c>
      <c r="H523" s="8" t="s">
        <v>1805</v>
      </c>
      <c r="I523" s="8" t="s">
        <v>1806</v>
      </c>
      <c r="J523" s="5">
        <v>118</v>
      </c>
      <c r="K523" s="5" t="s">
        <v>292</v>
      </c>
      <c r="L523" s="5" t="s">
        <v>767</v>
      </c>
      <c r="M523" s="5">
        <v>51</v>
      </c>
      <c r="N523" s="5" t="s">
        <v>43</v>
      </c>
      <c r="O523" s="5" t="s">
        <v>789</v>
      </c>
      <c r="Q523" s="10" t="s">
        <v>553</v>
      </c>
      <c r="S523" s="5" t="s">
        <v>328</v>
      </c>
    </row>
    <row r="524" spans="1:20" x14ac:dyDescent="0.2">
      <c r="A524" s="5">
        <v>495</v>
      </c>
      <c r="B524" s="8" t="s">
        <v>1807</v>
      </c>
      <c r="H524" s="8" t="s">
        <v>1808</v>
      </c>
      <c r="I524" s="8" t="s">
        <v>1809</v>
      </c>
      <c r="J524" s="5">
        <v>48</v>
      </c>
      <c r="K524" s="5" t="s">
        <v>292</v>
      </c>
      <c r="L524" s="5" t="s">
        <v>767</v>
      </c>
      <c r="M524" s="5">
        <v>51</v>
      </c>
      <c r="N524" s="5" t="s">
        <v>43</v>
      </c>
      <c r="O524" s="5" t="s">
        <v>789</v>
      </c>
      <c r="Q524" s="10" t="s">
        <v>553</v>
      </c>
      <c r="S524" s="5" t="s">
        <v>328</v>
      </c>
    </row>
    <row r="525" spans="1:20" x14ac:dyDescent="0.2">
      <c r="A525" s="5">
        <v>496</v>
      </c>
      <c r="B525" s="8" t="s">
        <v>1810</v>
      </c>
      <c r="H525" s="8" t="s">
        <v>1811</v>
      </c>
      <c r="I525" s="8" t="s">
        <v>1812</v>
      </c>
      <c r="J525" s="5">
        <v>135</v>
      </c>
      <c r="K525" s="5" t="s">
        <v>292</v>
      </c>
      <c r="L525" s="5" t="s">
        <v>767</v>
      </c>
      <c r="M525" s="5">
        <v>51</v>
      </c>
      <c r="N525" s="5" t="s">
        <v>43</v>
      </c>
      <c r="O525" s="5" t="s">
        <v>789</v>
      </c>
      <c r="Q525" s="10" t="s">
        <v>553</v>
      </c>
    </row>
    <row r="526" spans="1:20" x14ac:dyDescent="0.2">
      <c r="A526" s="5"/>
      <c r="B526" s="8">
        <v>111406</v>
      </c>
      <c r="H526" s="8" t="s">
        <v>1813</v>
      </c>
      <c r="I526" s="8" t="s">
        <v>1813</v>
      </c>
      <c r="J526" s="5">
        <f>209</f>
        <v>209</v>
      </c>
      <c r="K526" s="5" t="s">
        <v>292</v>
      </c>
      <c r="L526" s="5" t="s">
        <v>767</v>
      </c>
      <c r="M526" s="5">
        <v>51</v>
      </c>
      <c r="N526" s="5" t="s">
        <v>43</v>
      </c>
      <c r="Q526" s="10"/>
    </row>
    <row r="527" spans="1:20" x14ac:dyDescent="0.2">
      <c r="A527" s="5">
        <v>112</v>
      </c>
      <c r="B527" s="8" t="s">
        <v>1814</v>
      </c>
      <c r="H527" s="8" t="s">
        <v>1815</v>
      </c>
      <c r="I527" s="8" t="s">
        <v>1815</v>
      </c>
      <c r="J527" s="5">
        <v>112</v>
      </c>
      <c r="K527" s="5" t="s">
        <v>21</v>
      </c>
      <c r="L527" s="5" t="s">
        <v>767</v>
      </c>
      <c r="M527" s="5">
        <v>52</v>
      </c>
      <c r="N527" s="5" t="s">
        <v>71</v>
      </c>
      <c r="O527" s="5" t="s">
        <v>266</v>
      </c>
      <c r="Q527" s="5" t="s">
        <v>1816</v>
      </c>
    </row>
    <row r="528" spans="1:20" x14ac:dyDescent="0.2">
      <c r="A528" s="5">
        <v>497</v>
      </c>
      <c r="B528" s="8" t="s">
        <v>1817</v>
      </c>
      <c r="H528" s="8" t="s">
        <v>1818</v>
      </c>
      <c r="I528" s="8" t="s">
        <v>1818</v>
      </c>
      <c r="J528" s="5">
        <f>29-6-6+6-6</f>
        <v>17</v>
      </c>
      <c r="K528" s="5" t="s">
        <v>292</v>
      </c>
      <c r="L528" s="5" t="s">
        <v>767</v>
      </c>
      <c r="M528" s="5">
        <v>52</v>
      </c>
      <c r="N528" s="5" t="s">
        <v>43</v>
      </c>
      <c r="O528" s="5" t="s">
        <v>789</v>
      </c>
      <c r="Q528" s="5" t="s">
        <v>1819</v>
      </c>
      <c r="S528" s="5" t="s">
        <v>328</v>
      </c>
    </row>
    <row r="529" spans="1:20" x14ac:dyDescent="0.2">
      <c r="A529" s="5">
        <v>498</v>
      </c>
      <c r="B529" s="8" t="s">
        <v>1820</v>
      </c>
      <c r="H529" s="8" t="s">
        <v>1821</v>
      </c>
      <c r="I529" s="8" t="s">
        <v>1821</v>
      </c>
      <c r="J529" s="5">
        <v>2</v>
      </c>
      <c r="K529" s="5" t="s">
        <v>292</v>
      </c>
      <c r="L529" s="5" t="s">
        <v>767</v>
      </c>
      <c r="M529" s="5">
        <v>52</v>
      </c>
      <c r="N529" s="5" t="s">
        <v>43</v>
      </c>
      <c r="O529" s="5" t="s">
        <v>789</v>
      </c>
      <c r="Q529" s="10" t="s">
        <v>553</v>
      </c>
    </row>
    <row r="530" spans="1:20" x14ac:dyDescent="0.2">
      <c r="A530" s="5">
        <v>499</v>
      </c>
      <c r="B530" s="8" t="s">
        <v>1822</v>
      </c>
      <c r="H530" s="8" t="s">
        <v>1823</v>
      </c>
      <c r="I530" s="8" t="s">
        <v>1823</v>
      </c>
      <c r="J530" s="5">
        <f>29-1-2-1-6-9-7-2+25+150-3-114+17+12-40-2-1-1-4-10-22-2-4+5</f>
        <v>7</v>
      </c>
      <c r="K530" s="5" t="s">
        <v>292</v>
      </c>
      <c r="L530" s="5" t="s">
        <v>767</v>
      </c>
      <c r="M530" s="5">
        <v>52</v>
      </c>
      <c r="N530" s="5" t="s">
        <v>43</v>
      </c>
      <c r="O530" s="5" t="s">
        <v>789</v>
      </c>
      <c r="Q530" s="5" t="s">
        <v>1824</v>
      </c>
    </row>
    <row r="531" spans="1:20" x14ac:dyDescent="0.2">
      <c r="A531" s="5">
        <v>500</v>
      </c>
      <c r="B531" s="8" t="s">
        <v>1825</v>
      </c>
      <c r="H531" s="8" t="s">
        <v>1826</v>
      </c>
      <c r="I531" s="8" t="s">
        <v>1826</v>
      </c>
      <c r="J531" s="5">
        <f>18+25-5</f>
        <v>38</v>
      </c>
      <c r="K531" s="5" t="s">
        <v>292</v>
      </c>
      <c r="L531" s="5" t="s">
        <v>767</v>
      </c>
      <c r="M531" s="5">
        <v>52</v>
      </c>
      <c r="N531" s="5" t="s">
        <v>43</v>
      </c>
      <c r="O531" s="5" t="s">
        <v>789</v>
      </c>
      <c r="Q531" s="5" t="s">
        <v>1827</v>
      </c>
    </row>
    <row r="532" spans="1:20" x14ac:dyDescent="0.2">
      <c r="A532" s="5"/>
      <c r="B532" s="8" t="s">
        <v>1828</v>
      </c>
      <c r="H532" s="8" t="s">
        <v>1829</v>
      </c>
      <c r="I532" s="8" t="s">
        <v>1830</v>
      </c>
      <c r="J532" s="5">
        <f>13-12+13-11+17-12-8</f>
        <v>0</v>
      </c>
      <c r="K532" s="5" t="s">
        <v>292</v>
      </c>
      <c r="L532" s="5" t="s">
        <v>767</v>
      </c>
      <c r="M532" s="5">
        <v>52</v>
      </c>
      <c r="N532" s="5" t="s">
        <v>43</v>
      </c>
    </row>
    <row r="533" spans="1:20" x14ac:dyDescent="0.2">
      <c r="A533" s="5">
        <v>501</v>
      </c>
      <c r="B533" s="8" t="s">
        <v>1831</v>
      </c>
      <c r="H533" s="8" t="s">
        <v>43</v>
      </c>
      <c r="I533" s="8" t="s">
        <v>43</v>
      </c>
      <c r="J533" s="5">
        <v>10</v>
      </c>
      <c r="K533" s="5" t="s">
        <v>292</v>
      </c>
      <c r="L533" s="5" t="s">
        <v>767</v>
      </c>
      <c r="M533" s="5">
        <v>52</v>
      </c>
      <c r="N533" s="5" t="s">
        <v>43</v>
      </c>
      <c r="O533" s="5" t="s">
        <v>789</v>
      </c>
      <c r="Q533" s="5" t="s">
        <v>1832</v>
      </c>
      <c r="S533" s="5" t="s">
        <v>328</v>
      </c>
    </row>
    <row r="534" spans="1:20" x14ac:dyDescent="0.2">
      <c r="A534" s="5">
        <v>502</v>
      </c>
      <c r="B534" s="8" t="s">
        <v>1833</v>
      </c>
      <c r="H534" s="8" t="s">
        <v>1834</v>
      </c>
      <c r="I534" s="8" t="s">
        <v>1834</v>
      </c>
      <c r="J534" s="5">
        <v>3</v>
      </c>
      <c r="K534" s="5" t="s">
        <v>292</v>
      </c>
      <c r="L534" s="5" t="s">
        <v>767</v>
      </c>
      <c r="M534" s="5">
        <v>52</v>
      </c>
      <c r="N534" s="5" t="s">
        <v>43</v>
      </c>
      <c r="O534" s="5" t="s">
        <v>789</v>
      </c>
      <c r="Q534" s="10" t="s">
        <v>553</v>
      </c>
    </row>
    <row r="535" spans="1:20" x14ac:dyDescent="0.2">
      <c r="A535" s="5">
        <v>503</v>
      </c>
      <c r="B535" s="8" t="s">
        <v>1814</v>
      </c>
      <c r="H535" s="8" t="s">
        <v>1815</v>
      </c>
      <c r="I535" s="8" t="s">
        <v>1815</v>
      </c>
      <c r="J535" s="5">
        <v>0</v>
      </c>
      <c r="K535" s="5" t="s">
        <v>292</v>
      </c>
      <c r="L535" s="5" t="s">
        <v>767</v>
      </c>
      <c r="M535" s="5">
        <v>52</v>
      </c>
      <c r="N535" s="5" t="s">
        <v>43</v>
      </c>
      <c r="O535" s="5" t="s">
        <v>789</v>
      </c>
      <c r="Q535" s="5" t="s">
        <v>1835</v>
      </c>
    </row>
    <row r="536" spans="1:20" x14ac:dyDescent="0.2">
      <c r="A536" s="5">
        <v>504</v>
      </c>
      <c r="B536" s="8" t="s">
        <v>1836</v>
      </c>
      <c r="H536" s="8" t="s">
        <v>1837</v>
      </c>
      <c r="I536" s="8" t="s">
        <v>1837</v>
      </c>
      <c r="J536" s="5">
        <f>110-1-1-2-4-2-16-4-1-6-24-4-1-1-2+2-9+3-2-16-4</f>
        <v>15</v>
      </c>
      <c r="K536" s="5" t="s">
        <v>292</v>
      </c>
      <c r="L536" s="5" t="s">
        <v>767</v>
      </c>
      <c r="M536" s="5">
        <v>52</v>
      </c>
      <c r="N536" s="5" t="s">
        <v>43</v>
      </c>
      <c r="O536" s="5" t="s">
        <v>789</v>
      </c>
      <c r="Q536" s="5" t="s">
        <v>1835</v>
      </c>
    </row>
    <row r="537" spans="1:20" x14ac:dyDescent="0.2">
      <c r="A537" s="5">
        <v>505</v>
      </c>
      <c r="B537" s="8" t="s">
        <v>1838</v>
      </c>
      <c r="H537" s="8" t="s">
        <v>1839</v>
      </c>
      <c r="I537" s="8" t="s">
        <v>1839</v>
      </c>
      <c r="J537" s="5">
        <f>71-1-1-2-2-4-1-6-1-1-1-1-1-4-1</f>
        <v>44</v>
      </c>
      <c r="K537" s="5" t="s">
        <v>292</v>
      </c>
      <c r="L537" s="5" t="s">
        <v>767</v>
      </c>
      <c r="M537" s="5">
        <v>52</v>
      </c>
      <c r="N537" s="5" t="s">
        <v>43</v>
      </c>
      <c r="O537" s="5" t="s">
        <v>789</v>
      </c>
      <c r="Q537" s="5" t="s">
        <v>1840</v>
      </c>
      <c r="R537" s="6"/>
      <c r="S537" s="6"/>
    </row>
    <row r="538" spans="1:20" x14ac:dyDescent="0.2">
      <c r="A538" s="5">
        <v>1385</v>
      </c>
      <c r="B538" s="8" t="s">
        <v>1817</v>
      </c>
      <c r="H538" s="8" t="s">
        <v>1818</v>
      </c>
      <c r="I538" s="8" t="s">
        <v>1818</v>
      </c>
      <c r="J538" s="5">
        <v>0</v>
      </c>
      <c r="K538" s="5" t="s">
        <v>21</v>
      </c>
      <c r="L538" s="5" t="s">
        <v>767</v>
      </c>
      <c r="M538" s="5">
        <v>52</v>
      </c>
      <c r="N538" s="5" t="s">
        <v>1104</v>
      </c>
      <c r="O538" s="5" t="s">
        <v>574</v>
      </c>
      <c r="Q538" s="14" t="s">
        <v>1819</v>
      </c>
      <c r="R538" s="6"/>
      <c r="S538" s="6"/>
      <c r="T538" s="5" t="s">
        <v>777</v>
      </c>
    </row>
    <row r="539" spans="1:20" x14ac:dyDescent="0.2">
      <c r="A539" s="5">
        <v>1440</v>
      </c>
      <c r="B539" s="8" t="s">
        <v>1825</v>
      </c>
      <c r="H539" s="8" t="s">
        <v>1826</v>
      </c>
      <c r="I539" s="8" t="s">
        <v>1826</v>
      </c>
      <c r="J539" s="5">
        <v>0</v>
      </c>
      <c r="K539" s="5" t="s">
        <v>292</v>
      </c>
      <c r="L539" s="5" t="s">
        <v>767</v>
      </c>
      <c r="M539" s="5">
        <v>52</v>
      </c>
      <c r="N539" s="5" t="s">
        <v>805</v>
      </c>
      <c r="O539" s="5" t="s">
        <v>574</v>
      </c>
      <c r="Q539" s="5" t="s">
        <v>1841</v>
      </c>
      <c r="R539" s="6"/>
      <c r="S539" s="6"/>
      <c r="T539" s="5" t="s">
        <v>777</v>
      </c>
    </row>
    <row r="540" spans="1:20" x14ac:dyDescent="0.2">
      <c r="A540" s="5">
        <v>1443</v>
      </c>
      <c r="B540" s="8" t="s">
        <v>1831</v>
      </c>
      <c r="H540" s="8" t="s">
        <v>43</v>
      </c>
      <c r="I540" s="8" t="s">
        <v>43</v>
      </c>
      <c r="J540" s="5">
        <v>0</v>
      </c>
      <c r="K540" s="5" t="s">
        <v>292</v>
      </c>
      <c r="L540" s="5" t="s">
        <v>767</v>
      </c>
      <c r="M540" s="5">
        <v>52</v>
      </c>
      <c r="N540" s="5" t="s">
        <v>805</v>
      </c>
      <c r="O540" s="5" t="s">
        <v>574</v>
      </c>
      <c r="Q540" s="5" t="s">
        <v>1832</v>
      </c>
      <c r="R540" s="6"/>
      <c r="S540" s="6" t="s">
        <v>328</v>
      </c>
      <c r="T540" s="5" t="s">
        <v>777</v>
      </c>
    </row>
    <row r="541" spans="1:20" x14ac:dyDescent="0.2">
      <c r="A541" s="5">
        <v>1444</v>
      </c>
      <c r="B541" s="8" t="s">
        <v>1820</v>
      </c>
      <c r="H541" s="8" t="s">
        <v>43</v>
      </c>
      <c r="I541" s="8" t="s">
        <v>43</v>
      </c>
      <c r="J541" s="5">
        <v>0</v>
      </c>
      <c r="K541" s="5" t="s">
        <v>292</v>
      </c>
      <c r="L541" s="5" t="s">
        <v>767</v>
      </c>
      <c r="M541" s="5">
        <v>52</v>
      </c>
      <c r="N541" s="5" t="s">
        <v>805</v>
      </c>
      <c r="O541" s="5" t="s">
        <v>574</v>
      </c>
      <c r="Q541" s="10" t="s">
        <v>553</v>
      </c>
      <c r="R541" s="6"/>
      <c r="S541" s="6"/>
      <c r="T541" s="5" t="s">
        <v>777</v>
      </c>
    </row>
    <row r="542" spans="1:20" x14ac:dyDescent="0.2">
      <c r="A542" s="5">
        <v>1446</v>
      </c>
      <c r="B542" s="8" t="s">
        <v>1842</v>
      </c>
      <c r="H542" s="8" t="s">
        <v>1843</v>
      </c>
      <c r="I542" s="8" t="s">
        <v>1844</v>
      </c>
      <c r="J542" s="5">
        <v>14</v>
      </c>
      <c r="K542" s="5" t="s">
        <v>292</v>
      </c>
      <c r="L542" s="5" t="s">
        <v>767</v>
      </c>
      <c r="M542" s="5">
        <v>52</v>
      </c>
      <c r="N542" s="5" t="s">
        <v>1845</v>
      </c>
      <c r="O542" s="5" t="s">
        <v>574</v>
      </c>
      <c r="Q542" s="5" t="s">
        <v>1846</v>
      </c>
      <c r="R542" s="6"/>
      <c r="S542" s="6"/>
      <c r="T542" s="5" t="s">
        <v>777</v>
      </c>
    </row>
    <row r="543" spans="1:20" x14ac:dyDescent="0.2">
      <c r="A543" s="5">
        <v>1447</v>
      </c>
      <c r="B543" s="8" t="s">
        <v>1814</v>
      </c>
      <c r="H543" s="8" t="s">
        <v>1815</v>
      </c>
      <c r="I543" s="8" t="s">
        <v>1815</v>
      </c>
      <c r="J543" s="5">
        <f>136-12-12</f>
        <v>112</v>
      </c>
      <c r="K543" s="5" t="s">
        <v>292</v>
      </c>
      <c r="L543" s="5" t="s">
        <v>767</v>
      </c>
      <c r="M543" s="5">
        <v>52</v>
      </c>
      <c r="N543" s="5" t="s">
        <v>805</v>
      </c>
      <c r="O543" s="5" t="s">
        <v>574</v>
      </c>
      <c r="Q543" s="5" t="s">
        <v>1847</v>
      </c>
      <c r="T543" s="5" t="s">
        <v>777</v>
      </c>
    </row>
    <row r="544" spans="1:20" x14ac:dyDescent="0.2">
      <c r="A544" s="5">
        <v>506</v>
      </c>
      <c r="B544" s="8" t="s">
        <v>1848</v>
      </c>
      <c r="H544" s="8" t="s">
        <v>1849</v>
      </c>
      <c r="I544" s="8" t="s">
        <v>1850</v>
      </c>
      <c r="J544" s="5">
        <f>434-43-20-4-3+1-3-3+1-6--65-94-8-3-15-8-20</f>
        <v>271</v>
      </c>
      <c r="K544" s="5" t="s">
        <v>292</v>
      </c>
      <c r="L544" s="5" t="s">
        <v>767</v>
      </c>
      <c r="M544" s="5">
        <v>53</v>
      </c>
      <c r="N544" s="5" t="s">
        <v>43</v>
      </c>
      <c r="O544" s="5" t="s">
        <v>789</v>
      </c>
      <c r="Q544" s="5" t="s">
        <v>1851</v>
      </c>
    </row>
    <row r="545" spans="1:20" x14ac:dyDescent="0.2">
      <c r="A545" s="5"/>
      <c r="B545" s="8" t="s">
        <v>1852</v>
      </c>
      <c r="I545" s="8" t="s">
        <v>1853</v>
      </c>
      <c r="J545" s="5">
        <f>80-1</f>
        <v>79</v>
      </c>
      <c r="K545" s="5" t="s">
        <v>292</v>
      </c>
      <c r="L545" s="5" t="s">
        <v>767</v>
      </c>
      <c r="M545" s="5">
        <v>53</v>
      </c>
      <c r="Q545" s="198" t="s">
        <v>1854</v>
      </c>
    </row>
    <row r="546" spans="1:20" x14ac:dyDescent="0.2">
      <c r="A546" s="5"/>
      <c r="B546" s="8" t="s">
        <v>1855</v>
      </c>
      <c r="I546" s="8" t="s">
        <v>1856</v>
      </c>
      <c r="J546" s="5">
        <f>312-4</f>
        <v>308</v>
      </c>
      <c r="K546" s="5" t="s">
        <v>292</v>
      </c>
      <c r="L546" s="5" t="s">
        <v>767</v>
      </c>
      <c r="M546" s="5">
        <v>53</v>
      </c>
      <c r="Q546"/>
    </row>
    <row r="547" spans="1:20" x14ac:dyDescent="0.2">
      <c r="A547" s="5">
        <v>354</v>
      </c>
      <c r="B547" s="8" t="s">
        <v>1420</v>
      </c>
      <c r="H547" s="8" t="s">
        <v>1857</v>
      </c>
      <c r="I547" s="8" t="s">
        <v>1857</v>
      </c>
      <c r="J547" s="5">
        <v>200</v>
      </c>
      <c r="K547" s="5" t="s">
        <v>292</v>
      </c>
      <c r="L547" s="5" t="s">
        <v>767</v>
      </c>
      <c r="M547" s="5">
        <v>54</v>
      </c>
      <c r="N547" s="5" t="s">
        <v>1495</v>
      </c>
      <c r="Q547"/>
    </row>
    <row r="548" spans="1:20" x14ac:dyDescent="0.2">
      <c r="A548" s="5">
        <v>507</v>
      </c>
      <c r="B548" s="11" t="s">
        <v>1858</v>
      </c>
      <c r="H548" s="8" t="s">
        <v>1859</v>
      </c>
      <c r="I548" s="8" t="s">
        <v>1860</v>
      </c>
      <c r="J548" s="5">
        <f>405-3-22-3-3-6-6-4-7+50-3-8-4-4-6-10-300-8+300-10-102-1+520-5-10</f>
        <v>750</v>
      </c>
      <c r="K548" s="5" t="s">
        <v>292</v>
      </c>
      <c r="L548" s="5" t="s">
        <v>767</v>
      </c>
      <c r="M548" s="5">
        <v>54</v>
      </c>
      <c r="N548" s="5" t="s">
        <v>43</v>
      </c>
      <c r="O548" s="5" t="s">
        <v>789</v>
      </c>
      <c r="Q548" s="5" t="s">
        <v>1861</v>
      </c>
      <c r="S548" s="5" t="s">
        <v>328</v>
      </c>
    </row>
    <row r="549" spans="1:20" x14ac:dyDescent="0.2">
      <c r="A549" s="5">
        <v>508</v>
      </c>
      <c r="B549" s="8">
        <v>110760</v>
      </c>
      <c r="H549" s="8" t="s">
        <v>1862</v>
      </c>
      <c r="I549" s="8" t="s">
        <v>1862</v>
      </c>
      <c r="J549" s="5">
        <v>28</v>
      </c>
      <c r="K549" s="5" t="s">
        <v>292</v>
      </c>
      <c r="L549" s="5" t="s">
        <v>767</v>
      </c>
      <c r="M549" s="5">
        <v>54</v>
      </c>
      <c r="N549" s="5" t="s">
        <v>43</v>
      </c>
      <c r="O549" s="5" t="s">
        <v>789</v>
      </c>
      <c r="Q549" s="10" t="s">
        <v>553</v>
      </c>
      <c r="S549" s="5" t="s">
        <v>328</v>
      </c>
    </row>
    <row r="550" spans="1:20" x14ac:dyDescent="0.2">
      <c r="A550" s="5">
        <v>509</v>
      </c>
      <c r="B550" s="8" t="s">
        <v>1863</v>
      </c>
      <c r="H550" s="8" t="s">
        <v>1864</v>
      </c>
      <c r="I550" s="8" t="s">
        <v>1864</v>
      </c>
      <c r="J550" s="5">
        <v>8</v>
      </c>
      <c r="K550" s="5" t="s">
        <v>292</v>
      </c>
      <c r="L550" s="5" t="s">
        <v>767</v>
      </c>
      <c r="M550" s="5">
        <v>54</v>
      </c>
      <c r="N550" s="5" t="s">
        <v>43</v>
      </c>
      <c r="O550" s="5" t="s">
        <v>789</v>
      </c>
      <c r="Q550" s="10" t="s">
        <v>553</v>
      </c>
      <c r="S550" s="5" t="s">
        <v>328</v>
      </c>
    </row>
    <row r="551" spans="1:20" x14ac:dyDescent="0.2">
      <c r="A551" s="5"/>
      <c r="B551" s="8" t="s">
        <v>1865</v>
      </c>
      <c r="I551" s="8" t="s">
        <v>1866</v>
      </c>
      <c r="J551" s="5">
        <f>20</f>
        <v>20</v>
      </c>
      <c r="K551" s="5" t="s">
        <v>292</v>
      </c>
      <c r="L551" s="5" t="s">
        <v>767</v>
      </c>
      <c r="M551" s="5">
        <v>54</v>
      </c>
      <c r="Q551" s="10"/>
    </row>
    <row r="552" spans="1:20" x14ac:dyDescent="0.2">
      <c r="A552" s="5">
        <v>510</v>
      </c>
      <c r="B552" s="8" t="s">
        <v>1867</v>
      </c>
      <c r="H552" s="8" t="s">
        <v>1868</v>
      </c>
      <c r="I552" s="8" t="s">
        <v>1868</v>
      </c>
      <c r="J552" s="5">
        <v>29</v>
      </c>
      <c r="K552" s="5" t="s">
        <v>292</v>
      </c>
      <c r="L552" s="5" t="s">
        <v>767</v>
      </c>
      <c r="M552" s="5">
        <v>54</v>
      </c>
      <c r="N552" s="5" t="s">
        <v>43</v>
      </c>
      <c r="O552" s="5" t="s">
        <v>789</v>
      </c>
      <c r="Q552" s="10" t="s">
        <v>553</v>
      </c>
      <c r="S552" s="5" t="s">
        <v>328</v>
      </c>
    </row>
    <row r="553" spans="1:20" x14ac:dyDescent="0.2">
      <c r="A553" s="5">
        <v>511</v>
      </c>
      <c r="B553" s="8" t="s">
        <v>1869</v>
      </c>
      <c r="H553" s="8" t="s">
        <v>1870</v>
      </c>
      <c r="I553" s="8" t="s">
        <v>1870</v>
      </c>
      <c r="J553" s="5">
        <v>10</v>
      </c>
      <c r="K553" s="5" t="s">
        <v>292</v>
      </c>
      <c r="L553" s="5" t="s">
        <v>767</v>
      </c>
      <c r="M553" s="5">
        <v>54</v>
      </c>
      <c r="N553" s="5" t="s">
        <v>43</v>
      </c>
      <c r="O553" s="5" t="s">
        <v>789</v>
      </c>
      <c r="Q553" s="10" t="s">
        <v>553</v>
      </c>
      <c r="S553" s="5" t="s">
        <v>328</v>
      </c>
    </row>
    <row r="554" spans="1:20" x14ac:dyDescent="0.2">
      <c r="A554" s="5">
        <v>512</v>
      </c>
      <c r="B554" s="8">
        <v>110910</v>
      </c>
      <c r="H554" s="8" t="s">
        <v>1871</v>
      </c>
      <c r="I554" s="8" t="s">
        <v>1871</v>
      </c>
      <c r="J554" s="5">
        <v>42</v>
      </c>
      <c r="K554" s="5" t="s">
        <v>292</v>
      </c>
      <c r="L554" s="5" t="s">
        <v>767</v>
      </c>
      <c r="M554" s="5">
        <v>54</v>
      </c>
      <c r="N554" s="5" t="s">
        <v>43</v>
      </c>
      <c r="O554" s="5" t="s">
        <v>789</v>
      </c>
      <c r="Q554" s="10" t="s">
        <v>553</v>
      </c>
    </row>
    <row r="555" spans="1:20" x14ac:dyDescent="0.2">
      <c r="A555" s="5">
        <v>513</v>
      </c>
      <c r="B555" s="8" t="s">
        <v>1872</v>
      </c>
      <c r="H555" s="8" t="s">
        <v>1873</v>
      </c>
      <c r="I555" s="8" t="s">
        <v>1873</v>
      </c>
      <c r="J555" s="5">
        <f>204-10-10-1</f>
        <v>183</v>
      </c>
      <c r="K555" s="5" t="s">
        <v>292</v>
      </c>
      <c r="L555" s="5" t="s">
        <v>767</v>
      </c>
      <c r="M555" s="5">
        <v>54</v>
      </c>
      <c r="N555" s="5" t="s">
        <v>43</v>
      </c>
      <c r="O555" s="5" t="s">
        <v>789</v>
      </c>
      <c r="Q555" s="5" t="s">
        <v>1874</v>
      </c>
      <c r="R555" s="6"/>
      <c r="S555" s="6" t="s">
        <v>328</v>
      </c>
    </row>
    <row r="556" spans="1:20" x14ac:dyDescent="0.2">
      <c r="A556" s="5">
        <v>1450</v>
      </c>
      <c r="B556" s="8" t="s">
        <v>1875</v>
      </c>
      <c r="H556" s="8" t="s">
        <v>1876</v>
      </c>
      <c r="I556" s="8" t="s">
        <v>1876</v>
      </c>
      <c r="J556" s="5">
        <v>286</v>
      </c>
      <c r="K556" s="5" t="s">
        <v>292</v>
      </c>
      <c r="L556" s="5" t="s">
        <v>767</v>
      </c>
      <c r="M556" s="5">
        <v>55</v>
      </c>
      <c r="N556" s="5" t="s">
        <v>805</v>
      </c>
      <c r="O556" s="5" t="s">
        <v>574</v>
      </c>
      <c r="Q556" s="10" t="s">
        <v>553</v>
      </c>
      <c r="R556" s="6"/>
      <c r="S556" s="6"/>
      <c r="T556" s="5" t="s">
        <v>777</v>
      </c>
    </row>
    <row r="557" spans="1:20" x14ac:dyDescent="0.2">
      <c r="A557" s="5">
        <v>1451</v>
      </c>
      <c r="B557" s="8" t="s">
        <v>1877</v>
      </c>
      <c r="H557" s="8" t="s">
        <v>1878</v>
      </c>
      <c r="I557" s="8" t="s">
        <v>1878</v>
      </c>
      <c r="J557" s="5">
        <v>644</v>
      </c>
      <c r="K557" s="5" t="s">
        <v>292</v>
      </c>
      <c r="L557" s="5" t="s">
        <v>767</v>
      </c>
      <c r="M557" s="5">
        <v>55</v>
      </c>
      <c r="N557" s="5" t="s">
        <v>1879</v>
      </c>
      <c r="O557" s="5" t="s">
        <v>574</v>
      </c>
      <c r="Q557" s="5" t="s">
        <v>1880</v>
      </c>
      <c r="R557" s="6"/>
      <c r="S557" s="6"/>
      <c r="T557" s="5" t="s">
        <v>777</v>
      </c>
    </row>
    <row r="558" spans="1:20" x14ac:dyDescent="0.2">
      <c r="A558" s="5">
        <v>1452</v>
      </c>
      <c r="B558" s="11" t="s">
        <v>1881</v>
      </c>
      <c r="C558" s="11"/>
      <c r="D558" s="11"/>
      <c r="E558" s="26"/>
      <c r="F558" s="11"/>
      <c r="G558" s="11"/>
      <c r="H558" s="8" t="s">
        <v>1882</v>
      </c>
      <c r="I558" s="8" t="s">
        <v>1882</v>
      </c>
      <c r="J558" s="5">
        <f>75-5</f>
        <v>70</v>
      </c>
      <c r="K558" s="5" t="s">
        <v>292</v>
      </c>
      <c r="L558" s="5" t="s">
        <v>767</v>
      </c>
      <c r="M558" s="5">
        <v>55</v>
      </c>
      <c r="N558" s="5" t="s">
        <v>805</v>
      </c>
      <c r="O558" s="5" t="s">
        <v>574</v>
      </c>
      <c r="Q558" s="5" t="s">
        <v>1883</v>
      </c>
      <c r="R558" s="6"/>
      <c r="S558" s="6" t="s">
        <v>328</v>
      </c>
      <c r="T558" s="5" t="s">
        <v>777</v>
      </c>
    </row>
    <row r="559" spans="1:20" x14ac:dyDescent="0.2">
      <c r="A559" s="5">
        <v>1453</v>
      </c>
      <c r="B559" s="8" t="s">
        <v>1884</v>
      </c>
      <c r="H559" s="8" t="s">
        <v>1885</v>
      </c>
      <c r="I559" s="8" t="s">
        <v>1885</v>
      </c>
      <c r="J559" s="5">
        <f>138+5</f>
        <v>143</v>
      </c>
      <c r="K559" s="5" t="s">
        <v>292</v>
      </c>
      <c r="L559" s="5" t="s">
        <v>767</v>
      </c>
      <c r="M559" s="5">
        <v>55</v>
      </c>
      <c r="N559" s="5" t="s">
        <v>805</v>
      </c>
      <c r="O559" s="5" t="s">
        <v>574</v>
      </c>
      <c r="Q559" s="10" t="s">
        <v>553</v>
      </c>
      <c r="R559" s="6"/>
      <c r="S559" s="6" t="s">
        <v>328</v>
      </c>
      <c r="T559" s="5" t="s">
        <v>777</v>
      </c>
    </row>
    <row r="560" spans="1:20" x14ac:dyDescent="0.2">
      <c r="A560" s="5">
        <v>16</v>
      </c>
      <c r="B560" s="8" t="s">
        <v>1886</v>
      </c>
      <c r="H560" s="8" t="s">
        <v>1887</v>
      </c>
      <c r="I560" s="8" t="s">
        <v>1887</v>
      </c>
      <c r="J560" s="5">
        <f>94-8-8-6-16-2-20</f>
        <v>34</v>
      </c>
      <c r="K560" s="5" t="s">
        <v>292</v>
      </c>
      <c r="L560" s="5" t="s">
        <v>767</v>
      </c>
      <c r="M560" s="5">
        <v>56</v>
      </c>
      <c r="N560" s="5" t="s">
        <v>43</v>
      </c>
      <c r="O560" s="5" t="s">
        <v>266</v>
      </c>
      <c r="Q560" s="5" t="s">
        <v>1888</v>
      </c>
      <c r="T560" s="5" t="s">
        <v>777</v>
      </c>
    </row>
    <row r="561" spans="1:19" x14ac:dyDescent="0.2">
      <c r="A561" s="5">
        <v>518</v>
      </c>
      <c r="B561" s="8" t="s">
        <v>1889</v>
      </c>
      <c r="H561" s="8" t="s">
        <v>1890</v>
      </c>
      <c r="I561" s="8" t="s">
        <v>1890</v>
      </c>
      <c r="J561" s="5">
        <f>10+2-2+20</f>
        <v>30</v>
      </c>
      <c r="K561" s="5" t="s">
        <v>292</v>
      </c>
      <c r="L561" s="5" t="s">
        <v>767</v>
      </c>
      <c r="M561" s="5">
        <v>56</v>
      </c>
      <c r="N561" s="5" t="s">
        <v>43</v>
      </c>
      <c r="O561" s="5" t="s">
        <v>789</v>
      </c>
      <c r="Q561" s="5" t="s">
        <v>1891</v>
      </c>
    </row>
    <row r="562" spans="1:19" x14ac:dyDescent="0.2">
      <c r="A562" s="5">
        <v>519</v>
      </c>
      <c r="B562" s="8" t="s">
        <v>1892</v>
      </c>
      <c r="H562" s="8" t="s">
        <v>1893</v>
      </c>
      <c r="I562" s="8" t="s">
        <v>1893</v>
      </c>
      <c r="J562" s="5">
        <f>18-18</f>
        <v>0</v>
      </c>
      <c r="K562" s="5" t="s">
        <v>292</v>
      </c>
      <c r="L562" s="5" t="s">
        <v>767</v>
      </c>
      <c r="M562" s="5">
        <v>56</v>
      </c>
      <c r="N562" s="5" t="s">
        <v>43</v>
      </c>
      <c r="O562" s="5" t="s">
        <v>789</v>
      </c>
      <c r="Q562" s="5" t="s">
        <v>1894</v>
      </c>
      <c r="S562" s="5" t="s">
        <v>328</v>
      </c>
    </row>
    <row r="563" spans="1:19" x14ac:dyDescent="0.2">
      <c r="A563" s="5">
        <v>520</v>
      </c>
      <c r="B563" s="8" t="s">
        <v>1895</v>
      </c>
      <c r="H563" s="8" t="s">
        <v>1896</v>
      </c>
      <c r="I563" s="8" t="s">
        <v>1896</v>
      </c>
      <c r="J563" s="5">
        <v>0</v>
      </c>
      <c r="K563" s="5" t="s">
        <v>292</v>
      </c>
      <c r="L563" s="5" t="s">
        <v>767</v>
      </c>
      <c r="M563" s="5">
        <v>56</v>
      </c>
      <c r="N563" s="5" t="s">
        <v>43</v>
      </c>
      <c r="O563" s="5" t="s">
        <v>789</v>
      </c>
      <c r="Q563" s="10" t="s">
        <v>553</v>
      </c>
      <c r="S563" s="5" t="s">
        <v>328</v>
      </c>
    </row>
    <row r="564" spans="1:19" x14ac:dyDescent="0.2">
      <c r="A564" s="5">
        <v>521</v>
      </c>
      <c r="B564" s="8" t="s">
        <v>1897</v>
      </c>
      <c r="H564" s="8" t="s">
        <v>1898</v>
      </c>
      <c r="I564" s="8" t="s">
        <v>1898</v>
      </c>
      <c r="J564" s="5">
        <v>38</v>
      </c>
      <c r="K564" s="5" t="s">
        <v>292</v>
      </c>
      <c r="L564" s="5" t="s">
        <v>767</v>
      </c>
      <c r="M564" s="5">
        <v>56</v>
      </c>
      <c r="N564" s="5" t="s">
        <v>43</v>
      </c>
      <c r="O564" s="5" t="s">
        <v>789</v>
      </c>
      <c r="Q564" s="10" t="s">
        <v>553</v>
      </c>
    </row>
    <row r="565" spans="1:19" x14ac:dyDescent="0.2">
      <c r="A565" s="5">
        <v>522</v>
      </c>
      <c r="B565" s="8" t="s">
        <v>1899</v>
      </c>
      <c r="H565" s="8" t="s">
        <v>1896</v>
      </c>
      <c r="I565" s="8" t="s">
        <v>1896</v>
      </c>
      <c r="J565" s="5">
        <v>5</v>
      </c>
      <c r="K565" s="5" t="s">
        <v>292</v>
      </c>
      <c r="L565" s="5" t="s">
        <v>767</v>
      </c>
      <c r="M565" s="5">
        <v>56</v>
      </c>
      <c r="N565" s="5" t="s">
        <v>43</v>
      </c>
      <c r="O565" s="5" t="s">
        <v>789</v>
      </c>
      <c r="Q565" s="5" t="s">
        <v>1900</v>
      </c>
      <c r="S565" s="5" t="s">
        <v>328</v>
      </c>
    </row>
    <row r="566" spans="1:19" x14ac:dyDescent="0.2">
      <c r="A566" s="5">
        <v>523</v>
      </c>
      <c r="B566" s="8" t="s">
        <v>1901</v>
      </c>
      <c r="H566" s="8" t="s">
        <v>1902</v>
      </c>
      <c r="I566" s="8" t="s">
        <v>1902</v>
      </c>
      <c r="J566" s="5">
        <v>0</v>
      </c>
      <c r="K566" s="5" t="s">
        <v>292</v>
      </c>
      <c r="L566" s="5" t="s">
        <v>767</v>
      </c>
      <c r="M566" s="5">
        <v>56</v>
      </c>
      <c r="N566" s="5" t="s">
        <v>43</v>
      </c>
      <c r="O566" s="5" t="s">
        <v>789</v>
      </c>
      <c r="Q566" s="10" t="s">
        <v>553</v>
      </c>
    </row>
    <row r="567" spans="1:19" x14ac:dyDescent="0.2">
      <c r="A567" s="5">
        <v>524</v>
      </c>
      <c r="B567" s="8" t="s">
        <v>1903</v>
      </c>
      <c r="H567" s="8" t="s">
        <v>1904</v>
      </c>
      <c r="I567" s="8" t="s">
        <v>1905</v>
      </c>
      <c r="J567" s="5">
        <f>11-8-3+1+11+2</f>
        <v>14</v>
      </c>
      <c r="K567" s="5" t="s">
        <v>292</v>
      </c>
      <c r="L567" s="5" t="s">
        <v>767</v>
      </c>
      <c r="M567" s="5">
        <v>56</v>
      </c>
      <c r="N567" s="5" t="s">
        <v>43</v>
      </c>
      <c r="O567" s="5" t="s">
        <v>789</v>
      </c>
      <c r="Q567" s="5" t="s">
        <v>1906</v>
      </c>
      <c r="S567" s="5" t="s">
        <v>328</v>
      </c>
    </row>
    <row r="568" spans="1:19" x14ac:dyDescent="0.2">
      <c r="A568" s="5">
        <v>525</v>
      </c>
      <c r="B568" s="8" t="s">
        <v>1907</v>
      </c>
      <c r="H568" s="8" t="s">
        <v>1898</v>
      </c>
      <c r="I568" s="8" t="s">
        <v>1898</v>
      </c>
      <c r="J568" s="5">
        <v>13</v>
      </c>
      <c r="K568" s="5" t="s">
        <v>292</v>
      </c>
      <c r="L568" s="5" t="s">
        <v>767</v>
      </c>
      <c r="M568" s="5">
        <v>56</v>
      </c>
      <c r="N568" s="5" t="s">
        <v>43</v>
      </c>
      <c r="O568" s="5" t="s">
        <v>789</v>
      </c>
      <c r="Q568" s="10" t="s">
        <v>553</v>
      </c>
    </row>
    <row r="569" spans="1:19" x14ac:dyDescent="0.2">
      <c r="A569" s="5">
        <v>877</v>
      </c>
      <c r="B569" s="8" t="s">
        <v>1908</v>
      </c>
      <c r="H569" s="8" t="s">
        <v>1909</v>
      </c>
      <c r="I569" s="8" t="s">
        <v>1909</v>
      </c>
      <c r="J569" s="5">
        <v>5</v>
      </c>
      <c r="K569" s="5" t="s">
        <v>292</v>
      </c>
      <c r="L569" s="5" t="s">
        <v>767</v>
      </c>
      <c r="M569" s="5">
        <v>56</v>
      </c>
      <c r="N569" s="5" t="s">
        <v>43</v>
      </c>
      <c r="O569" s="5" t="s">
        <v>789</v>
      </c>
      <c r="Q569" s="5" t="s">
        <v>1910</v>
      </c>
    </row>
    <row r="570" spans="1:19" x14ac:dyDescent="0.2">
      <c r="A570" s="5">
        <v>878</v>
      </c>
      <c r="B570" s="8" t="s">
        <v>1892</v>
      </c>
      <c r="H570" s="8" t="s">
        <v>1893</v>
      </c>
      <c r="I570" s="8" t="s">
        <v>1893</v>
      </c>
      <c r="J570" s="5">
        <v>0</v>
      </c>
      <c r="K570" s="5" t="s">
        <v>292</v>
      </c>
      <c r="L570" s="5" t="s">
        <v>767</v>
      </c>
      <c r="M570" s="5">
        <v>56</v>
      </c>
      <c r="N570" s="5" t="s">
        <v>43</v>
      </c>
      <c r="O570" s="5" t="s">
        <v>789</v>
      </c>
      <c r="Q570" s="5" t="s">
        <v>1900</v>
      </c>
    </row>
    <row r="571" spans="1:19" x14ac:dyDescent="0.2">
      <c r="A571" s="5">
        <v>879</v>
      </c>
      <c r="B571" s="8" t="s">
        <v>1895</v>
      </c>
      <c r="H571" s="8" t="s">
        <v>1896</v>
      </c>
      <c r="I571" s="8" t="s">
        <v>1896</v>
      </c>
      <c r="J571" s="5">
        <v>37</v>
      </c>
      <c r="K571" s="5" t="s">
        <v>292</v>
      </c>
      <c r="L571" s="5" t="s">
        <v>767</v>
      </c>
      <c r="M571" s="5">
        <v>56</v>
      </c>
      <c r="N571" s="5" t="s">
        <v>43</v>
      </c>
      <c r="O571" s="5" t="s">
        <v>789</v>
      </c>
      <c r="Q571" s="5" t="s">
        <v>1894</v>
      </c>
    </row>
    <row r="572" spans="1:19" x14ac:dyDescent="0.2">
      <c r="A572" s="5">
        <v>880</v>
      </c>
      <c r="B572" s="8" t="s">
        <v>1907</v>
      </c>
      <c r="H572" s="8" t="s">
        <v>1898</v>
      </c>
      <c r="I572" s="8" t="s">
        <v>1898</v>
      </c>
      <c r="J572" s="5">
        <v>0</v>
      </c>
      <c r="K572" s="5" t="s">
        <v>292</v>
      </c>
      <c r="L572" s="5" t="s">
        <v>767</v>
      </c>
      <c r="M572" s="5">
        <v>56</v>
      </c>
      <c r="N572" s="5" t="s">
        <v>43</v>
      </c>
      <c r="O572" s="5" t="s">
        <v>789</v>
      </c>
      <c r="Q572" s="10" t="s">
        <v>553</v>
      </c>
    </row>
    <row r="573" spans="1:19" x14ac:dyDescent="0.2">
      <c r="A573" s="5">
        <v>881</v>
      </c>
      <c r="B573" s="8" t="s">
        <v>1897</v>
      </c>
      <c r="H573" s="8" t="s">
        <v>1898</v>
      </c>
      <c r="I573" s="8" t="s">
        <v>1898</v>
      </c>
      <c r="J573" s="5">
        <v>0</v>
      </c>
      <c r="K573" s="5" t="s">
        <v>292</v>
      </c>
      <c r="L573" s="5" t="s">
        <v>767</v>
      </c>
      <c r="M573" s="5">
        <v>56</v>
      </c>
      <c r="N573" s="5" t="s">
        <v>43</v>
      </c>
      <c r="O573" s="5" t="s">
        <v>789</v>
      </c>
      <c r="Q573" s="10" t="s">
        <v>553</v>
      </c>
    </row>
    <row r="574" spans="1:19" x14ac:dyDescent="0.2">
      <c r="A574" s="5">
        <v>882</v>
      </c>
      <c r="B574" s="11" t="s">
        <v>1911</v>
      </c>
      <c r="C574" s="11"/>
      <c r="D574" s="11"/>
      <c r="E574" s="26"/>
      <c r="F574" s="11"/>
      <c r="G574" s="11"/>
      <c r="H574" s="8" t="s">
        <v>1904</v>
      </c>
      <c r="I574" s="8" t="s">
        <v>1904</v>
      </c>
      <c r="J574" s="5">
        <v>0</v>
      </c>
      <c r="K574" s="5" t="s">
        <v>292</v>
      </c>
      <c r="L574" s="5" t="s">
        <v>767</v>
      </c>
      <c r="M574" s="5">
        <v>56</v>
      </c>
      <c r="N574" s="5" t="s">
        <v>43</v>
      </c>
      <c r="O574" s="5" t="s">
        <v>789</v>
      </c>
      <c r="Q574" s="10" t="s">
        <v>1906</v>
      </c>
    </row>
    <row r="575" spans="1:19" x14ac:dyDescent="0.2">
      <c r="A575" s="5">
        <v>883</v>
      </c>
      <c r="B575" s="8" t="s">
        <v>1901</v>
      </c>
      <c r="H575" s="8" t="s">
        <v>1902</v>
      </c>
      <c r="I575" s="8" t="s">
        <v>1902</v>
      </c>
      <c r="J575" s="5">
        <f>6-1</f>
        <v>5</v>
      </c>
      <c r="K575" s="5" t="s">
        <v>292</v>
      </c>
      <c r="L575" s="5" t="s">
        <v>767</v>
      </c>
      <c r="M575" s="5">
        <v>56</v>
      </c>
      <c r="N575" s="5" t="s">
        <v>43</v>
      </c>
      <c r="O575" s="5" t="s">
        <v>789</v>
      </c>
      <c r="Q575" s="10" t="s">
        <v>553</v>
      </c>
    </row>
    <row r="576" spans="1:19" x14ac:dyDescent="0.2">
      <c r="A576" s="5">
        <v>884</v>
      </c>
      <c r="B576" s="8" t="s">
        <v>1889</v>
      </c>
      <c r="H576" s="8" t="s">
        <v>1890</v>
      </c>
      <c r="I576" s="8" t="s">
        <v>1890</v>
      </c>
      <c r="J576" s="5">
        <v>0</v>
      </c>
      <c r="K576" s="5" t="s">
        <v>292</v>
      </c>
      <c r="L576" s="5" t="s">
        <v>767</v>
      </c>
      <c r="M576" s="5">
        <v>56</v>
      </c>
      <c r="N576" s="5" t="s">
        <v>43</v>
      </c>
      <c r="O576" s="5" t="s">
        <v>789</v>
      </c>
      <c r="Q576" s="10" t="s">
        <v>1912</v>
      </c>
      <c r="S576" s="5" t="s">
        <v>328</v>
      </c>
    </row>
    <row r="577" spans="1:19" x14ac:dyDescent="0.2">
      <c r="A577" s="5">
        <v>526</v>
      </c>
      <c r="B577" s="8" t="s">
        <v>1913</v>
      </c>
      <c r="H577" s="8" t="s">
        <v>1914</v>
      </c>
      <c r="I577" s="8" t="s">
        <v>1914</v>
      </c>
      <c r="J577" s="5">
        <f>133-30-50</f>
        <v>53</v>
      </c>
      <c r="K577" s="5" t="s">
        <v>292</v>
      </c>
      <c r="L577" s="5" t="s">
        <v>767</v>
      </c>
      <c r="M577" s="5">
        <v>57</v>
      </c>
      <c r="N577" s="5" t="s">
        <v>43</v>
      </c>
      <c r="O577" s="5" t="s">
        <v>789</v>
      </c>
      <c r="Q577" s="10" t="s">
        <v>553</v>
      </c>
    </row>
    <row r="578" spans="1:19" x14ac:dyDescent="0.2">
      <c r="A578" s="5">
        <v>527</v>
      </c>
      <c r="B578" s="8" t="s">
        <v>1915</v>
      </c>
      <c r="H578" s="8" t="s">
        <v>1916</v>
      </c>
      <c r="I578" s="8" t="s">
        <v>1916</v>
      </c>
      <c r="J578" s="5">
        <v>7</v>
      </c>
      <c r="K578" s="5" t="s">
        <v>292</v>
      </c>
      <c r="L578" s="5" t="s">
        <v>767</v>
      </c>
      <c r="M578" s="5">
        <v>57</v>
      </c>
      <c r="N578" s="5" t="s">
        <v>43</v>
      </c>
      <c r="O578" s="5" t="s">
        <v>789</v>
      </c>
      <c r="Q578" s="5" t="s">
        <v>1276</v>
      </c>
      <c r="S578" s="5" t="s">
        <v>328</v>
      </c>
    </row>
    <row r="579" spans="1:19" x14ac:dyDescent="0.2">
      <c r="A579" s="5">
        <v>528</v>
      </c>
      <c r="B579" s="8" t="s">
        <v>1917</v>
      </c>
      <c r="H579" s="8" t="s">
        <v>1918</v>
      </c>
      <c r="I579" s="8" t="s">
        <v>1918</v>
      </c>
      <c r="J579" s="5">
        <v>13</v>
      </c>
      <c r="K579" s="5" t="s">
        <v>292</v>
      </c>
      <c r="L579" s="5" t="s">
        <v>767</v>
      </c>
      <c r="M579" s="5">
        <v>57</v>
      </c>
      <c r="N579" s="5" t="s">
        <v>1919</v>
      </c>
      <c r="O579" s="5" t="s">
        <v>789</v>
      </c>
      <c r="Q579" s="10" t="s">
        <v>553</v>
      </c>
    </row>
    <row r="580" spans="1:19" x14ac:dyDescent="0.2">
      <c r="A580" s="5">
        <v>2368</v>
      </c>
      <c r="B580" s="8" t="s">
        <v>1920</v>
      </c>
      <c r="H580" s="8" t="s">
        <v>1921</v>
      </c>
      <c r="I580" s="8" t="s">
        <v>1921</v>
      </c>
      <c r="J580" s="5">
        <v>767</v>
      </c>
      <c r="K580" s="5" t="s">
        <v>292</v>
      </c>
      <c r="L580" s="5" t="s">
        <v>767</v>
      </c>
      <c r="M580" s="5">
        <v>57</v>
      </c>
      <c r="N580" s="5" t="s">
        <v>43</v>
      </c>
      <c r="O580" s="5" t="s">
        <v>789</v>
      </c>
      <c r="Q580" s="5" t="s">
        <v>1291</v>
      </c>
    </row>
    <row r="581" spans="1:19" x14ac:dyDescent="0.2">
      <c r="A581" s="5">
        <v>2369</v>
      </c>
      <c r="B581" s="8" t="s">
        <v>1922</v>
      </c>
      <c r="H581" s="8" t="s">
        <v>1923</v>
      </c>
      <c r="I581" s="8" t="s">
        <v>1923</v>
      </c>
      <c r="J581" s="5">
        <v>866</v>
      </c>
      <c r="K581" s="5" t="s">
        <v>292</v>
      </c>
      <c r="L581" s="5" t="s">
        <v>767</v>
      </c>
      <c r="M581" s="5">
        <v>57</v>
      </c>
      <c r="N581" s="5" t="s">
        <v>43</v>
      </c>
      <c r="O581" s="5" t="s">
        <v>789</v>
      </c>
      <c r="Q581" s="5" t="s">
        <v>1291</v>
      </c>
      <c r="S581" s="5" t="s">
        <v>1139</v>
      </c>
    </row>
    <row r="582" spans="1:19" x14ac:dyDescent="0.2">
      <c r="A582" s="5">
        <v>514</v>
      </c>
      <c r="B582" s="8" t="s">
        <v>1924</v>
      </c>
      <c r="H582" s="8" t="s">
        <v>1925</v>
      </c>
      <c r="I582" s="8" t="s">
        <v>1925</v>
      </c>
      <c r="J582" s="5">
        <v>11</v>
      </c>
      <c r="K582" s="5" t="s">
        <v>292</v>
      </c>
      <c r="L582" s="5" t="s">
        <v>767</v>
      </c>
      <c r="M582" s="5">
        <v>58</v>
      </c>
      <c r="N582" s="5" t="s">
        <v>43</v>
      </c>
      <c r="O582" s="5" t="s">
        <v>789</v>
      </c>
      <c r="Q582" s="10" t="s">
        <v>553</v>
      </c>
      <c r="S582" s="5" t="s">
        <v>328</v>
      </c>
    </row>
    <row r="583" spans="1:19" x14ac:dyDescent="0.2">
      <c r="A583" s="5">
        <v>515</v>
      </c>
      <c r="B583" s="8" t="s">
        <v>1926</v>
      </c>
      <c r="H583" s="8" t="s">
        <v>1927</v>
      </c>
      <c r="I583" s="8" t="s">
        <v>1928</v>
      </c>
      <c r="J583" s="5">
        <v>23</v>
      </c>
      <c r="K583" s="5" t="s">
        <v>292</v>
      </c>
      <c r="L583" s="5" t="s">
        <v>767</v>
      </c>
      <c r="M583" s="5">
        <v>58</v>
      </c>
      <c r="N583" s="5" t="s">
        <v>43</v>
      </c>
      <c r="O583" s="5" t="s">
        <v>789</v>
      </c>
      <c r="Q583" s="10" t="s">
        <v>553</v>
      </c>
      <c r="S583" s="5" t="s">
        <v>328</v>
      </c>
    </row>
    <row r="584" spans="1:19" x14ac:dyDescent="0.2">
      <c r="A584" s="5">
        <v>516</v>
      </c>
      <c r="B584" s="11" t="s">
        <v>553</v>
      </c>
      <c r="C584" s="11"/>
      <c r="D584" s="11"/>
      <c r="E584" s="26"/>
      <c r="F584" s="11"/>
      <c r="G584" s="11"/>
      <c r="H584" s="8" t="s">
        <v>1929</v>
      </c>
      <c r="I584" s="8" t="s">
        <v>1929</v>
      </c>
      <c r="J584" s="5">
        <v>26</v>
      </c>
      <c r="K584" s="5" t="s">
        <v>292</v>
      </c>
      <c r="L584" s="5" t="s">
        <v>767</v>
      </c>
      <c r="M584" s="5">
        <v>58</v>
      </c>
      <c r="N584" s="5" t="s">
        <v>43</v>
      </c>
      <c r="O584" s="5" t="s">
        <v>789</v>
      </c>
      <c r="Q584" s="10" t="s">
        <v>553</v>
      </c>
    </row>
    <row r="585" spans="1:19" x14ac:dyDescent="0.2">
      <c r="A585" s="5">
        <v>1454</v>
      </c>
      <c r="B585" s="8" t="s">
        <v>1930</v>
      </c>
      <c r="C585" s="8">
        <v>2.2011042000000001E-2</v>
      </c>
      <c r="D585" s="8" t="s">
        <v>384</v>
      </c>
      <c r="E585" s="24">
        <v>43673</v>
      </c>
      <c r="F585" s="8" t="s">
        <v>259</v>
      </c>
      <c r="G585" s="8" t="s">
        <v>276</v>
      </c>
      <c r="H585" s="8" t="s">
        <v>1931</v>
      </c>
      <c r="I585" s="8" t="s">
        <v>1932</v>
      </c>
      <c r="J585" s="5">
        <f>1381-24-1-1+20</f>
        <v>1375</v>
      </c>
      <c r="K585" s="5" t="s">
        <v>292</v>
      </c>
      <c r="L585" s="5" t="s">
        <v>767</v>
      </c>
      <c r="M585" s="5">
        <v>59</v>
      </c>
      <c r="N585" s="5" t="s">
        <v>805</v>
      </c>
      <c r="O585" s="5" t="s">
        <v>574</v>
      </c>
      <c r="Q585" s="5" t="s">
        <v>1851</v>
      </c>
      <c r="R585" s="6"/>
      <c r="S585" s="6" t="s">
        <v>328</v>
      </c>
    </row>
    <row r="586" spans="1:19" x14ac:dyDescent="0.2">
      <c r="A586" s="5"/>
      <c r="B586" s="8">
        <v>9508040</v>
      </c>
      <c r="I586" s="8" t="s">
        <v>1933</v>
      </c>
      <c r="J586" s="5">
        <f>20</f>
        <v>20</v>
      </c>
      <c r="K586" s="5" t="s">
        <v>292</v>
      </c>
      <c r="L586" s="5" t="s">
        <v>767</v>
      </c>
      <c r="M586" s="5">
        <v>59</v>
      </c>
      <c r="R586" s="6"/>
      <c r="S586" s="6"/>
    </row>
    <row r="587" spans="1:19" x14ac:dyDescent="0.2">
      <c r="A587" s="5">
        <v>554</v>
      </c>
      <c r="B587" s="8" t="s">
        <v>1934</v>
      </c>
      <c r="C587" s="8" t="s">
        <v>1935</v>
      </c>
      <c r="D587" s="8" t="s">
        <v>384</v>
      </c>
      <c r="E587" s="24">
        <v>43673</v>
      </c>
      <c r="F587" s="8" t="s">
        <v>259</v>
      </c>
      <c r="G587" s="8" t="s">
        <v>276</v>
      </c>
      <c r="H587" s="8" t="s">
        <v>1936</v>
      </c>
      <c r="I587" s="8" t="s">
        <v>1937</v>
      </c>
      <c r="J587" s="5">
        <f>557-15-96-16</f>
        <v>430</v>
      </c>
      <c r="K587" s="5" t="s">
        <v>292</v>
      </c>
      <c r="L587" s="5" t="s">
        <v>767</v>
      </c>
      <c r="M587" s="5">
        <v>59</v>
      </c>
      <c r="N587" s="5" t="s">
        <v>43</v>
      </c>
      <c r="O587" s="5" t="s">
        <v>789</v>
      </c>
      <c r="Q587" s="10" t="s">
        <v>553</v>
      </c>
      <c r="S587" s="5" t="s">
        <v>328</v>
      </c>
    </row>
    <row r="588" spans="1:19" x14ac:dyDescent="0.2">
      <c r="A588" s="5">
        <v>2112</v>
      </c>
      <c r="B588" s="8" t="s">
        <v>1938</v>
      </c>
      <c r="C588" s="8" t="s">
        <v>1939</v>
      </c>
      <c r="D588" s="8" t="s">
        <v>384</v>
      </c>
      <c r="E588" s="24">
        <v>43673</v>
      </c>
      <c r="F588" s="8" t="s">
        <v>259</v>
      </c>
      <c r="G588" s="8" t="s">
        <v>276</v>
      </c>
      <c r="H588" s="8" t="s">
        <v>1940</v>
      </c>
      <c r="I588" s="8" t="s">
        <v>1941</v>
      </c>
      <c r="J588" s="5">
        <f>195-1-1-1-1-20-22+158-102+100-28-3-40-3-1-30-2-1-3-71-8-50-65</f>
        <v>0</v>
      </c>
      <c r="K588" s="5" t="s">
        <v>292</v>
      </c>
      <c r="L588" s="5" t="s">
        <v>767</v>
      </c>
      <c r="M588" s="5">
        <v>59</v>
      </c>
      <c r="N588" s="5" t="s">
        <v>805</v>
      </c>
      <c r="O588" s="5" t="s">
        <v>574</v>
      </c>
      <c r="Q588" s="5" t="s">
        <v>1910</v>
      </c>
      <c r="R588" s="6"/>
      <c r="S588" s="6"/>
    </row>
    <row r="589" spans="1:19" x14ac:dyDescent="0.2">
      <c r="A589" s="5">
        <v>1457</v>
      </c>
      <c r="B589" s="8" t="s">
        <v>1942</v>
      </c>
      <c r="C589" s="8" t="s">
        <v>1943</v>
      </c>
      <c r="D589" s="8" t="s">
        <v>384</v>
      </c>
      <c r="E589" s="24">
        <v>43673</v>
      </c>
      <c r="F589" s="8" t="s">
        <v>259</v>
      </c>
      <c r="G589" s="8" t="s">
        <v>276</v>
      </c>
      <c r="H589" s="8" t="s">
        <v>1944</v>
      </c>
      <c r="I589" s="8" t="s">
        <v>1945</v>
      </c>
      <c r="J589" s="5">
        <f>809-3-3-9-3-3-6-30-6-3-3-3-30-10-10-6-12-6-12-6-30-22-67-44-2-4-40-5-2-2-2-2-2-10-2-132-10-27-8-6-4-8-32-16-9-10-5-9-125-2+98+62-32-100+16-48+43</f>
        <v>45</v>
      </c>
      <c r="K589" s="5" t="s">
        <v>292</v>
      </c>
      <c r="L589" s="5" t="s">
        <v>767</v>
      </c>
      <c r="M589" s="5">
        <v>59</v>
      </c>
      <c r="N589" s="5" t="s">
        <v>805</v>
      </c>
      <c r="O589" s="5" t="s">
        <v>574</v>
      </c>
      <c r="Q589" s="5" t="s">
        <v>1946</v>
      </c>
      <c r="R589" s="6"/>
      <c r="S589" s="6" t="s">
        <v>328</v>
      </c>
    </row>
    <row r="590" spans="1:19" x14ac:dyDescent="0.2">
      <c r="A590" s="5">
        <v>553</v>
      </c>
      <c r="B590" s="8" t="s">
        <v>1947</v>
      </c>
      <c r="C590" s="8" t="s">
        <v>1948</v>
      </c>
      <c r="D590" s="8" t="s">
        <v>384</v>
      </c>
      <c r="E590" s="24">
        <v>43673</v>
      </c>
      <c r="F590" s="8" t="s">
        <v>259</v>
      </c>
      <c r="G590" s="8" t="s">
        <v>276</v>
      </c>
      <c r="H590" s="8" t="s">
        <v>1949</v>
      </c>
      <c r="I590" s="8" t="s">
        <v>1950</v>
      </c>
      <c r="J590" s="5">
        <f>137-5-4-24-10+57-50</f>
        <v>101</v>
      </c>
      <c r="K590" s="5" t="s">
        <v>292</v>
      </c>
      <c r="L590" s="5" t="s">
        <v>767</v>
      </c>
      <c r="M590" s="5">
        <v>59</v>
      </c>
      <c r="N590" s="5" t="s">
        <v>43</v>
      </c>
      <c r="O590" s="5" t="s">
        <v>789</v>
      </c>
      <c r="Q590" s="10" t="s">
        <v>553</v>
      </c>
      <c r="S590" s="5" t="s">
        <v>328</v>
      </c>
    </row>
    <row r="591" spans="1:19" x14ac:dyDescent="0.2">
      <c r="A591" s="5"/>
      <c r="B591" s="8">
        <v>9508020</v>
      </c>
      <c r="I591" s="8" t="s">
        <v>1951</v>
      </c>
      <c r="J591" s="5">
        <f>20-20</f>
        <v>0</v>
      </c>
      <c r="K591" s="5" t="s">
        <v>292</v>
      </c>
      <c r="L591" s="5" t="s">
        <v>767</v>
      </c>
      <c r="M591" s="5">
        <v>59</v>
      </c>
      <c r="R591" s="6"/>
      <c r="S591" s="6"/>
    </row>
    <row r="592" spans="1:19" x14ac:dyDescent="0.2">
      <c r="A592" s="5"/>
      <c r="B592" s="8" t="s">
        <v>1952</v>
      </c>
      <c r="I592" s="8" t="s">
        <v>1953</v>
      </c>
      <c r="J592" s="5">
        <f>100-60</f>
        <v>40</v>
      </c>
      <c r="K592" s="5" t="s">
        <v>292</v>
      </c>
      <c r="L592" s="5" t="s">
        <v>767</v>
      </c>
      <c r="M592" s="5">
        <v>59</v>
      </c>
      <c r="N592" s="5" t="s">
        <v>43</v>
      </c>
      <c r="Q592" s="107" t="s">
        <v>1954</v>
      </c>
      <c r="R592" s="6"/>
      <c r="S592" s="6"/>
    </row>
    <row r="593" spans="1:19" x14ac:dyDescent="0.2">
      <c r="A593" s="5"/>
      <c r="B593" s="8" t="s">
        <v>1955</v>
      </c>
      <c r="H593" s="8" t="s">
        <v>1956</v>
      </c>
      <c r="I593" s="8" t="s">
        <v>1957</v>
      </c>
      <c r="J593" s="5">
        <f>200-1-3-3-60-1-3-14-30-1-30+140-71-8-50-65+120-2-71-1-10-26+26-9-8-1</f>
        <v>18</v>
      </c>
      <c r="K593" s="5" t="s">
        <v>292</v>
      </c>
      <c r="L593" s="5" t="s">
        <v>767</v>
      </c>
      <c r="M593" s="5">
        <v>59</v>
      </c>
      <c r="N593" s="5" t="s">
        <v>805</v>
      </c>
      <c r="Q593" s="107" t="s">
        <v>1954</v>
      </c>
    </row>
    <row r="594" spans="1:19" x14ac:dyDescent="0.2">
      <c r="A594" s="5">
        <v>2349</v>
      </c>
      <c r="B594" s="8">
        <v>508029101</v>
      </c>
      <c r="H594" s="8" t="s">
        <v>1958</v>
      </c>
      <c r="I594" s="8" t="s">
        <v>1959</v>
      </c>
      <c r="J594" s="5">
        <v>505</v>
      </c>
      <c r="K594" s="5" t="s">
        <v>21</v>
      </c>
      <c r="L594" s="5" t="s">
        <v>767</v>
      </c>
      <c r="M594" s="5">
        <v>59</v>
      </c>
      <c r="N594" s="5" t="s">
        <v>81</v>
      </c>
      <c r="Q594" s="5" t="s">
        <v>1960</v>
      </c>
    </row>
    <row r="595" spans="1:19" x14ac:dyDescent="0.2">
      <c r="A595" s="5">
        <v>2346</v>
      </c>
      <c r="B595" s="8" t="s">
        <v>1961</v>
      </c>
      <c r="H595" s="8" t="s">
        <v>1962</v>
      </c>
      <c r="I595" s="8" t="s">
        <v>1961</v>
      </c>
      <c r="J595" s="5">
        <f>87-1-1-1</f>
        <v>84</v>
      </c>
      <c r="K595" s="5" t="s">
        <v>21</v>
      </c>
      <c r="L595" s="5" t="s">
        <v>767</v>
      </c>
      <c r="M595" s="5">
        <v>59</v>
      </c>
      <c r="N595" s="5" t="s">
        <v>43</v>
      </c>
      <c r="O595" s="5" t="s">
        <v>789</v>
      </c>
      <c r="Q595" s="5" t="s">
        <v>1963</v>
      </c>
    </row>
    <row r="596" spans="1:19" x14ac:dyDescent="0.2">
      <c r="A596" s="5"/>
      <c r="B596" s="8">
        <v>9508020</v>
      </c>
      <c r="I596" s="8" t="s">
        <v>1951</v>
      </c>
      <c r="J596" s="5">
        <f>20-16</f>
        <v>4</v>
      </c>
      <c r="K596" s="5" t="s">
        <v>21</v>
      </c>
      <c r="L596" s="5" t="s">
        <v>767</v>
      </c>
      <c r="M596" s="5">
        <v>59</v>
      </c>
    </row>
    <row r="597" spans="1:19" x14ac:dyDescent="0.2">
      <c r="A597" s="5">
        <v>1458</v>
      </c>
      <c r="B597" s="8" t="s">
        <v>1964</v>
      </c>
      <c r="C597" s="8" t="s">
        <v>1965</v>
      </c>
      <c r="D597" s="8" t="s">
        <v>384</v>
      </c>
      <c r="E597" s="24">
        <v>43567</v>
      </c>
      <c r="F597" s="8" t="s">
        <v>1966</v>
      </c>
      <c r="G597" s="8" t="s">
        <v>1967</v>
      </c>
      <c r="H597" s="8" t="s">
        <v>1968</v>
      </c>
      <c r="I597" s="8" t="s">
        <v>1969</v>
      </c>
      <c r="J597" s="5">
        <f>1411-40-1000-40-40-24-8-1-100-8+1100-64-24-300-24-8-8-6-100-3-1-1-1-1-2+1+60-15-20-30</f>
        <v>703</v>
      </c>
      <c r="K597" s="5" t="s">
        <v>21</v>
      </c>
      <c r="L597" s="5" t="s">
        <v>767</v>
      </c>
      <c r="M597" s="5">
        <v>59</v>
      </c>
      <c r="N597" s="5" t="s">
        <v>805</v>
      </c>
      <c r="O597" s="5" t="s">
        <v>574</v>
      </c>
      <c r="P597" s="5" t="s">
        <v>1970</v>
      </c>
      <c r="Q597" s="5" t="s">
        <v>1971</v>
      </c>
      <c r="R597" s="6"/>
      <c r="S597" s="6"/>
    </row>
    <row r="598" spans="1:19" x14ac:dyDescent="0.2">
      <c r="A598" s="5"/>
      <c r="B598" s="8" t="s">
        <v>1972</v>
      </c>
      <c r="C598" s="8" t="s">
        <v>1973</v>
      </c>
      <c r="D598" s="8" t="s">
        <v>384</v>
      </c>
      <c r="E598" s="24">
        <v>43673</v>
      </c>
      <c r="F598" s="8" t="s">
        <v>259</v>
      </c>
      <c r="G598" s="8" t="s">
        <v>276</v>
      </c>
      <c r="H598" s="8" t="s">
        <v>1974</v>
      </c>
      <c r="I598" s="8" t="s">
        <v>1975</v>
      </c>
      <c r="J598" s="5">
        <f>83-30-1-52+19-1-1+200-5-5-1-1-1-1-60-1-30-40-1-60-3-8+66+863-20-3-39-3-1-48-10-2-1+7-3-1-50-8-100-1-20-30-8-8-260-1-8-52-9-8</f>
        <v>242</v>
      </c>
      <c r="K598" s="5" t="s">
        <v>21</v>
      </c>
      <c r="L598" s="5" t="s">
        <v>767</v>
      </c>
      <c r="M598" s="5">
        <v>60</v>
      </c>
      <c r="N598" s="5" t="s">
        <v>805</v>
      </c>
      <c r="Q598" s="107" t="s">
        <v>1976</v>
      </c>
      <c r="R598" s="6"/>
      <c r="S598" s="6"/>
    </row>
    <row r="599" spans="1:19" x14ac:dyDescent="0.2">
      <c r="A599" s="5"/>
      <c r="B599" s="8" t="s">
        <v>1977</v>
      </c>
      <c r="H599" s="8" t="s">
        <v>1978</v>
      </c>
      <c r="I599" s="8" t="s">
        <v>1978</v>
      </c>
      <c r="J599" s="5">
        <f>96+4</f>
        <v>100</v>
      </c>
      <c r="K599" s="5" t="s">
        <v>21</v>
      </c>
      <c r="L599" s="5" t="s">
        <v>767</v>
      </c>
      <c r="M599" s="5">
        <v>60</v>
      </c>
      <c r="N599" s="5" t="s">
        <v>805</v>
      </c>
      <c r="Q599" s="107" t="s">
        <v>1979</v>
      </c>
      <c r="R599" s="6"/>
      <c r="S599" s="6"/>
    </row>
    <row r="600" spans="1:19" x14ac:dyDescent="0.2">
      <c r="A600" s="5">
        <v>1456</v>
      </c>
      <c r="B600" s="8" t="s">
        <v>1980</v>
      </c>
      <c r="C600" s="8" t="s">
        <v>1981</v>
      </c>
      <c r="D600" s="8" t="s">
        <v>384</v>
      </c>
      <c r="E600" s="24">
        <v>43673</v>
      </c>
      <c r="F600" s="8" t="s">
        <v>259</v>
      </c>
      <c r="G600" s="8" t="s">
        <v>276</v>
      </c>
      <c r="H600" s="8" t="s">
        <v>1982</v>
      </c>
      <c r="I600" s="8" t="s">
        <v>1983</v>
      </c>
      <c r="J600" s="5">
        <f>733-9-5-2-1-8-3-19-4-1-60-30-3-30-22-3-3-10-6-6+117-4+36-6-2-8-290-40-8+25+290-8-100-2-8-1-1-5-10</f>
        <v>483</v>
      </c>
      <c r="K600" s="5" t="s">
        <v>292</v>
      </c>
      <c r="L600" s="5" t="s">
        <v>767</v>
      </c>
      <c r="M600" s="5">
        <v>60</v>
      </c>
      <c r="N600" s="5" t="s">
        <v>805</v>
      </c>
      <c r="O600" s="5" t="s">
        <v>574</v>
      </c>
      <c r="Q600" s="5" t="s">
        <v>1984</v>
      </c>
      <c r="R600" s="6"/>
      <c r="S600" s="6"/>
    </row>
    <row r="601" spans="1:19" x14ac:dyDescent="0.2">
      <c r="A601" s="5">
        <v>1463</v>
      </c>
      <c r="B601" s="11" t="s">
        <v>1985</v>
      </c>
      <c r="H601" s="8" t="s">
        <v>1986</v>
      </c>
      <c r="I601" s="8" t="s">
        <v>1986</v>
      </c>
      <c r="J601" s="5">
        <v>35</v>
      </c>
      <c r="K601" s="5" t="s">
        <v>292</v>
      </c>
      <c r="L601" s="5" t="s">
        <v>767</v>
      </c>
      <c r="M601" s="5">
        <v>61</v>
      </c>
      <c r="N601" s="5" t="s">
        <v>805</v>
      </c>
      <c r="O601" s="5" t="s">
        <v>574</v>
      </c>
      <c r="Q601" s="5" t="s">
        <v>1987</v>
      </c>
      <c r="R601" s="6"/>
      <c r="S601" s="6"/>
    </row>
    <row r="602" spans="1:19" x14ac:dyDescent="0.2">
      <c r="A602" s="5">
        <v>1464</v>
      </c>
      <c r="B602" s="8" t="s">
        <v>1988</v>
      </c>
      <c r="H602" s="8" t="s">
        <v>1989</v>
      </c>
      <c r="I602" s="8" t="s">
        <v>1990</v>
      </c>
      <c r="J602" s="5">
        <f>68-3</f>
        <v>65</v>
      </c>
      <c r="K602" s="5" t="s">
        <v>292</v>
      </c>
      <c r="L602" s="5" t="s">
        <v>767</v>
      </c>
      <c r="M602" s="5">
        <v>61</v>
      </c>
      <c r="N602" s="5" t="s">
        <v>805</v>
      </c>
      <c r="O602" s="5" t="s">
        <v>574</v>
      </c>
      <c r="Q602" s="5" t="s">
        <v>1991</v>
      </c>
      <c r="R602" s="6"/>
      <c r="S602" s="6"/>
    </row>
    <row r="603" spans="1:19" x14ac:dyDescent="0.2">
      <c r="A603" s="5">
        <v>1465</v>
      </c>
      <c r="B603" s="8">
        <v>3424083</v>
      </c>
      <c r="H603" s="8" t="s">
        <v>1992</v>
      </c>
      <c r="I603" s="8" t="s">
        <v>1992</v>
      </c>
      <c r="J603" s="5">
        <v>9</v>
      </c>
      <c r="K603" s="5" t="s">
        <v>292</v>
      </c>
      <c r="L603" s="5" t="s">
        <v>767</v>
      </c>
      <c r="M603" s="5">
        <v>61</v>
      </c>
      <c r="N603" s="5" t="s">
        <v>805</v>
      </c>
      <c r="O603" s="5" t="s">
        <v>574</v>
      </c>
      <c r="Q603" s="5" t="s">
        <v>1993</v>
      </c>
      <c r="R603" s="6"/>
      <c r="S603" s="6"/>
    </row>
    <row r="604" spans="1:19" x14ac:dyDescent="0.2">
      <c r="A604" s="5">
        <v>1466</v>
      </c>
      <c r="B604" s="8">
        <v>3424061</v>
      </c>
      <c r="H604" s="8" t="s">
        <v>1994</v>
      </c>
      <c r="I604" s="8" t="s">
        <v>1994</v>
      </c>
      <c r="J604" s="5">
        <v>112</v>
      </c>
      <c r="K604" s="5" t="s">
        <v>292</v>
      </c>
      <c r="L604" s="5" t="s">
        <v>767</v>
      </c>
      <c r="M604" s="5">
        <v>61</v>
      </c>
      <c r="N604" s="5" t="s">
        <v>805</v>
      </c>
      <c r="O604" s="5" t="s">
        <v>574</v>
      </c>
      <c r="Q604" s="5" t="s">
        <v>1995</v>
      </c>
    </row>
    <row r="605" spans="1:19" x14ac:dyDescent="0.2">
      <c r="A605" s="5">
        <v>517</v>
      </c>
      <c r="B605" s="8" t="s">
        <v>1996</v>
      </c>
      <c r="H605" s="8" t="s">
        <v>1997</v>
      </c>
      <c r="I605" s="8" t="s">
        <v>1997</v>
      </c>
      <c r="J605" s="5">
        <v>197</v>
      </c>
      <c r="K605" s="5" t="s">
        <v>292</v>
      </c>
      <c r="L605" s="5" t="s">
        <v>767</v>
      </c>
      <c r="M605" s="5">
        <v>62</v>
      </c>
      <c r="N605" s="5" t="s">
        <v>43</v>
      </c>
      <c r="O605" s="5" t="s">
        <v>789</v>
      </c>
      <c r="R605" s="6"/>
      <c r="S605" s="6"/>
    </row>
    <row r="606" spans="1:19" x14ac:dyDescent="0.2">
      <c r="A606" s="5"/>
      <c r="B606" s="8" t="s">
        <v>1998</v>
      </c>
      <c r="H606" s="8" t="s">
        <v>1999</v>
      </c>
      <c r="I606" s="8" t="s">
        <v>2000</v>
      </c>
      <c r="J606" s="5">
        <v>0</v>
      </c>
      <c r="K606" s="5" t="s">
        <v>292</v>
      </c>
      <c r="L606" s="5" t="s">
        <v>767</v>
      </c>
      <c r="M606" s="5">
        <v>62</v>
      </c>
      <c r="Q606" s="5" t="s">
        <v>2001</v>
      </c>
    </row>
    <row r="607" spans="1:19" x14ac:dyDescent="0.2">
      <c r="A607" s="5">
        <v>529</v>
      </c>
      <c r="B607" s="8" t="s">
        <v>2002</v>
      </c>
      <c r="H607" s="8" t="s">
        <v>2003</v>
      </c>
      <c r="I607" s="8" t="s">
        <v>2003</v>
      </c>
      <c r="J607" s="5">
        <f>290-5-1-3</f>
        <v>281</v>
      </c>
      <c r="K607" s="5" t="s">
        <v>292</v>
      </c>
      <c r="L607" s="5" t="s">
        <v>767</v>
      </c>
      <c r="M607" s="5">
        <v>63</v>
      </c>
      <c r="N607" s="5" t="s">
        <v>1919</v>
      </c>
      <c r="O607" s="5" t="s">
        <v>789</v>
      </c>
      <c r="Q607" s="5" t="s">
        <v>2004</v>
      </c>
    </row>
    <row r="608" spans="1:19" x14ac:dyDescent="0.2">
      <c r="A608" s="5">
        <v>530</v>
      </c>
      <c r="B608" s="8" t="s">
        <v>2005</v>
      </c>
      <c r="H608" s="8" t="s">
        <v>2006</v>
      </c>
      <c r="I608" s="8" t="s">
        <v>2006</v>
      </c>
      <c r="J608" s="5">
        <f>575-4-20-2</f>
        <v>549</v>
      </c>
      <c r="K608" s="5" t="s">
        <v>292</v>
      </c>
      <c r="L608" s="5" t="s">
        <v>767</v>
      </c>
      <c r="M608" s="5">
        <v>63</v>
      </c>
      <c r="N608" s="5" t="s">
        <v>43</v>
      </c>
      <c r="O608" s="5" t="s">
        <v>789</v>
      </c>
      <c r="Q608" s="5" t="s">
        <v>2007</v>
      </c>
    </row>
    <row r="609" spans="1:19" x14ac:dyDescent="0.2">
      <c r="A609" s="5">
        <v>531</v>
      </c>
      <c r="B609" s="8">
        <v>1087410</v>
      </c>
      <c r="H609" s="8" t="s">
        <v>2008</v>
      </c>
      <c r="I609" s="8" t="s">
        <v>2008</v>
      </c>
      <c r="J609" s="5">
        <f>5+1</f>
        <v>6</v>
      </c>
      <c r="K609" s="5" t="s">
        <v>292</v>
      </c>
      <c r="L609" s="5" t="s">
        <v>767</v>
      </c>
      <c r="M609" s="5">
        <v>64</v>
      </c>
      <c r="N609" s="5" t="s">
        <v>43</v>
      </c>
      <c r="O609" s="5" t="s">
        <v>789</v>
      </c>
      <c r="Q609" s="5" t="s">
        <v>2009</v>
      </c>
      <c r="S609" s="5" t="s">
        <v>328</v>
      </c>
    </row>
    <row r="610" spans="1:19" x14ac:dyDescent="0.2">
      <c r="A610" s="5">
        <v>532</v>
      </c>
      <c r="B610" s="8" t="s">
        <v>2010</v>
      </c>
      <c r="H610" s="8" t="s">
        <v>2010</v>
      </c>
      <c r="I610" s="8" t="s">
        <v>2010</v>
      </c>
      <c r="J610" s="5">
        <v>3</v>
      </c>
      <c r="K610" s="5" t="s">
        <v>292</v>
      </c>
      <c r="L610" s="5" t="s">
        <v>767</v>
      </c>
      <c r="M610" s="5">
        <v>64</v>
      </c>
      <c r="N610" s="5" t="s">
        <v>43</v>
      </c>
      <c r="O610" s="5" t="s">
        <v>789</v>
      </c>
      <c r="Q610" s="10" t="s">
        <v>553</v>
      </c>
      <c r="S610" s="5" t="s">
        <v>328</v>
      </c>
    </row>
    <row r="611" spans="1:19" x14ac:dyDescent="0.2">
      <c r="A611" s="5">
        <v>533</v>
      </c>
      <c r="B611" s="8" t="s">
        <v>2011</v>
      </c>
      <c r="H611" s="8" t="s">
        <v>2012</v>
      </c>
      <c r="I611" s="8" t="s">
        <v>2012</v>
      </c>
      <c r="J611" s="5">
        <v>3</v>
      </c>
      <c r="K611" s="5" t="s">
        <v>292</v>
      </c>
      <c r="L611" s="5" t="s">
        <v>767</v>
      </c>
      <c r="M611" s="5">
        <v>64</v>
      </c>
      <c r="N611" s="5" t="s">
        <v>43</v>
      </c>
      <c r="O611" s="5" t="s">
        <v>789</v>
      </c>
      <c r="Q611" s="10" t="s">
        <v>553</v>
      </c>
    </row>
    <row r="612" spans="1:19" x14ac:dyDescent="0.2">
      <c r="A612" s="5"/>
      <c r="B612" s="8" t="s">
        <v>1334</v>
      </c>
      <c r="H612" s="8" t="s">
        <v>2013</v>
      </c>
      <c r="I612" s="8" t="s">
        <v>2013</v>
      </c>
      <c r="J612" s="5">
        <f>30</f>
        <v>30</v>
      </c>
      <c r="K612" s="5" t="s">
        <v>292</v>
      </c>
      <c r="L612" s="5" t="s">
        <v>767</v>
      </c>
      <c r="M612" s="5">
        <v>64</v>
      </c>
      <c r="N612" s="5" t="s">
        <v>43</v>
      </c>
      <c r="Q612" s="107" t="s">
        <v>1800</v>
      </c>
    </row>
    <row r="613" spans="1:19" x14ac:dyDescent="0.2">
      <c r="A613" s="5"/>
      <c r="B613" s="8" t="s">
        <v>2014</v>
      </c>
      <c r="H613" s="8" t="s">
        <v>2015</v>
      </c>
      <c r="I613" s="8" t="s">
        <v>2015</v>
      </c>
      <c r="J613" s="5">
        <f>30</f>
        <v>30</v>
      </c>
      <c r="K613" s="5" t="s">
        <v>292</v>
      </c>
      <c r="L613" s="5" t="s">
        <v>767</v>
      </c>
      <c r="M613" s="5">
        <v>64</v>
      </c>
      <c r="N613" s="5" t="s">
        <v>43</v>
      </c>
      <c r="Q613" s="107" t="s">
        <v>1800</v>
      </c>
    </row>
    <row r="614" spans="1:19" x14ac:dyDescent="0.2">
      <c r="A614" s="5"/>
      <c r="B614" s="8" t="s">
        <v>2016</v>
      </c>
      <c r="H614" s="8" t="s">
        <v>2017</v>
      </c>
      <c r="I614" s="8" t="s">
        <v>2017</v>
      </c>
      <c r="J614" s="5">
        <f>4</f>
        <v>4</v>
      </c>
      <c r="K614" s="5" t="s">
        <v>292</v>
      </c>
      <c r="L614" s="5" t="s">
        <v>767</v>
      </c>
      <c r="M614" s="5">
        <v>64</v>
      </c>
      <c r="N614" s="5" t="s">
        <v>43</v>
      </c>
      <c r="Q614" s="107" t="s">
        <v>2018</v>
      </c>
    </row>
    <row r="615" spans="1:19" x14ac:dyDescent="0.2">
      <c r="A615" s="5"/>
      <c r="B615" s="130" t="s">
        <v>2019</v>
      </c>
      <c r="H615" s="8" t="s">
        <v>2020</v>
      </c>
      <c r="I615" s="8" t="s">
        <v>2020</v>
      </c>
      <c r="J615" s="5">
        <f>2</f>
        <v>2</v>
      </c>
      <c r="K615" s="5" t="s">
        <v>292</v>
      </c>
      <c r="L615" s="5" t="s">
        <v>767</v>
      </c>
      <c r="M615" s="5">
        <v>64</v>
      </c>
      <c r="N615" s="5" t="s">
        <v>43</v>
      </c>
      <c r="Q615" s="107" t="s">
        <v>1327</v>
      </c>
    </row>
    <row r="616" spans="1:19" x14ac:dyDescent="0.2">
      <c r="A616" s="5"/>
      <c r="B616" s="8" t="s">
        <v>2021</v>
      </c>
      <c r="H616" s="8" t="s">
        <v>2022</v>
      </c>
      <c r="I616" s="8" t="s">
        <v>2022</v>
      </c>
      <c r="J616" s="5">
        <f>3</f>
        <v>3</v>
      </c>
      <c r="K616" s="5" t="s">
        <v>292</v>
      </c>
      <c r="L616" s="5" t="s">
        <v>767</v>
      </c>
      <c r="M616" s="5">
        <v>47</v>
      </c>
      <c r="N616" s="5" t="s">
        <v>43</v>
      </c>
      <c r="Q616" s="107" t="s">
        <v>1327</v>
      </c>
    </row>
    <row r="617" spans="1:19" x14ac:dyDescent="0.2">
      <c r="A617" s="5">
        <v>534</v>
      </c>
      <c r="B617" s="11" t="s">
        <v>2023</v>
      </c>
      <c r="H617" s="8" t="s">
        <v>2024</v>
      </c>
      <c r="I617" s="8" t="s">
        <v>2025</v>
      </c>
      <c r="J617" s="5">
        <f>0+20+25+50</f>
        <v>95</v>
      </c>
      <c r="K617" s="5" t="s">
        <v>292</v>
      </c>
      <c r="L617" s="5" t="s">
        <v>767</v>
      </c>
      <c r="M617" s="5">
        <v>65</v>
      </c>
      <c r="N617" s="5" t="s">
        <v>43</v>
      </c>
      <c r="O617" s="5" t="s">
        <v>789</v>
      </c>
      <c r="Q617" s="5" t="s">
        <v>2026</v>
      </c>
    </row>
    <row r="618" spans="1:19" x14ac:dyDescent="0.2">
      <c r="A618" s="5"/>
      <c r="B618" s="11" t="s">
        <v>2027</v>
      </c>
      <c r="H618" s="8" t="s">
        <v>2028</v>
      </c>
      <c r="I618" s="8" t="s">
        <v>2028</v>
      </c>
      <c r="J618" s="5">
        <f>70-44+100</f>
        <v>126</v>
      </c>
      <c r="K618" s="5" t="s">
        <v>292</v>
      </c>
      <c r="L618" s="5" t="s">
        <v>767</v>
      </c>
      <c r="M618" s="5">
        <v>65</v>
      </c>
    </row>
    <row r="619" spans="1:19" x14ac:dyDescent="0.2">
      <c r="A619" s="5">
        <v>535</v>
      </c>
      <c r="B619" s="8" t="s">
        <v>2029</v>
      </c>
      <c r="H619" s="8" t="s">
        <v>2030</v>
      </c>
      <c r="I619" s="8" t="s">
        <v>2030</v>
      </c>
      <c r="J619" s="5">
        <v>8</v>
      </c>
      <c r="K619" s="5" t="s">
        <v>292</v>
      </c>
      <c r="L619" s="5" t="s">
        <v>767</v>
      </c>
      <c r="M619" s="5">
        <v>66</v>
      </c>
      <c r="N619" s="5" t="s">
        <v>43</v>
      </c>
      <c r="O619" s="5" t="s">
        <v>789</v>
      </c>
      <c r="Q619" s="5" t="s">
        <v>2031</v>
      </c>
    </row>
    <row r="620" spans="1:19" x14ac:dyDescent="0.2">
      <c r="A620" s="5">
        <v>536</v>
      </c>
      <c r="B620" s="8" t="s">
        <v>2032</v>
      </c>
      <c r="H620" s="8" t="s">
        <v>2033</v>
      </c>
      <c r="I620" s="8" t="s">
        <v>2033</v>
      </c>
      <c r="J620" s="5">
        <v>4</v>
      </c>
      <c r="K620" s="5" t="s">
        <v>292</v>
      </c>
      <c r="L620" s="5" t="s">
        <v>767</v>
      </c>
      <c r="M620" s="5">
        <v>66</v>
      </c>
      <c r="N620" s="5" t="s">
        <v>43</v>
      </c>
      <c r="O620" s="5" t="s">
        <v>789</v>
      </c>
      <c r="Q620" s="5" t="s">
        <v>2034</v>
      </c>
    </row>
    <row r="621" spans="1:19" x14ac:dyDescent="0.2">
      <c r="A621" s="5">
        <v>537</v>
      </c>
      <c r="B621" s="8" t="s">
        <v>2035</v>
      </c>
      <c r="H621" s="8" t="s">
        <v>2036</v>
      </c>
      <c r="I621" s="8" t="s">
        <v>2036</v>
      </c>
      <c r="J621" s="5">
        <v>8</v>
      </c>
      <c r="K621" s="5" t="s">
        <v>292</v>
      </c>
      <c r="L621" s="5" t="s">
        <v>767</v>
      </c>
      <c r="M621" s="5">
        <v>66</v>
      </c>
      <c r="N621" s="5" t="s">
        <v>43</v>
      </c>
      <c r="O621" s="5" t="s">
        <v>789</v>
      </c>
      <c r="Q621" s="5" t="s">
        <v>2034</v>
      </c>
      <c r="S621" s="5" t="s">
        <v>328</v>
      </c>
    </row>
    <row r="622" spans="1:19" x14ac:dyDescent="0.2">
      <c r="A622" s="5">
        <v>538</v>
      </c>
      <c r="B622" s="8" t="s">
        <v>2037</v>
      </c>
      <c r="H622" s="8" t="s">
        <v>2038</v>
      </c>
      <c r="I622" s="8" t="s">
        <v>2038</v>
      </c>
      <c r="J622" s="5">
        <v>113</v>
      </c>
      <c r="K622" s="5" t="s">
        <v>292</v>
      </c>
      <c r="L622" s="5" t="s">
        <v>767</v>
      </c>
      <c r="M622" s="5">
        <v>66</v>
      </c>
      <c r="N622" s="5" t="s">
        <v>43</v>
      </c>
      <c r="O622" s="5" t="s">
        <v>789</v>
      </c>
      <c r="Q622" s="10" t="s">
        <v>553</v>
      </c>
      <c r="R622" s="6"/>
      <c r="S622" s="6" t="s">
        <v>328</v>
      </c>
    </row>
    <row r="623" spans="1:19" x14ac:dyDescent="0.2">
      <c r="A623" s="5">
        <v>1461</v>
      </c>
      <c r="B623" s="8" t="s">
        <v>2039</v>
      </c>
      <c r="H623" s="8" t="s">
        <v>2040</v>
      </c>
      <c r="I623" s="8" t="s">
        <v>2041</v>
      </c>
      <c r="J623" s="5">
        <f>2204-2+17-22-65-8-20-2-8</f>
        <v>2094</v>
      </c>
      <c r="K623" s="5" t="s">
        <v>292</v>
      </c>
      <c r="L623" s="5" t="s">
        <v>767</v>
      </c>
      <c r="M623" s="5" t="s">
        <v>2042</v>
      </c>
      <c r="N623" s="5" t="s">
        <v>805</v>
      </c>
      <c r="O623" s="5" t="s">
        <v>574</v>
      </c>
      <c r="Q623" s="10" t="s">
        <v>553</v>
      </c>
      <c r="S623" s="5" t="s">
        <v>328</v>
      </c>
    </row>
    <row r="624" spans="1:19" x14ac:dyDescent="0.2">
      <c r="A624" s="5">
        <v>539</v>
      </c>
      <c r="B624" s="8" t="s">
        <v>2043</v>
      </c>
      <c r="H624" s="8" t="s">
        <v>2044</v>
      </c>
      <c r="I624" s="8" t="s">
        <v>2044</v>
      </c>
      <c r="J624" s="5">
        <v>80</v>
      </c>
      <c r="K624" s="5" t="s">
        <v>292</v>
      </c>
      <c r="L624" s="5" t="s">
        <v>767</v>
      </c>
      <c r="M624" s="5">
        <v>68</v>
      </c>
      <c r="N624" s="5" t="s">
        <v>43</v>
      </c>
      <c r="O624" s="5" t="s">
        <v>789</v>
      </c>
      <c r="Q624" s="10" t="s">
        <v>553</v>
      </c>
    </row>
    <row r="625" spans="1:21" x14ac:dyDescent="0.2">
      <c r="A625" s="5">
        <v>540</v>
      </c>
      <c r="B625" s="8" t="s">
        <v>2045</v>
      </c>
      <c r="H625" s="8" t="s">
        <v>2046</v>
      </c>
      <c r="I625" s="8" t="s">
        <v>2046</v>
      </c>
      <c r="J625" s="5">
        <v>10</v>
      </c>
      <c r="K625" s="5" t="s">
        <v>292</v>
      </c>
      <c r="L625" s="5" t="s">
        <v>767</v>
      </c>
      <c r="M625" s="5">
        <v>68</v>
      </c>
      <c r="N625" s="5" t="s">
        <v>43</v>
      </c>
      <c r="O625" s="5" t="s">
        <v>789</v>
      </c>
      <c r="Q625" s="5" t="s">
        <v>2047</v>
      </c>
    </row>
    <row r="626" spans="1:21" x14ac:dyDescent="0.2">
      <c r="A626" s="5">
        <v>541</v>
      </c>
      <c r="B626" s="8" t="s">
        <v>2048</v>
      </c>
      <c r="H626" s="8" t="s">
        <v>2049</v>
      </c>
      <c r="I626" s="8" t="s">
        <v>2049</v>
      </c>
      <c r="J626" s="5">
        <f>2-2+1+8</f>
        <v>9</v>
      </c>
      <c r="K626" s="5" t="s">
        <v>292</v>
      </c>
      <c r="L626" s="5" t="s">
        <v>767</v>
      </c>
      <c r="M626" s="5">
        <v>68</v>
      </c>
      <c r="N626" s="5" t="s">
        <v>43</v>
      </c>
      <c r="O626" s="5" t="s">
        <v>789</v>
      </c>
      <c r="Q626" s="5" t="s">
        <v>2050</v>
      </c>
      <c r="S626" s="5" t="s">
        <v>328</v>
      </c>
    </row>
    <row r="627" spans="1:21" x14ac:dyDescent="0.2">
      <c r="A627" s="5">
        <v>542</v>
      </c>
      <c r="B627" s="8" t="s">
        <v>2051</v>
      </c>
      <c r="H627" s="8" t="s">
        <v>2052</v>
      </c>
      <c r="I627" s="8" t="s">
        <v>2052</v>
      </c>
      <c r="J627" s="5">
        <v>14</v>
      </c>
      <c r="K627" s="5" t="s">
        <v>292</v>
      </c>
      <c r="L627" s="5" t="s">
        <v>767</v>
      </c>
      <c r="M627" s="5">
        <v>68</v>
      </c>
      <c r="N627" s="5" t="s">
        <v>43</v>
      </c>
      <c r="O627" s="5" t="s">
        <v>789</v>
      </c>
      <c r="Q627" s="10" t="s">
        <v>553</v>
      </c>
    </row>
    <row r="628" spans="1:21" x14ac:dyDescent="0.2">
      <c r="A628" s="5">
        <v>543</v>
      </c>
      <c r="B628" s="8" t="s">
        <v>2053</v>
      </c>
      <c r="H628" s="8" t="s">
        <v>2054</v>
      </c>
      <c r="I628" s="8" t="s">
        <v>2054</v>
      </c>
      <c r="J628" s="5">
        <v>19</v>
      </c>
      <c r="K628" s="5" t="s">
        <v>292</v>
      </c>
      <c r="L628" s="5" t="s">
        <v>767</v>
      </c>
      <c r="M628" s="5">
        <v>68</v>
      </c>
      <c r="N628" s="5" t="s">
        <v>43</v>
      </c>
      <c r="O628" s="5" t="s">
        <v>789</v>
      </c>
      <c r="Q628" s="5" t="s">
        <v>1727</v>
      </c>
    </row>
    <row r="629" spans="1:21" x14ac:dyDescent="0.2">
      <c r="A629" s="5">
        <v>2405</v>
      </c>
      <c r="B629" s="8" t="s">
        <v>2055</v>
      </c>
      <c r="H629" s="8" t="s">
        <v>2056</v>
      </c>
      <c r="I629" s="8" t="s">
        <v>2056</v>
      </c>
      <c r="J629" s="5">
        <f>10</f>
        <v>10</v>
      </c>
      <c r="K629" s="5" t="s">
        <v>292</v>
      </c>
      <c r="L629" s="5" t="s">
        <v>767</v>
      </c>
      <c r="M629" s="5">
        <v>68</v>
      </c>
      <c r="N629" s="5" t="s">
        <v>43</v>
      </c>
      <c r="O629" s="5" t="s">
        <v>266</v>
      </c>
      <c r="Q629" s="5" t="s">
        <v>2057</v>
      </c>
    </row>
    <row r="630" spans="1:21" x14ac:dyDescent="0.2">
      <c r="A630" s="5">
        <v>2406</v>
      </c>
      <c r="B630" s="8" t="s">
        <v>2058</v>
      </c>
      <c r="H630" s="8" t="s">
        <v>2059</v>
      </c>
      <c r="I630" s="8" t="s">
        <v>2059</v>
      </c>
      <c r="J630" s="5">
        <f>6</f>
        <v>6</v>
      </c>
      <c r="K630" s="5" t="s">
        <v>292</v>
      </c>
      <c r="L630" s="5" t="s">
        <v>767</v>
      </c>
      <c r="M630" s="5">
        <v>68</v>
      </c>
      <c r="N630" s="5" t="s">
        <v>43</v>
      </c>
      <c r="O630" s="5" t="s">
        <v>266</v>
      </c>
      <c r="Q630" s="5" t="s">
        <v>2057</v>
      </c>
    </row>
    <row r="631" spans="1:21" x14ac:dyDescent="0.2">
      <c r="A631" s="5"/>
      <c r="B631" s="8" t="s">
        <v>2060</v>
      </c>
      <c r="H631" s="8" t="s">
        <v>2061</v>
      </c>
      <c r="I631" s="8" t="s">
        <v>2061</v>
      </c>
      <c r="J631" s="5">
        <f>17</f>
        <v>17</v>
      </c>
      <c r="K631" s="5" t="s">
        <v>292</v>
      </c>
      <c r="L631" s="5" t="s">
        <v>767</v>
      </c>
      <c r="M631" s="5">
        <v>68</v>
      </c>
      <c r="N631" s="5" t="s">
        <v>43</v>
      </c>
      <c r="Q631" s="107" t="s">
        <v>2062</v>
      </c>
      <c r="S631" s="5" t="s">
        <v>1139</v>
      </c>
    </row>
    <row r="632" spans="1:21" x14ac:dyDescent="0.2">
      <c r="A632" s="5">
        <v>545</v>
      </c>
      <c r="B632" s="11"/>
      <c r="C632" s="11" t="s">
        <v>1852</v>
      </c>
      <c r="D632" s="11" t="s">
        <v>773</v>
      </c>
      <c r="E632" s="26">
        <v>43673</v>
      </c>
      <c r="F632" s="11" t="s">
        <v>259</v>
      </c>
      <c r="G632" s="11" t="s">
        <v>276</v>
      </c>
      <c r="H632" s="8" t="s">
        <v>2063</v>
      </c>
      <c r="I632" s="8" t="s">
        <v>2064</v>
      </c>
      <c r="J632" s="5">
        <v>1660</v>
      </c>
      <c r="K632" s="5" t="s">
        <v>292</v>
      </c>
      <c r="L632" s="5" t="s">
        <v>767</v>
      </c>
      <c r="M632" s="5">
        <v>69</v>
      </c>
      <c r="N632" s="5" t="s">
        <v>43</v>
      </c>
      <c r="O632" s="5" t="s">
        <v>789</v>
      </c>
      <c r="Q632" s="10" t="s">
        <v>553</v>
      </c>
      <c r="S632" s="5" t="s">
        <v>328</v>
      </c>
      <c r="U632" t="s">
        <v>288</v>
      </c>
    </row>
    <row r="633" spans="1:21" x14ac:dyDescent="0.2">
      <c r="A633" s="5">
        <v>544</v>
      </c>
      <c r="B633" s="8" t="s">
        <v>2065</v>
      </c>
      <c r="H633" s="8" t="s">
        <v>2066</v>
      </c>
      <c r="I633" s="8" t="s">
        <v>2066</v>
      </c>
      <c r="J633" s="5">
        <v>2076</v>
      </c>
      <c r="K633" s="5" t="s">
        <v>292</v>
      </c>
      <c r="L633" s="5" t="s">
        <v>767</v>
      </c>
      <c r="M633" s="5">
        <v>70</v>
      </c>
      <c r="N633" s="5" t="s">
        <v>43</v>
      </c>
      <c r="O633" s="5" t="s">
        <v>789</v>
      </c>
      <c r="Q633" s="10" t="s">
        <v>553</v>
      </c>
    </row>
    <row r="634" spans="1:21" x14ac:dyDescent="0.2">
      <c r="A634" s="5">
        <v>1041</v>
      </c>
      <c r="B634" s="8" t="s">
        <v>2067</v>
      </c>
      <c r="C634" s="8" t="s">
        <v>2068</v>
      </c>
      <c r="D634" s="8" t="s">
        <v>384</v>
      </c>
      <c r="E634" s="24">
        <v>43673</v>
      </c>
      <c r="F634" s="8" t="s">
        <v>259</v>
      </c>
      <c r="G634" s="8" t="s">
        <v>375</v>
      </c>
      <c r="H634" s="8" t="s">
        <v>2069</v>
      </c>
      <c r="I634" s="8" t="s">
        <v>2070</v>
      </c>
      <c r="J634" s="5">
        <f>85-1-8-12+2-1-4-2-2-6</f>
        <v>51</v>
      </c>
      <c r="K634" s="5" t="s">
        <v>292</v>
      </c>
      <c r="L634" s="5" t="s">
        <v>767</v>
      </c>
      <c r="M634" s="5">
        <v>71</v>
      </c>
      <c r="N634" s="5" t="s">
        <v>43</v>
      </c>
      <c r="O634" s="5" t="s">
        <v>1640</v>
      </c>
      <c r="Q634" s="5" t="s">
        <v>2071</v>
      </c>
      <c r="R634" s="6"/>
      <c r="S634" s="6" t="s">
        <v>328</v>
      </c>
    </row>
    <row r="635" spans="1:21" x14ac:dyDescent="0.2">
      <c r="A635" s="5">
        <v>1467</v>
      </c>
      <c r="B635" s="8" t="s">
        <v>2072</v>
      </c>
      <c r="H635" s="8" t="s">
        <v>2073</v>
      </c>
      <c r="I635" s="8" t="s">
        <v>2073</v>
      </c>
      <c r="J635" s="5">
        <f>1231-2</f>
        <v>1229</v>
      </c>
      <c r="K635" s="5" t="s">
        <v>292</v>
      </c>
      <c r="L635" s="5" t="s">
        <v>767</v>
      </c>
      <c r="M635" s="5">
        <v>71</v>
      </c>
      <c r="N635" s="5" t="s">
        <v>805</v>
      </c>
      <c r="O635" s="5" t="s">
        <v>574</v>
      </c>
      <c r="Q635" s="10" t="s">
        <v>553</v>
      </c>
      <c r="R635" s="6"/>
      <c r="S635" s="6" t="s">
        <v>328</v>
      </c>
    </row>
    <row r="636" spans="1:21" x14ac:dyDescent="0.2">
      <c r="A636" s="5">
        <v>1468</v>
      </c>
      <c r="B636" s="8" t="s">
        <v>2074</v>
      </c>
      <c r="C636" s="8" t="s">
        <v>2075</v>
      </c>
      <c r="D636" s="8" t="s">
        <v>384</v>
      </c>
      <c r="E636" s="24">
        <v>43673</v>
      </c>
      <c r="F636" s="8" t="s">
        <v>259</v>
      </c>
      <c r="G636" s="8" t="s">
        <v>2076</v>
      </c>
      <c r="H636" s="8" t="s">
        <v>2077</v>
      </c>
      <c r="I636" s="8" t="s">
        <v>2077</v>
      </c>
      <c r="J636" s="5">
        <f>200-1-1-8-5</f>
        <v>185</v>
      </c>
      <c r="K636" s="5" t="s">
        <v>292</v>
      </c>
      <c r="L636" s="5" t="s">
        <v>767</v>
      </c>
      <c r="M636" s="5">
        <v>71</v>
      </c>
      <c r="N636" s="5" t="s">
        <v>805</v>
      </c>
      <c r="O636" s="5" t="s">
        <v>574</v>
      </c>
      <c r="Q636" s="10" t="s">
        <v>553</v>
      </c>
      <c r="R636" s="6"/>
      <c r="S636" s="6"/>
      <c r="U636" t="s">
        <v>321</v>
      </c>
    </row>
    <row r="637" spans="1:21" x14ac:dyDescent="0.2">
      <c r="A637" s="5">
        <v>2068</v>
      </c>
      <c r="B637" s="8" t="s">
        <v>2078</v>
      </c>
      <c r="H637" s="8" t="s">
        <v>2079</v>
      </c>
      <c r="I637" s="8" t="s">
        <v>2080</v>
      </c>
      <c r="J637" s="5">
        <v>0</v>
      </c>
      <c r="K637" s="5" t="s">
        <v>292</v>
      </c>
      <c r="L637" s="5" t="s">
        <v>767</v>
      </c>
      <c r="M637" s="5">
        <v>71</v>
      </c>
      <c r="N637" s="5" t="s">
        <v>805</v>
      </c>
      <c r="O637" s="5" t="s">
        <v>574</v>
      </c>
      <c r="Q637" s="5" t="s">
        <v>2081</v>
      </c>
      <c r="R637" s="6"/>
      <c r="S637" s="6"/>
    </row>
    <row r="638" spans="1:21" x14ac:dyDescent="0.2">
      <c r="A638" s="5"/>
      <c r="B638" s="108" t="s">
        <v>2082</v>
      </c>
      <c r="H638" s="8" t="s">
        <v>2083</v>
      </c>
      <c r="I638" s="8" t="s">
        <v>2083</v>
      </c>
      <c r="J638" s="5">
        <f>28-4+1-1-4+42</f>
        <v>62</v>
      </c>
      <c r="K638" s="5" t="s">
        <v>292</v>
      </c>
      <c r="L638" s="5" t="s">
        <v>767</v>
      </c>
      <c r="M638" s="5">
        <v>71</v>
      </c>
      <c r="N638" s="5" t="s">
        <v>805</v>
      </c>
      <c r="Q638" s="107" t="s">
        <v>2084</v>
      </c>
      <c r="R638" s="6"/>
      <c r="S638" s="6"/>
    </row>
    <row r="639" spans="1:21" x14ac:dyDescent="0.2">
      <c r="A639" s="5">
        <v>1469</v>
      </c>
      <c r="B639" s="8" t="s">
        <v>2067</v>
      </c>
      <c r="C639" s="8" t="s">
        <v>553</v>
      </c>
      <c r="D639" s="8" t="s">
        <v>553</v>
      </c>
      <c r="E639" s="24">
        <v>43673</v>
      </c>
      <c r="F639" s="8" t="s">
        <v>259</v>
      </c>
      <c r="G639" s="8" t="s">
        <v>2085</v>
      </c>
      <c r="H639" s="8" t="s">
        <v>2070</v>
      </c>
      <c r="I639" s="8" t="s">
        <v>2070</v>
      </c>
      <c r="J639" s="5">
        <v>0</v>
      </c>
      <c r="K639" s="5" t="s">
        <v>292</v>
      </c>
      <c r="L639" s="5" t="s">
        <v>767</v>
      </c>
      <c r="M639" s="5">
        <v>71</v>
      </c>
      <c r="N639" s="5" t="s">
        <v>805</v>
      </c>
      <c r="O639" s="5" t="s">
        <v>574</v>
      </c>
      <c r="Q639" s="5" t="s">
        <v>2086</v>
      </c>
      <c r="R639" s="6"/>
      <c r="S639" s="6"/>
    </row>
    <row r="640" spans="1:21" x14ac:dyDescent="0.2">
      <c r="A640" s="5">
        <v>1558</v>
      </c>
      <c r="B640" s="8" t="s">
        <v>2087</v>
      </c>
      <c r="C640" s="8">
        <v>430250600</v>
      </c>
      <c r="D640" s="8" t="s">
        <v>384</v>
      </c>
      <c r="E640" s="24">
        <v>43673</v>
      </c>
      <c r="F640" s="8" t="s">
        <v>259</v>
      </c>
      <c r="G640" s="8" t="s">
        <v>276</v>
      </c>
      <c r="H640" s="8" t="s">
        <v>2088</v>
      </c>
      <c r="I640" s="8" t="s">
        <v>2089</v>
      </c>
      <c r="J640" s="5">
        <f>62</f>
        <v>62</v>
      </c>
      <c r="K640" s="5" t="s">
        <v>292</v>
      </c>
      <c r="L640" s="5" t="s">
        <v>767</v>
      </c>
      <c r="M640" s="5">
        <v>71</v>
      </c>
      <c r="N640" s="5" t="s">
        <v>2090</v>
      </c>
      <c r="O640" s="5" t="s">
        <v>574</v>
      </c>
      <c r="Q640" s="5" t="s">
        <v>2086</v>
      </c>
    </row>
    <row r="641" spans="1:20" x14ac:dyDescent="0.2">
      <c r="A641" s="5">
        <v>546</v>
      </c>
      <c r="B641" s="8" t="s">
        <v>2091</v>
      </c>
      <c r="C641" s="8" t="s">
        <v>2092</v>
      </c>
      <c r="D641" s="8" t="s">
        <v>773</v>
      </c>
      <c r="E641" s="24">
        <v>43673</v>
      </c>
      <c r="F641" s="8" t="s">
        <v>259</v>
      </c>
      <c r="G641" s="8" t="s">
        <v>276</v>
      </c>
      <c r="H641" s="8" t="s">
        <v>2093</v>
      </c>
      <c r="I641" s="8" t="s">
        <v>2094</v>
      </c>
      <c r="J641" s="5">
        <v>40</v>
      </c>
      <c r="K641" s="5" t="s">
        <v>292</v>
      </c>
      <c r="L641" s="5" t="s">
        <v>767</v>
      </c>
      <c r="M641" s="5">
        <v>72</v>
      </c>
      <c r="N641" s="5" t="s">
        <v>43</v>
      </c>
      <c r="O641" s="5" t="s">
        <v>789</v>
      </c>
      <c r="Q641" s="5" t="s">
        <v>2095</v>
      </c>
      <c r="S641" s="5" t="s">
        <v>328</v>
      </c>
    </row>
    <row r="642" spans="1:20" x14ac:dyDescent="0.2">
      <c r="A642" s="5">
        <v>547</v>
      </c>
      <c r="B642" s="11" t="s">
        <v>2096</v>
      </c>
      <c r="C642" s="11"/>
      <c r="D642" s="11" t="s">
        <v>1025</v>
      </c>
      <c r="E642" s="26">
        <v>43673</v>
      </c>
      <c r="F642" s="11" t="s">
        <v>259</v>
      </c>
      <c r="G642" s="11" t="s">
        <v>260</v>
      </c>
      <c r="H642" s="8" t="s">
        <v>2097</v>
      </c>
      <c r="I642" s="8" t="s">
        <v>2098</v>
      </c>
      <c r="J642" s="5">
        <f>26+50</f>
        <v>76</v>
      </c>
      <c r="K642" s="5" t="s">
        <v>292</v>
      </c>
      <c r="L642" s="5" t="s">
        <v>767</v>
      </c>
      <c r="M642" s="5">
        <v>72</v>
      </c>
      <c r="N642" s="5" t="s">
        <v>43</v>
      </c>
      <c r="O642" s="5" t="s">
        <v>789</v>
      </c>
      <c r="Q642" s="10" t="s">
        <v>553</v>
      </c>
    </row>
    <row r="643" spans="1:20" x14ac:dyDescent="0.2">
      <c r="A643" s="5">
        <v>548</v>
      </c>
      <c r="B643" s="11" t="s">
        <v>2099</v>
      </c>
      <c r="C643" s="8" t="s">
        <v>2100</v>
      </c>
      <c r="D643" s="8" t="s">
        <v>1025</v>
      </c>
      <c r="E643" s="24">
        <v>43673</v>
      </c>
      <c r="F643" s="8" t="s">
        <v>259</v>
      </c>
      <c r="G643" s="8" t="s">
        <v>276</v>
      </c>
      <c r="H643" s="8" t="s">
        <v>2101</v>
      </c>
      <c r="I643" s="8" t="s">
        <v>2101</v>
      </c>
      <c r="J643" s="5">
        <f>62</f>
        <v>62</v>
      </c>
      <c r="K643" s="5" t="s">
        <v>292</v>
      </c>
      <c r="L643" s="5" t="s">
        <v>767</v>
      </c>
      <c r="M643" s="5">
        <v>72</v>
      </c>
      <c r="N643" s="5" t="s">
        <v>43</v>
      </c>
      <c r="O643" s="5" t="s">
        <v>789</v>
      </c>
      <c r="Q643" s="5" t="s">
        <v>2102</v>
      </c>
    </row>
    <row r="644" spans="1:20" x14ac:dyDescent="0.2">
      <c r="A644" s="5"/>
      <c r="B644" s="11" t="s">
        <v>2103</v>
      </c>
      <c r="H644" s="8" t="s">
        <v>2104</v>
      </c>
      <c r="I644" s="8" t="s">
        <v>2104</v>
      </c>
      <c r="J644" s="5">
        <f>100</f>
        <v>100</v>
      </c>
      <c r="K644" s="5" t="s">
        <v>292</v>
      </c>
      <c r="L644" s="5" t="s">
        <v>767</v>
      </c>
      <c r="M644" s="5">
        <v>72</v>
      </c>
      <c r="N644" s="5" t="s">
        <v>43</v>
      </c>
    </row>
    <row r="645" spans="1:20" x14ac:dyDescent="0.2">
      <c r="A645" s="5"/>
      <c r="B645" s="11" t="s">
        <v>2105</v>
      </c>
      <c r="H645" s="8" t="s">
        <v>2106</v>
      </c>
      <c r="I645" s="8" t="s">
        <v>2106</v>
      </c>
      <c r="J645" s="5">
        <f>10</f>
        <v>10</v>
      </c>
      <c r="K645" s="5" t="s">
        <v>292</v>
      </c>
      <c r="L645" s="5" t="s">
        <v>767</v>
      </c>
      <c r="M645" s="5">
        <v>72</v>
      </c>
      <c r="N645" s="5" t="s">
        <v>43</v>
      </c>
      <c r="Q645" s="107" t="s">
        <v>2107</v>
      </c>
      <c r="S645" s="5" t="s">
        <v>328</v>
      </c>
    </row>
    <row r="646" spans="1:20" x14ac:dyDescent="0.2">
      <c r="A646" s="5">
        <v>549</v>
      </c>
      <c r="B646" s="8" t="s">
        <v>2108</v>
      </c>
      <c r="C646" s="8" t="s">
        <v>2109</v>
      </c>
      <c r="D646" s="8" t="s">
        <v>2110</v>
      </c>
      <c r="E646" s="24">
        <v>43673</v>
      </c>
      <c r="F646" s="8" t="s">
        <v>259</v>
      </c>
      <c r="G646" s="8" t="s">
        <v>276</v>
      </c>
      <c r="H646" s="8" t="s">
        <v>2111</v>
      </c>
      <c r="I646" s="8" t="s">
        <v>2112</v>
      </c>
      <c r="J646" s="5">
        <v>2160</v>
      </c>
      <c r="K646" s="5" t="s">
        <v>292</v>
      </c>
      <c r="L646" s="5" t="s">
        <v>767</v>
      </c>
      <c r="M646" s="5">
        <v>73</v>
      </c>
      <c r="N646" s="5" t="s">
        <v>43</v>
      </c>
      <c r="O646" s="5" t="s">
        <v>789</v>
      </c>
      <c r="Q646" s="10" t="s">
        <v>553</v>
      </c>
    </row>
    <row r="647" spans="1:20" x14ac:dyDescent="0.2">
      <c r="A647" s="5">
        <v>464</v>
      </c>
      <c r="B647" s="11" t="s">
        <v>2113</v>
      </c>
      <c r="C647" s="8" t="s">
        <v>2114</v>
      </c>
      <c r="D647" s="8" t="s">
        <v>1025</v>
      </c>
      <c r="E647" s="24">
        <v>43673</v>
      </c>
      <c r="F647" s="8" t="s">
        <v>259</v>
      </c>
      <c r="G647" s="8" t="s">
        <v>276</v>
      </c>
      <c r="H647" s="8" t="s">
        <v>2115</v>
      </c>
      <c r="I647" s="11" t="s">
        <v>2116</v>
      </c>
      <c r="J647" s="5">
        <f>200-25-3-3-40-8-8-8-1</f>
        <v>104</v>
      </c>
      <c r="K647" s="5" t="s">
        <v>292</v>
      </c>
      <c r="L647" s="5" t="s">
        <v>767</v>
      </c>
      <c r="M647" s="5">
        <v>75</v>
      </c>
      <c r="N647" s="5" t="s">
        <v>43</v>
      </c>
      <c r="O647" s="5" t="s">
        <v>789</v>
      </c>
      <c r="Q647" s="5" t="s">
        <v>1024</v>
      </c>
      <c r="S647" s="10"/>
    </row>
    <row r="648" spans="1:20" x14ac:dyDescent="0.2">
      <c r="A648" s="5">
        <v>550</v>
      </c>
      <c r="B648" s="8" t="s">
        <v>2117</v>
      </c>
      <c r="C648" s="8" t="s">
        <v>2114</v>
      </c>
      <c r="D648" s="8" t="s">
        <v>1025</v>
      </c>
      <c r="E648" s="24">
        <v>43673</v>
      </c>
      <c r="F648" s="8" t="s">
        <v>259</v>
      </c>
      <c r="G648" s="8" t="s">
        <v>276</v>
      </c>
      <c r="H648" s="8" t="s">
        <v>2118</v>
      </c>
      <c r="I648" s="8" t="s">
        <v>2119</v>
      </c>
      <c r="J648" s="5">
        <f>124-50-3-3-30-3-3-10-6-2-2-6+26</f>
        <v>32</v>
      </c>
      <c r="K648" s="5" t="s">
        <v>292</v>
      </c>
      <c r="L648" s="5" t="s">
        <v>767</v>
      </c>
      <c r="M648" s="5">
        <v>75</v>
      </c>
      <c r="N648" s="5" t="s">
        <v>43</v>
      </c>
      <c r="O648" s="5" t="s">
        <v>789</v>
      </c>
      <c r="Q648" s="5" t="s">
        <v>1946</v>
      </c>
    </row>
    <row r="649" spans="1:20" x14ac:dyDescent="0.2">
      <c r="A649" s="5">
        <v>551</v>
      </c>
      <c r="B649" s="8" t="s">
        <v>2120</v>
      </c>
      <c r="C649" s="8" t="s">
        <v>2121</v>
      </c>
      <c r="D649" s="8" t="s">
        <v>1025</v>
      </c>
      <c r="E649" s="24">
        <v>43673</v>
      </c>
      <c r="F649" s="8" t="s">
        <v>259</v>
      </c>
      <c r="G649" s="8" t="s">
        <v>276</v>
      </c>
      <c r="H649" s="8" t="s">
        <v>2122</v>
      </c>
      <c r="I649" s="8" t="s">
        <v>2123</v>
      </c>
      <c r="J649" s="5">
        <v>160</v>
      </c>
      <c r="K649" s="5" t="s">
        <v>292</v>
      </c>
      <c r="L649" s="5" t="s">
        <v>767</v>
      </c>
      <c r="M649" s="5">
        <v>75</v>
      </c>
      <c r="N649" s="5" t="s">
        <v>43</v>
      </c>
      <c r="O649" s="5" t="s">
        <v>789</v>
      </c>
      <c r="Q649" s="10" t="s">
        <v>553</v>
      </c>
      <c r="S649" s="5" t="s">
        <v>328</v>
      </c>
    </row>
    <row r="650" spans="1:20" x14ac:dyDescent="0.2">
      <c r="A650" s="5">
        <v>552</v>
      </c>
      <c r="B650" s="8" t="s">
        <v>2124</v>
      </c>
      <c r="H650" s="8" t="s">
        <v>2125</v>
      </c>
      <c r="I650" s="8" t="s">
        <v>2125</v>
      </c>
      <c r="J650" s="5">
        <v>0</v>
      </c>
      <c r="K650" s="5" t="s">
        <v>292</v>
      </c>
      <c r="L650" s="5" t="s">
        <v>767</v>
      </c>
      <c r="M650" s="5">
        <v>75</v>
      </c>
      <c r="N650" s="5" t="s">
        <v>43</v>
      </c>
      <c r="O650" s="5" t="s">
        <v>789</v>
      </c>
      <c r="Q650" s="10" t="s">
        <v>553</v>
      </c>
      <c r="S650" s="5" t="s">
        <v>328</v>
      </c>
    </row>
    <row r="651" spans="1:20" x14ac:dyDescent="0.2">
      <c r="A651" s="5"/>
      <c r="B651" s="8" t="s">
        <v>2126</v>
      </c>
      <c r="H651" s="8" t="s">
        <v>2127</v>
      </c>
      <c r="I651" s="8" t="s">
        <v>2128</v>
      </c>
      <c r="J651" s="5">
        <f>500-40+2-30-80-10-100</f>
        <v>242</v>
      </c>
      <c r="K651" s="5" t="s">
        <v>21</v>
      </c>
      <c r="L651" s="5" t="s">
        <v>767</v>
      </c>
      <c r="M651" s="5">
        <v>76</v>
      </c>
      <c r="N651" s="5" t="s">
        <v>805</v>
      </c>
      <c r="Q651" s="107" t="s">
        <v>1800</v>
      </c>
      <c r="R651" s="6"/>
      <c r="S651" s="6"/>
    </row>
    <row r="652" spans="1:20" x14ac:dyDescent="0.2">
      <c r="A652" s="5">
        <v>1</v>
      </c>
      <c r="B652" s="8" t="s">
        <v>2129</v>
      </c>
      <c r="H652" s="130" t="s">
        <v>2130</v>
      </c>
      <c r="I652" s="108" t="s">
        <v>2131</v>
      </c>
      <c r="J652" s="5">
        <f>513</f>
        <v>513</v>
      </c>
      <c r="K652" s="5" t="s">
        <v>292</v>
      </c>
      <c r="L652" s="5" t="s">
        <v>767</v>
      </c>
      <c r="M652" s="5">
        <v>76</v>
      </c>
      <c r="N652" s="5" t="s">
        <v>43</v>
      </c>
      <c r="Q652" s="107" t="s">
        <v>1800</v>
      </c>
    </row>
    <row r="653" spans="1:20" x14ac:dyDescent="0.2">
      <c r="A653" s="5">
        <v>258</v>
      </c>
      <c r="B653" s="8" t="s">
        <v>2132</v>
      </c>
      <c r="C653" s="8" t="s">
        <v>2133</v>
      </c>
      <c r="D653" s="8" t="s">
        <v>384</v>
      </c>
      <c r="E653" s="24">
        <v>43673</v>
      </c>
      <c r="F653" s="8" t="s">
        <v>259</v>
      </c>
      <c r="G653" s="8" t="s">
        <v>276</v>
      </c>
      <c r="H653" s="8" t="s">
        <v>1968</v>
      </c>
      <c r="I653" s="8" t="s">
        <v>2134</v>
      </c>
      <c r="J653" s="5">
        <f>50-15</f>
        <v>35</v>
      </c>
      <c r="K653" s="5" t="s">
        <v>292</v>
      </c>
      <c r="L653" s="5" t="s">
        <v>767</v>
      </c>
      <c r="M653" s="5">
        <v>76</v>
      </c>
      <c r="N653" s="5" t="s">
        <v>43</v>
      </c>
      <c r="O653" s="5" t="s">
        <v>266</v>
      </c>
      <c r="Q653" s="5" t="s">
        <v>2135</v>
      </c>
      <c r="R653" s="6"/>
      <c r="S653" s="6"/>
    </row>
    <row r="654" spans="1:20" x14ac:dyDescent="0.2">
      <c r="A654" s="5">
        <v>17</v>
      </c>
      <c r="B654" s="16" t="s">
        <v>2136</v>
      </c>
      <c r="C654" s="16"/>
      <c r="D654" s="16"/>
      <c r="E654" s="25"/>
      <c r="F654" s="16"/>
      <c r="G654" s="16"/>
      <c r="H654" s="16" t="s">
        <v>2137</v>
      </c>
      <c r="I654" s="16" t="s">
        <v>2138</v>
      </c>
      <c r="J654" s="9">
        <v>145</v>
      </c>
      <c r="K654" s="9" t="s">
        <v>292</v>
      </c>
      <c r="L654" s="9" t="s">
        <v>767</v>
      </c>
      <c r="M654" s="5">
        <v>76</v>
      </c>
      <c r="N654" s="9" t="s">
        <v>43</v>
      </c>
      <c r="O654" s="9" t="s">
        <v>266</v>
      </c>
      <c r="P654" s="9"/>
      <c r="Q654" s="9" t="s">
        <v>2139</v>
      </c>
      <c r="T654" s="9" t="s">
        <v>777</v>
      </c>
    </row>
    <row r="655" spans="1:20" x14ac:dyDescent="0.2">
      <c r="A655" s="5">
        <v>1</v>
      </c>
      <c r="B655" s="8" t="s">
        <v>2140</v>
      </c>
      <c r="C655" s="8" t="s">
        <v>2141</v>
      </c>
      <c r="D655" s="8" t="s">
        <v>384</v>
      </c>
      <c r="E655" s="24">
        <v>43673</v>
      </c>
      <c r="F655" s="8" t="s">
        <v>259</v>
      </c>
      <c r="G655" s="8" t="s">
        <v>276</v>
      </c>
      <c r="H655" s="8" t="s">
        <v>2142</v>
      </c>
      <c r="I655" s="8" t="s">
        <v>2143</v>
      </c>
      <c r="J655" s="5">
        <v>47</v>
      </c>
      <c r="K655" s="5" t="s">
        <v>292</v>
      </c>
      <c r="L655" s="5" t="s">
        <v>767</v>
      </c>
      <c r="M655" s="5">
        <v>76</v>
      </c>
      <c r="N655" s="5" t="s">
        <v>43</v>
      </c>
      <c r="O655" s="5" t="s">
        <v>266</v>
      </c>
      <c r="Q655" s="5" t="s">
        <v>2144</v>
      </c>
      <c r="R655" s="17"/>
      <c r="S655" s="9" t="s">
        <v>328</v>
      </c>
    </row>
    <row r="656" spans="1:20" x14ac:dyDescent="0.2">
      <c r="A656" s="5">
        <v>1460</v>
      </c>
      <c r="B656" s="8" t="s">
        <v>2145</v>
      </c>
      <c r="H656" s="8" t="s">
        <v>2146</v>
      </c>
      <c r="I656" s="8" t="s">
        <v>2147</v>
      </c>
      <c r="J656" s="5">
        <f>324</f>
        <v>324</v>
      </c>
      <c r="K656" s="5" t="s">
        <v>292</v>
      </c>
      <c r="L656" s="5" t="s">
        <v>767</v>
      </c>
      <c r="M656" s="5">
        <v>76</v>
      </c>
      <c r="N656" s="5" t="s">
        <v>805</v>
      </c>
      <c r="O656" s="5" t="s">
        <v>574</v>
      </c>
      <c r="Q656" s="10" t="s">
        <v>553</v>
      </c>
      <c r="R656" s="6"/>
      <c r="S656" s="6" t="s">
        <v>328</v>
      </c>
    </row>
    <row r="657" spans="1:19" x14ac:dyDescent="0.2">
      <c r="A657" s="5">
        <v>1459</v>
      </c>
      <c r="B657" s="8" t="s">
        <v>2148</v>
      </c>
      <c r="H657" s="8" t="s">
        <v>2149</v>
      </c>
      <c r="I657" s="8" t="s">
        <v>2150</v>
      </c>
      <c r="J657" s="5">
        <f>318+2-1-9</f>
        <v>310</v>
      </c>
      <c r="K657" s="5" t="s">
        <v>292</v>
      </c>
      <c r="L657" s="5" t="s">
        <v>767</v>
      </c>
      <c r="M657" s="5">
        <v>76</v>
      </c>
      <c r="N657" s="5" t="s">
        <v>805</v>
      </c>
      <c r="O657" s="5" t="s">
        <v>574</v>
      </c>
      <c r="Q657" s="10" t="s">
        <v>553</v>
      </c>
      <c r="R657" s="6"/>
      <c r="S657" s="6" t="s">
        <v>328</v>
      </c>
    </row>
    <row r="658" spans="1:19" x14ac:dyDescent="0.2">
      <c r="A658" s="5">
        <v>1460</v>
      </c>
      <c r="B658" s="8" t="s">
        <v>2151</v>
      </c>
      <c r="H658" s="8" t="s">
        <v>2146</v>
      </c>
      <c r="I658" s="8" t="s">
        <v>2152</v>
      </c>
      <c r="J658" s="5">
        <v>95</v>
      </c>
      <c r="K658" s="5" t="s">
        <v>292</v>
      </c>
      <c r="L658" s="5" t="s">
        <v>767</v>
      </c>
      <c r="M658" s="5">
        <v>76</v>
      </c>
      <c r="N658" s="5" t="s">
        <v>805</v>
      </c>
      <c r="O658" s="5" t="s">
        <v>574</v>
      </c>
      <c r="Q658" s="10" t="s">
        <v>553</v>
      </c>
      <c r="R658" s="6"/>
      <c r="S658" s="6" t="s">
        <v>328</v>
      </c>
    </row>
    <row r="659" spans="1:19" x14ac:dyDescent="0.2">
      <c r="A659" s="5">
        <v>281</v>
      </c>
      <c r="B659" s="8" t="s">
        <v>2153</v>
      </c>
      <c r="H659" s="8" t="s">
        <v>2154</v>
      </c>
      <c r="I659" s="8" t="s">
        <v>2154</v>
      </c>
      <c r="J659" s="5">
        <f>248+8-40+85</f>
        <v>301</v>
      </c>
      <c r="K659" s="5" t="s">
        <v>292</v>
      </c>
      <c r="L659" s="5" t="s">
        <v>767</v>
      </c>
      <c r="M659" s="5">
        <v>76</v>
      </c>
      <c r="N659" s="5" t="s">
        <v>81</v>
      </c>
      <c r="O659" s="5" t="s">
        <v>266</v>
      </c>
      <c r="Q659" s="5" t="s">
        <v>2155</v>
      </c>
      <c r="R659" s="6"/>
      <c r="S659" s="6"/>
    </row>
    <row r="660" spans="1:19" x14ac:dyDescent="0.2">
      <c r="A660" s="5"/>
      <c r="B660" s="8" t="s">
        <v>2156</v>
      </c>
      <c r="H660" s="8" t="s">
        <v>2157</v>
      </c>
      <c r="I660" s="8" t="s">
        <v>2157</v>
      </c>
      <c r="J660" s="5">
        <f>100-20</f>
        <v>80</v>
      </c>
      <c r="K660" s="5" t="s">
        <v>292</v>
      </c>
      <c r="L660" s="5" t="s">
        <v>767</v>
      </c>
      <c r="M660" s="5">
        <v>76</v>
      </c>
      <c r="R660" s="6"/>
      <c r="S660" s="6"/>
    </row>
    <row r="661" spans="1:19" x14ac:dyDescent="0.2">
      <c r="A661" s="5"/>
      <c r="B661" s="8" t="s">
        <v>2126</v>
      </c>
      <c r="H661" s="8" t="s">
        <v>2158</v>
      </c>
      <c r="I661" s="8" t="s">
        <v>2158</v>
      </c>
      <c r="J661" s="5">
        <f>65-60</f>
        <v>5</v>
      </c>
      <c r="K661" s="5" t="s">
        <v>292</v>
      </c>
      <c r="L661" s="5" t="s">
        <v>767</v>
      </c>
      <c r="M661" s="5">
        <v>76</v>
      </c>
      <c r="R661" s="6"/>
      <c r="S661" s="6"/>
    </row>
    <row r="662" spans="1:19" x14ac:dyDescent="0.2">
      <c r="A662" s="5"/>
      <c r="B662" s="8" t="s">
        <v>2126</v>
      </c>
      <c r="H662" s="8" t="s">
        <v>2159</v>
      </c>
      <c r="I662" s="8" t="s">
        <v>2159</v>
      </c>
      <c r="J662" s="5">
        <f>352-342</f>
        <v>10</v>
      </c>
      <c r="K662" s="5" t="s">
        <v>292</v>
      </c>
      <c r="L662" s="5" t="s">
        <v>767</v>
      </c>
      <c r="M662" s="5">
        <v>76</v>
      </c>
      <c r="Q662" s="5" t="s">
        <v>1800</v>
      </c>
      <c r="R662" s="6"/>
      <c r="S662" s="6"/>
    </row>
    <row r="663" spans="1:19" x14ac:dyDescent="0.2">
      <c r="A663" s="5"/>
      <c r="B663" s="8" t="s">
        <v>2160</v>
      </c>
      <c r="H663" s="8" t="s">
        <v>2161</v>
      </c>
      <c r="I663" s="8" t="s">
        <v>2161</v>
      </c>
      <c r="J663" s="5">
        <f>500-80</f>
        <v>420</v>
      </c>
      <c r="K663" s="5" t="s">
        <v>292</v>
      </c>
      <c r="L663" s="5" t="s">
        <v>767</v>
      </c>
      <c r="M663" s="5">
        <v>76</v>
      </c>
      <c r="R663" s="6"/>
      <c r="S663" s="6"/>
    </row>
    <row r="664" spans="1:19" x14ac:dyDescent="0.2">
      <c r="A664" s="5"/>
      <c r="B664" s="8">
        <v>39000038</v>
      </c>
      <c r="H664" s="8" t="s">
        <v>2162</v>
      </c>
      <c r="I664" s="8" t="s">
        <v>2162</v>
      </c>
      <c r="J664" s="5">
        <f>100-66</f>
        <v>34</v>
      </c>
      <c r="K664" s="5" t="s">
        <v>292</v>
      </c>
      <c r="L664" s="5" t="s">
        <v>767</v>
      </c>
      <c r="M664" s="5">
        <v>76</v>
      </c>
      <c r="Q664" s="5" t="s">
        <v>977</v>
      </c>
      <c r="R664" s="6"/>
      <c r="S664" s="6"/>
    </row>
    <row r="665" spans="1:19" x14ac:dyDescent="0.2">
      <c r="A665" s="5"/>
      <c r="B665" s="8">
        <v>8500113</v>
      </c>
      <c r="H665" s="8" t="s">
        <v>2163</v>
      </c>
      <c r="I665" s="8" t="s">
        <v>2163</v>
      </c>
      <c r="J665" s="5">
        <f>250-240</f>
        <v>10</v>
      </c>
      <c r="K665" s="5" t="s">
        <v>292</v>
      </c>
      <c r="L665" s="5" t="s">
        <v>767</v>
      </c>
      <c r="M665" s="5">
        <v>76</v>
      </c>
      <c r="Q665" s="5" t="s">
        <v>977</v>
      </c>
      <c r="R665" s="6"/>
      <c r="S665" s="6"/>
    </row>
    <row r="666" spans="1:19" x14ac:dyDescent="0.2">
      <c r="A666" s="5">
        <v>556</v>
      </c>
      <c r="B666" s="8" t="s">
        <v>2164</v>
      </c>
      <c r="C666" s="8" t="s">
        <v>2165</v>
      </c>
      <c r="D666" s="8" t="s">
        <v>914</v>
      </c>
      <c r="E666" s="24">
        <v>43673</v>
      </c>
      <c r="F666" s="8" t="s">
        <v>259</v>
      </c>
      <c r="G666" s="8" t="s">
        <v>276</v>
      </c>
      <c r="H666" s="8" t="s">
        <v>2166</v>
      </c>
      <c r="I666" s="8" t="s">
        <v>2167</v>
      </c>
      <c r="J666" s="5">
        <f>70-20-18-16</f>
        <v>16</v>
      </c>
      <c r="K666" s="5" t="s">
        <v>292</v>
      </c>
      <c r="L666" s="5" t="s">
        <v>767</v>
      </c>
      <c r="M666" s="5">
        <v>77</v>
      </c>
      <c r="N666" s="5" t="s">
        <v>43</v>
      </c>
      <c r="O666" s="5" t="s">
        <v>789</v>
      </c>
      <c r="Q666" s="5" t="s">
        <v>2168</v>
      </c>
    </row>
    <row r="667" spans="1:19" x14ac:dyDescent="0.2">
      <c r="A667" s="5">
        <v>557</v>
      </c>
      <c r="B667" s="8" t="s">
        <v>2169</v>
      </c>
      <c r="C667" s="8" t="s">
        <v>2170</v>
      </c>
      <c r="D667" s="8" t="s">
        <v>773</v>
      </c>
      <c r="E667" s="24">
        <v>43673</v>
      </c>
      <c r="F667" s="8" t="s">
        <v>259</v>
      </c>
      <c r="G667" s="8" t="s">
        <v>276</v>
      </c>
      <c r="H667" s="8" t="s">
        <v>2171</v>
      </c>
      <c r="I667" s="8" t="s">
        <v>2172</v>
      </c>
      <c r="J667" s="5">
        <v>129</v>
      </c>
      <c r="K667" s="5" t="s">
        <v>292</v>
      </c>
      <c r="L667" s="5" t="s">
        <v>767</v>
      </c>
      <c r="M667" s="5">
        <v>77</v>
      </c>
      <c r="N667" s="5" t="s">
        <v>43</v>
      </c>
      <c r="O667" s="5" t="s">
        <v>789</v>
      </c>
      <c r="Q667" s="10" t="s">
        <v>553</v>
      </c>
    </row>
    <row r="668" spans="1:19" x14ac:dyDescent="0.2">
      <c r="A668" s="5">
        <v>558</v>
      </c>
      <c r="B668" s="8" t="s">
        <v>2173</v>
      </c>
      <c r="C668" s="8" t="s">
        <v>2173</v>
      </c>
      <c r="D668" s="8" t="s">
        <v>773</v>
      </c>
      <c r="E668" s="24">
        <v>43673</v>
      </c>
      <c r="F668" s="8" t="s">
        <v>259</v>
      </c>
      <c r="G668" s="8" t="s">
        <v>375</v>
      </c>
      <c r="H668" s="8" t="s">
        <v>2174</v>
      </c>
      <c r="I668" s="8" t="s">
        <v>2175</v>
      </c>
      <c r="J668" s="5">
        <f>10-2-2-2-4+2</f>
        <v>2</v>
      </c>
      <c r="K668" s="5" t="s">
        <v>292</v>
      </c>
      <c r="L668" s="5" t="s">
        <v>767</v>
      </c>
      <c r="M668" s="5">
        <v>77</v>
      </c>
      <c r="N668" s="5" t="s">
        <v>43</v>
      </c>
      <c r="O668" s="5" t="s">
        <v>789</v>
      </c>
      <c r="Q668" s="5" t="s">
        <v>2176</v>
      </c>
      <c r="R668" s="6"/>
      <c r="S668" s="6"/>
    </row>
    <row r="669" spans="1:19" x14ac:dyDescent="0.2">
      <c r="A669" s="5">
        <v>1471</v>
      </c>
      <c r="B669" s="8">
        <v>880404</v>
      </c>
      <c r="H669" s="8" t="s">
        <v>2177</v>
      </c>
      <c r="I669" s="8" t="s">
        <v>2177</v>
      </c>
      <c r="J669" s="5">
        <f>43</f>
        <v>43</v>
      </c>
      <c r="K669" s="5" t="s">
        <v>292</v>
      </c>
      <c r="L669" s="5" t="s">
        <v>767</v>
      </c>
      <c r="M669" s="5">
        <v>78</v>
      </c>
      <c r="N669" s="5" t="s">
        <v>805</v>
      </c>
      <c r="O669" s="5" t="s">
        <v>574</v>
      </c>
      <c r="Q669" s="5" t="s">
        <v>2178</v>
      </c>
      <c r="R669" s="6"/>
      <c r="S669" s="6"/>
    </row>
    <row r="670" spans="1:19" x14ac:dyDescent="0.2">
      <c r="A670" s="5">
        <v>1472</v>
      </c>
      <c r="B670" s="8" t="s">
        <v>2179</v>
      </c>
      <c r="H670" s="8" t="s">
        <v>2180</v>
      </c>
      <c r="I670" s="8" t="s">
        <v>2180</v>
      </c>
      <c r="J670" s="5">
        <v>16</v>
      </c>
      <c r="K670" s="5" t="s">
        <v>292</v>
      </c>
      <c r="L670" s="5" t="s">
        <v>767</v>
      </c>
      <c r="M670" s="5">
        <v>78</v>
      </c>
      <c r="N670" s="5" t="s">
        <v>805</v>
      </c>
      <c r="O670" s="5" t="s">
        <v>574</v>
      </c>
      <c r="Q670" s="5" t="s">
        <v>2181</v>
      </c>
    </row>
    <row r="671" spans="1:19" x14ac:dyDescent="0.2">
      <c r="A671" s="5"/>
      <c r="B671" s="8" t="s">
        <v>2182</v>
      </c>
      <c r="H671" s="8" t="s">
        <v>2183</v>
      </c>
      <c r="I671" s="8" t="s">
        <v>2184</v>
      </c>
      <c r="J671" s="5">
        <f>100-4-58-18-20+100-100</f>
        <v>0</v>
      </c>
      <c r="K671" s="5" t="s">
        <v>21</v>
      </c>
      <c r="L671" s="5" t="s">
        <v>767</v>
      </c>
      <c r="M671" s="5">
        <v>78</v>
      </c>
      <c r="N671" s="5" t="s">
        <v>43</v>
      </c>
      <c r="Q671" s="10" t="s">
        <v>2185</v>
      </c>
      <c r="R671" s="6"/>
      <c r="S671" s="6" t="s">
        <v>328</v>
      </c>
    </row>
    <row r="672" spans="1:19" x14ac:dyDescent="0.2">
      <c r="A672" s="5">
        <v>1473</v>
      </c>
      <c r="B672" s="11" t="s">
        <v>2186</v>
      </c>
      <c r="C672" s="11"/>
      <c r="D672" s="11"/>
      <c r="E672" s="26"/>
      <c r="F672" s="11"/>
      <c r="G672" s="11"/>
      <c r="H672" s="8" t="s">
        <v>2187</v>
      </c>
      <c r="I672" s="8" t="s">
        <v>2188</v>
      </c>
      <c r="J672" s="5">
        <v>10</v>
      </c>
      <c r="K672" s="5" t="s">
        <v>292</v>
      </c>
      <c r="L672" s="5" t="s">
        <v>767</v>
      </c>
      <c r="M672" s="5">
        <v>79</v>
      </c>
      <c r="N672" s="5" t="s">
        <v>1104</v>
      </c>
      <c r="O672" s="5" t="s">
        <v>574</v>
      </c>
      <c r="Q672" s="10" t="s">
        <v>553</v>
      </c>
      <c r="R672" s="6"/>
      <c r="S672" s="6" t="s">
        <v>328</v>
      </c>
    </row>
    <row r="673" spans="1:19" x14ac:dyDescent="0.2">
      <c r="A673" s="5">
        <v>1474</v>
      </c>
      <c r="B673" s="8" t="s">
        <v>2189</v>
      </c>
      <c r="H673" s="8" t="s">
        <v>2190</v>
      </c>
      <c r="I673" s="8" t="s">
        <v>2190</v>
      </c>
      <c r="J673" s="5">
        <v>1</v>
      </c>
      <c r="K673" s="5" t="s">
        <v>292</v>
      </c>
      <c r="L673" s="5" t="s">
        <v>767</v>
      </c>
      <c r="M673" s="5">
        <v>79</v>
      </c>
      <c r="N673" s="5" t="s">
        <v>805</v>
      </c>
      <c r="O673" s="5" t="s">
        <v>574</v>
      </c>
      <c r="Q673" s="10" t="s">
        <v>553</v>
      </c>
      <c r="R673" s="6"/>
      <c r="S673" s="6" t="s">
        <v>328</v>
      </c>
    </row>
    <row r="674" spans="1:19" x14ac:dyDescent="0.2">
      <c r="A674" s="5">
        <v>1475</v>
      </c>
      <c r="B674" s="8">
        <v>5332215</v>
      </c>
      <c r="H674" s="8" t="s">
        <v>2191</v>
      </c>
      <c r="I674" s="8" t="s">
        <v>2191</v>
      </c>
      <c r="J674" s="5">
        <f>0+6</f>
        <v>6</v>
      </c>
      <c r="K674" s="5" t="s">
        <v>292</v>
      </c>
      <c r="L674" s="5" t="s">
        <v>767</v>
      </c>
      <c r="M674" s="5">
        <v>79</v>
      </c>
      <c r="N674" s="5" t="s">
        <v>1104</v>
      </c>
      <c r="O674" s="5" t="s">
        <v>574</v>
      </c>
      <c r="Q674" s="10" t="s">
        <v>553</v>
      </c>
      <c r="R674" s="6"/>
      <c r="S674" s="6" t="s">
        <v>328</v>
      </c>
    </row>
    <row r="675" spans="1:19" x14ac:dyDescent="0.2">
      <c r="A675" s="5">
        <v>1476</v>
      </c>
      <c r="B675" s="8" t="s">
        <v>2192</v>
      </c>
      <c r="H675" s="8" t="s">
        <v>2193</v>
      </c>
      <c r="I675" s="8" t="s">
        <v>2194</v>
      </c>
      <c r="J675" s="5">
        <v>2</v>
      </c>
      <c r="K675" s="5" t="s">
        <v>292</v>
      </c>
      <c r="L675" s="5" t="s">
        <v>767</v>
      </c>
      <c r="M675" s="5">
        <v>79</v>
      </c>
      <c r="N675" s="5" t="s">
        <v>1104</v>
      </c>
      <c r="O675" s="5" t="s">
        <v>574</v>
      </c>
      <c r="Q675" s="10" t="s">
        <v>553</v>
      </c>
      <c r="R675" s="6"/>
      <c r="S675" s="6" t="s">
        <v>328</v>
      </c>
    </row>
    <row r="676" spans="1:19" x14ac:dyDescent="0.2">
      <c r="A676" s="5">
        <v>1477</v>
      </c>
      <c r="B676" s="8" t="s">
        <v>2195</v>
      </c>
      <c r="H676" s="8" t="s">
        <v>2196</v>
      </c>
      <c r="I676" s="8" t="s">
        <v>2196</v>
      </c>
      <c r="J676" s="5">
        <v>1</v>
      </c>
      <c r="K676" s="5" t="s">
        <v>292</v>
      </c>
      <c r="L676" s="5" t="s">
        <v>767</v>
      </c>
      <c r="M676" s="5">
        <v>79</v>
      </c>
      <c r="N676" s="5" t="s">
        <v>1104</v>
      </c>
      <c r="O676" s="5" t="s">
        <v>574</v>
      </c>
      <c r="Q676" s="10" t="s">
        <v>553</v>
      </c>
      <c r="R676" s="6"/>
      <c r="S676" s="6" t="s">
        <v>328</v>
      </c>
    </row>
    <row r="677" spans="1:19" x14ac:dyDescent="0.2">
      <c r="A677" s="5">
        <v>1478</v>
      </c>
      <c r="B677" s="8">
        <v>1178965</v>
      </c>
      <c r="H677" s="8" t="s">
        <v>2197</v>
      </c>
      <c r="I677" s="8" t="s">
        <v>2197</v>
      </c>
      <c r="J677" s="5">
        <v>0</v>
      </c>
      <c r="K677" s="5" t="s">
        <v>292</v>
      </c>
      <c r="L677" s="5" t="s">
        <v>767</v>
      </c>
      <c r="M677" s="5">
        <v>79</v>
      </c>
      <c r="N677" s="5" t="s">
        <v>805</v>
      </c>
      <c r="O677" s="5" t="s">
        <v>574</v>
      </c>
      <c r="Q677" s="10" t="s">
        <v>553</v>
      </c>
      <c r="R677" s="6"/>
      <c r="S677" s="6" t="s">
        <v>328</v>
      </c>
    </row>
    <row r="678" spans="1:19" x14ac:dyDescent="0.2">
      <c r="A678" s="5">
        <v>1479</v>
      </c>
      <c r="B678" s="8" t="s">
        <v>2198</v>
      </c>
      <c r="H678" s="8" t="s">
        <v>2199</v>
      </c>
      <c r="I678" s="8" t="s">
        <v>2199</v>
      </c>
      <c r="J678" s="5">
        <v>1</v>
      </c>
      <c r="K678" s="5" t="s">
        <v>292</v>
      </c>
      <c r="L678" s="5" t="s">
        <v>767</v>
      </c>
      <c r="M678" s="5">
        <v>79</v>
      </c>
      <c r="N678" s="5" t="s">
        <v>805</v>
      </c>
      <c r="O678" s="5" t="s">
        <v>574</v>
      </c>
      <c r="Q678" s="10" t="s">
        <v>553</v>
      </c>
      <c r="R678" s="6"/>
      <c r="S678" s="6" t="s">
        <v>328</v>
      </c>
    </row>
    <row r="679" spans="1:19" x14ac:dyDescent="0.2">
      <c r="A679" s="5">
        <v>1480</v>
      </c>
      <c r="B679" s="8" t="s">
        <v>2200</v>
      </c>
      <c r="H679" s="8" t="s">
        <v>2201</v>
      </c>
      <c r="I679" s="8" t="s">
        <v>2201</v>
      </c>
      <c r="J679" s="5">
        <v>16</v>
      </c>
      <c r="K679" s="5" t="s">
        <v>292</v>
      </c>
      <c r="L679" s="5" t="s">
        <v>767</v>
      </c>
      <c r="M679" s="5">
        <v>80</v>
      </c>
      <c r="N679" s="5" t="s">
        <v>1104</v>
      </c>
      <c r="O679" s="5" t="s">
        <v>574</v>
      </c>
      <c r="Q679" s="10" t="s">
        <v>553</v>
      </c>
      <c r="R679" s="6"/>
      <c r="S679" s="6" t="s">
        <v>328</v>
      </c>
    </row>
    <row r="680" spans="1:19" x14ac:dyDescent="0.2">
      <c r="A680" s="5">
        <v>1481</v>
      </c>
      <c r="B680" s="8" t="s">
        <v>2202</v>
      </c>
      <c r="H680" s="8" t="s">
        <v>2203</v>
      </c>
      <c r="I680" s="8" t="s">
        <v>2203</v>
      </c>
      <c r="J680" s="5">
        <v>1</v>
      </c>
      <c r="K680" s="5" t="s">
        <v>292</v>
      </c>
      <c r="L680" s="5" t="s">
        <v>767</v>
      </c>
      <c r="M680" s="5">
        <v>80</v>
      </c>
      <c r="N680" s="5" t="s">
        <v>1104</v>
      </c>
      <c r="O680" s="5" t="s">
        <v>574</v>
      </c>
      <c r="Q680" s="10" t="s">
        <v>553</v>
      </c>
      <c r="R680" s="6"/>
      <c r="S680" s="6" t="s">
        <v>328</v>
      </c>
    </row>
    <row r="681" spans="1:19" x14ac:dyDescent="0.2">
      <c r="A681" s="5">
        <v>1482</v>
      </c>
      <c r="B681" s="8" t="s">
        <v>2204</v>
      </c>
      <c r="H681" s="8" t="s">
        <v>2205</v>
      </c>
      <c r="I681" s="8" t="s">
        <v>2205</v>
      </c>
      <c r="J681" s="5">
        <v>4</v>
      </c>
      <c r="K681" s="5" t="s">
        <v>292</v>
      </c>
      <c r="L681" s="5" t="s">
        <v>767</v>
      </c>
      <c r="M681" s="5">
        <v>80</v>
      </c>
      <c r="N681" s="5" t="s">
        <v>1104</v>
      </c>
      <c r="O681" s="5" t="s">
        <v>574</v>
      </c>
      <c r="Q681" s="10" t="s">
        <v>553</v>
      </c>
      <c r="R681" s="6"/>
      <c r="S681" s="6" t="s">
        <v>328</v>
      </c>
    </row>
    <row r="682" spans="1:19" x14ac:dyDescent="0.2">
      <c r="A682" s="5">
        <v>1483</v>
      </c>
      <c r="B682" s="8" t="s">
        <v>2206</v>
      </c>
      <c r="H682" s="8" t="s">
        <v>2207</v>
      </c>
      <c r="I682" s="8" t="s">
        <v>2207</v>
      </c>
      <c r="J682" s="5">
        <v>3</v>
      </c>
      <c r="K682" s="5" t="s">
        <v>292</v>
      </c>
      <c r="L682" s="5" t="s">
        <v>767</v>
      </c>
      <c r="M682" s="5">
        <v>80</v>
      </c>
      <c r="N682" s="5" t="s">
        <v>1104</v>
      </c>
      <c r="O682" s="5" t="s">
        <v>574</v>
      </c>
      <c r="Q682" s="10" t="s">
        <v>553</v>
      </c>
      <c r="R682" s="6"/>
      <c r="S682" s="6" t="s">
        <v>328</v>
      </c>
    </row>
    <row r="683" spans="1:19" x14ac:dyDescent="0.2">
      <c r="A683" s="5">
        <v>1484</v>
      </c>
      <c r="B683" s="8" t="s">
        <v>2208</v>
      </c>
      <c r="H683" s="8" t="s">
        <v>2209</v>
      </c>
      <c r="I683" s="8" t="s">
        <v>2209</v>
      </c>
      <c r="J683" s="5">
        <v>10</v>
      </c>
      <c r="K683" s="5" t="s">
        <v>292</v>
      </c>
      <c r="L683" s="5" t="s">
        <v>767</v>
      </c>
      <c r="M683" s="5">
        <v>80</v>
      </c>
      <c r="N683" s="5" t="s">
        <v>1104</v>
      </c>
      <c r="O683" s="5" t="s">
        <v>574</v>
      </c>
      <c r="Q683" s="10" t="s">
        <v>553</v>
      </c>
      <c r="R683" s="6"/>
      <c r="S683" s="6" t="s">
        <v>328</v>
      </c>
    </row>
    <row r="684" spans="1:19" x14ac:dyDescent="0.2">
      <c r="A684" s="5">
        <v>1485</v>
      </c>
      <c r="B684" s="8" t="s">
        <v>2210</v>
      </c>
      <c r="H684" s="8" t="s">
        <v>2211</v>
      </c>
      <c r="I684" s="8" t="s">
        <v>2211</v>
      </c>
      <c r="J684" s="5">
        <f>13+9+36+10+8-16</f>
        <v>60</v>
      </c>
      <c r="K684" s="5" t="s">
        <v>292</v>
      </c>
      <c r="L684" s="5" t="s">
        <v>767</v>
      </c>
      <c r="M684" s="5">
        <v>80</v>
      </c>
      <c r="N684" s="5" t="s">
        <v>805</v>
      </c>
      <c r="O684" s="5" t="s">
        <v>574</v>
      </c>
      <c r="Q684" s="10" t="s">
        <v>553</v>
      </c>
      <c r="R684" s="6"/>
      <c r="S684" s="6" t="s">
        <v>328</v>
      </c>
    </row>
    <row r="685" spans="1:19" x14ac:dyDescent="0.2">
      <c r="A685" s="5">
        <v>1486</v>
      </c>
      <c r="B685" s="8" t="s">
        <v>2212</v>
      </c>
      <c r="H685" s="8" t="s">
        <v>2213</v>
      </c>
      <c r="I685" s="8" t="s">
        <v>2213</v>
      </c>
      <c r="J685" s="5">
        <v>6</v>
      </c>
      <c r="K685" s="5" t="s">
        <v>292</v>
      </c>
      <c r="L685" s="5" t="s">
        <v>767</v>
      </c>
      <c r="M685" s="5">
        <v>80</v>
      </c>
      <c r="N685" s="5" t="s">
        <v>805</v>
      </c>
      <c r="O685" s="5" t="s">
        <v>574</v>
      </c>
      <c r="Q685" s="10" t="s">
        <v>553</v>
      </c>
      <c r="S685" s="5" t="s">
        <v>328</v>
      </c>
    </row>
    <row r="686" spans="1:19" x14ac:dyDescent="0.2">
      <c r="A686" s="5">
        <v>559</v>
      </c>
      <c r="B686" s="8" t="s">
        <v>2214</v>
      </c>
      <c r="H686" s="8" t="s">
        <v>2215</v>
      </c>
      <c r="I686" s="8" t="s">
        <v>2215</v>
      </c>
      <c r="J686" s="5">
        <v>133</v>
      </c>
      <c r="K686" s="5" t="s">
        <v>292</v>
      </c>
      <c r="L686" s="5" t="s">
        <v>767</v>
      </c>
      <c r="M686" s="5">
        <v>81</v>
      </c>
      <c r="N686" s="5" t="s">
        <v>43</v>
      </c>
      <c r="O686" s="5" t="s">
        <v>789</v>
      </c>
      <c r="Q686" s="10" t="s">
        <v>553</v>
      </c>
      <c r="S686" s="5" t="s">
        <v>328</v>
      </c>
    </row>
    <row r="687" spans="1:19" x14ac:dyDescent="0.2">
      <c r="A687" s="5">
        <v>560</v>
      </c>
      <c r="B687" s="8" t="s">
        <v>2216</v>
      </c>
      <c r="H687" s="8" t="s">
        <v>2217</v>
      </c>
      <c r="I687" s="8" t="s">
        <v>2217</v>
      </c>
      <c r="J687" s="5">
        <v>17</v>
      </c>
      <c r="K687" s="5" t="s">
        <v>292</v>
      </c>
      <c r="L687" s="5" t="s">
        <v>767</v>
      </c>
      <c r="M687" s="5">
        <v>81</v>
      </c>
      <c r="N687" s="5" t="s">
        <v>43</v>
      </c>
      <c r="O687" s="5" t="s">
        <v>789</v>
      </c>
      <c r="Q687" s="10" t="s">
        <v>553</v>
      </c>
      <c r="S687" s="5" t="s">
        <v>328</v>
      </c>
    </row>
    <row r="688" spans="1:19" x14ac:dyDescent="0.2">
      <c r="A688" s="5">
        <v>561</v>
      </c>
      <c r="B688" s="8" t="s">
        <v>2218</v>
      </c>
      <c r="H688" s="8" t="s">
        <v>2219</v>
      </c>
      <c r="I688" s="8" t="s">
        <v>2219</v>
      </c>
      <c r="J688" s="5">
        <v>2</v>
      </c>
      <c r="K688" s="5" t="s">
        <v>292</v>
      </c>
      <c r="L688" s="5" t="s">
        <v>767</v>
      </c>
      <c r="M688" s="5">
        <v>81</v>
      </c>
      <c r="N688" s="5" t="s">
        <v>43</v>
      </c>
      <c r="O688" s="5" t="s">
        <v>789</v>
      </c>
      <c r="Q688" s="10" t="s">
        <v>553</v>
      </c>
      <c r="S688" s="5" t="s">
        <v>328</v>
      </c>
    </row>
    <row r="689" spans="1:19" x14ac:dyDescent="0.2">
      <c r="A689" s="5">
        <v>562</v>
      </c>
      <c r="B689" s="11" t="s">
        <v>2220</v>
      </c>
      <c r="C689" s="11"/>
      <c r="D689" s="11"/>
      <c r="E689" s="26"/>
      <c r="F689" s="11"/>
      <c r="G689" s="11"/>
      <c r="H689" s="8" t="s">
        <v>2221</v>
      </c>
      <c r="I689" s="8" t="s">
        <v>2221</v>
      </c>
      <c r="J689" s="5">
        <v>1</v>
      </c>
      <c r="K689" s="5" t="s">
        <v>292</v>
      </c>
      <c r="L689" s="5" t="s">
        <v>767</v>
      </c>
      <c r="M689" s="5">
        <v>81</v>
      </c>
      <c r="N689" s="5" t="s">
        <v>43</v>
      </c>
      <c r="O689" s="5" t="s">
        <v>789</v>
      </c>
      <c r="Q689" s="10" t="s">
        <v>553</v>
      </c>
      <c r="S689" s="5" t="s">
        <v>328</v>
      </c>
    </row>
    <row r="690" spans="1:19" x14ac:dyDescent="0.2">
      <c r="A690" s="5">
        <v>563</v>
      </c>
      <c r="B690" s="8" t="s">
        <v>2222</v>
      </c>
      <c r="H690" s="8" t="s">
        <v>2223</v>
      </c>
      <c r="I690" s="8" t="s">
        <v>2223</v>
      </c>
      <c r="J690" s="5">
        <v>2</v>
      </c>
      <c r="K690" s="5" t="s">
        <v>292</v>
      </c>
      <c r="L690" s="5" t="s">
        <v>767</v>
      </c>
      <c r="M690" s="5">
        <v>81</v>
      </c>
      <c r="N690" s="5" t="s">
        <v>43</v>
      </c>
      <c r="O690" s="5" t="s">
        <v>789</v>
      </c>
      <c r="Q690" s="10" t="s">
        <v>553</v>
      </c>
    </row>
    <row r="691" spans="1:19" x14ac:dyDescent="0.2">
      <c r="A691" s="5">
        <v>564</v>
      </c>
      <c r="B691" s="8" t="s">
        <v>2224</v>
      </c>
      <c r="H691" s="8" t="s">
        <v>2225</v>
      </c>
      <c r="I691" s="8" t="s">
        <v>2225</v>
      </c>
      <c r="J691" s="5">
        <v>2</v>
      </c>
      <c r="K691" s="5" t="s">
        <v>292</v>
      </c>
      <c r="L691" s="5" t="s">
        <v>767</v>
      </c>
      <c r="M691" s="5">
        <v>81</v>
      </c>
      <c r="N691" s="5" t="s">
        <v>43</v>
      </c>
      <c r="O691" s="5" t="s">
        <v>789</v>
      </c>
      <c r="Q691" s="5" t="s">
        <v>2226</v>
      </c>
      <c r="S691" s="5" t="s">
        <v>328</v>
      </c>
    </row>
    <row r="692" spans="1:19" x14ac:dyDescent="0.2">
      <c r="A692" s="5">
        <v>565</v>
      </c>
      <c r="B692" s="8" t="s">
        <v>2227</v>
      </c>
      <c r="H692" s="8" t="s">
        <v>2228</v>
      </c>
      <c r="I692" s="8" t="s">
        <v>2228</v>
      </c>
      <c r="J692" s="5">
        <v>2073</v>
      </c>
      <c r="K692" s="5" t="s">
        <v>292</v>
      </c>
      <c r="L692" s="5" t="s">
        <v>767</v>
      </c>
      <c r="M692" s="5">
        <v>82</v>
      </c>
      <c r="N692" s="5" t="s">
        <v>43</v>
      </c>
      <c r="O692" s="5" t="s">
        <v>789</v>
      </c>
      <c r="Q692" s="10" t="s">
        <v>553</v>
      </c>
      <c r="S692" s="5" t="s">
        <v>328</v>
      </c>
    </row>
    <row r="693" spans="1:19" x14ac:dyDescent="0.2">
      <c r="A693" s="5">
        <v>566</v>
      </c>
      <c r="B693" s="8" t="s">
        <v>2229</v>
      </c>
      <c r="H693" s="8" t="s">
        <v>2230</v>
      </c>
      <c r="I693" s="8" t="s">
        <v>2230</v>
      </c>
      <c r="J693" s="5">
        <v>340</v>
      </c>
      <c r="K693" s="5" t="s">
        <v>292</v>
      </c>
      <c r="L693" s="5" t="s">
        <v>767</v>
      </c>
      <c r="M693" s="5">
        <v>83</v>
      </c>
      <c r="N693" s="5" t="s">
        <v>43</v>
      </c>
      <c r="O693" s="5" t="s">
        <v>789</v>
      </c>
      <c r="Q693" s="10" t="s">
        <v>553</v>
      </c>
      <c r="S693" s="5" t="s">
        <v>328</v>
      </c>
    </row>
    <row r="694" spans="1:19" x14ac:dyDescent="0.2">
      <c r="A694" s="5">
        <v>567</v>
      </c>
      <c r="B694" s="8" t="s">
        <v>2231</v>
      </c>
      <c r="H694" s="8" t="s">
        <v>2232</v>
      </c>
      <c r="I694" s="8" t="s">
        <v>2232</v>
      </c>
      <c r="J694" s="5">
        <v>5</v>
      </c>
      <c r="K694" s="5" t="s">
        <v>292</v>
      </c>
      <c r="L694" s="5" t="s">
        <v>767</v>
      </c>
      <c r="M694" s="5">
        <v>83</v>
      </c>
      <c r="N694" s="5" t="s">
        <v>43</v>
      </c>
      <c r="O694" s="5" t="s">
        <v>789</v>
      </c>
      <c r="Q694" s="10" t="s">
        <v>553</v>
      </c>
    </row>
    <row r="695" spans="1:19" x14ac:dyDescent="0.2">
      <c r="A695" s="5">
        <v>568</v>
      </c>
      <c r="B695" s="8" t="s">
        <v>2233</v>
      </c>
      <c r="H695" s="8" t="s">
        <v>2234</v>
      </c>
      <c r="I695" s="8" t="s">
        <v>2234</v>
      </c>
      <c r="J695" s="5">
        <v>136</v>
      </c>
      <c r="K695" s="5" t="s">
        <v>292</v>
      </c>
      <c r="L695" s="5" t="s">
        <v>767</v>
      </c>
      <c r="M695" s="5">
        <v>84</v>
      </c>
      <c r="N695" s="5" t="s">
        <v>43</v>
      </c>
      <c r="O695" s="5" t="s">
        <v>789</v>
      </c>
      <c r="Q695" s="10" t="s">
        <v>2235</v>
      </c>
      <c r="R695" s="6"/>
      <c r="S695" s="6" t="s">
        <v>328</v>
      </c>
    </row>
    <row r="696" spans="1:19" x14ac:dyDescent="0.2">
      <c r="A696" s="5">
        <v>1487</v>
      </c>
      <c r="B696" s="8" t="s">
        <v>2236</v>
      </c>
      <c r="H696" s="8" t="s">
        <v>2237</v>
      </c>
      <c r="I696" s="8" t="s">
        <v>2237</v>
      </c>
      <c r="J696" s="5">
        <v>1</v>
      </c>
      <c r="K696" s="5" t="s">
        <v>292</v>
      </c>
      <c r="L696" s="5" t="s">
        <v>767</v>
      </c>
      <c r="M696" s="5">
        <v>85</v>
      </c>
      <c r="N696" s="5" t="s">
        <v>2238</v>
      </c>
      <c r="O696" s="5" t="s">
        <v>574</v>
      </c>
      <c r="Q696" s="10" t="s">
        <v>553</v>
      </c>
      <c r="R696" s="6"/>
      <c r="S696" s="6" t="s">
        <v>328</v>
      </c>
    </row>
    <row r="697" spans="1:19" x14ac:dyDescent="0.2">
      <c r="A697" s="5">
        <v>1488</v>
      </c>
      <c r="B697" s="8" t="s">
        <v>2239</v>
      </c>
      <c r="H697" s="8" t="s">
        <v>2240</v>
      </c>
      <c r="I697" s="8" t="s">
        <v>2240</v>
      </c>
      <c r="J697" s="5">
        <v>4</v>
      </c>
      <c r="K697" s="5" t="s">
        <v>292</v>
      </c>
      <c r="L697" s="5" t="s">
        <v>767</v>
      </c>
      <c r="M697" s="5">
        <v>85</v>
      </c>
      <c r="N697" s="5" t="s">
        <v>2238</v>
      </c>
      <c r="O697" s="5" t="s">
        <v>574</v>
      </c>
      <c r="Q697" s="10" t="s">
        <v>553</v>
      </c>
      <c r="R697" s="6"/>
      <c r="S697" s="6" t="s">
        <v>328</v>
      </c>
    </row>
    <row r="698" spans="1:19" x14ac:dyDescent="0.2">
      <c r="A698" s="5">
        <v>1489</v>
      </c>
      <c r="B698" s="8" t="s">
        <v>2241</v>
      </c>
      <c r="H698" s="8" t="s">
        <v>2242</v>
      </c>
      <c r="I698" s="8" t="s">
        <v>2242</v>
      </c>
      <c r="J698" s="5">
        <v>21</v>
      </c>
      <c r="K698" s="5" t="s">
        <v>292</v>
      </c>
      <c r="L698" s="5" t="s">
        <v>767</v>
      </c>
      <c r="M698" s="5">
        <v>85</v>
      </c>
      <c r="N698" s="5" t="s">
        <v>2238</v>
      </c>
      <c r="O698" s="5" t="s">
        <v>574</v>
      </c>
      <c r="Q698" s="10" t="s">
        <v>553</v>
      </c>
      <c r="R698" s="6"/>
      <c r="S698" s="6" t="s">
        <v>328</v>
      </c>
    </row>
    <row r="699" spans="1:19" x14ac:dyDescent="0.2">
      <c r="A699" s="5">
        <v>1490</v>
      </c>
      <c r="B699" s="8" t="s">
        <v>2243</v>
      </c>
      <c r="H699" s="8" t="s">
        <v>2244</v>
      </c>
      <c r="I699" s="8" t="s">
        <v>2244</v>
      </c>
      <c r="J699" s="5">
        <f>3+18</f>
        <v>21</v>
      </c>
      <c r="K699" s="5" t="s">
        <v>292</v>
      </c>
      <c r="L699" s="5" t="s">
        <v>767</v>
      </c>
      <c r="M699" s="5">
        <v>85</v>
      </c>
      <c r="N699" s="5" t="s">
        <v>2238</v>
      </c>
      <c r="O699" s="5" t="s">
        <v>574</v>
      </c>
      <c r="Q699" s="10" t="s">
        <v>553</v>
      </c>
      <c r="R699" s="6"/>
      <c r="S699" s="6" t="s">
        <v>1139</v>
      </c>
    </row>
    <row r="700" spans="1:19" x14ac:dyDescent="0.2">
      <c r="A700" s="5">
        <v>1491</v>
      </c>
      <c r="B700" s="8" t="s">
        <v>2245</v>
      </c>
      <c r="H700" s="8" t="s">
        <v>2246</v>
      </c>
      <c r="I700" s="8" t="s">
        <v>2246</v>
      </c>
      <c r="J700" s="5">
        <f>8+18</f>
        <v>26</v>
      </c>
      <c r="K700" s="5" t="s">
        <v>292</v>
      </c>
      <c r="L700" s="5" t="s">
        <v>767</v>
      </c>
      <c r="M700" s="5">
        <v>85</v>
      </c>
      <c r="N700" s="5" t="s">
        <v>2238</v>
      </c>
      <c r="O700" s="5" t="s">
        <v>574</v>
      </c>
      <c r="Q700" s="10" t="s">
        <v>553</v>
      </c>
      <c r="R700" s="6"/>
      <c r="S700" s="6" t="s">
        <v>328</v>
      </c>
    </row>
    <row r="701" spans="1:19" x14ac:dyDescent="0.2">
      <c r="A701" s="5"/>
      <c r="B701" s="8" t="s">
        <v>2247</v>
      </c>
      <c r="H701" s="8" t="s">
        <v>2244</v>
      </c>
      <c r="I701" s="8" t="s">
        <v>2244</v>
      </c>
      <c r="J701" s="5">
        <f>10-1</f>
        <v>9</v>
      </c>
      <c r="K701" s="5" t="s">
        <v>292</v>
      </c>
      <c r="L701" s="5" t="s">
        <v>767</v>
      </c>
      <c r="M701" s="5">
        <v>85</v>
      </c>
      <c r="N701" s="5" t="s">
        <v>2238</v>
      </c>
      <c r="Q701" s="10" t="s">
        <v>2248</v>
      </c>
      <c r="R701" s="6"/>
      <c r="S701" s="6"/>
    </row>
    <row r="702" spans="1:19" x14ac:dyDescent="0.2">
      <c r="A702" s="5">
        <v>1492</v>
      </c>
      <c r="B702" s="8" t="s">
        <v>2249</v>
      </c>
      <c r="H702" s="8" t="s">
        <v>2250</v>
      </c>
      <c r="I702" s="8" t="s">
        <v>2250</v>
      </c>
      <c r="J702" s="5">
        <v>5</v>
      </c>
      <c r="K702" s="5" t="s">
        <v>292</v>
      </c>
      <c r="L702" s="5" t="s">
        <v>767</v>
      </c>
      <c r="M702" s="5">
        <v>86</v>
      </c>
      <c r="N702" s="5" t="s">
        <v>1919</v>
      </c>
      <c r="O702" s="5" t="s">
        <v>574</v>
      </c>
      <c r="Q702" s="10" t="s">
        <v>553</v>
      </c>
      <c r="R702" s="6"/>
      <c r="S702" s="6" t="s">
        <v>328</v>
      </c>
    </row>
    <row r="703" spans="1:19" x14ac:dyDescent="0.2">
      <c r="A703" s="5">
        <v>1493</v>
      </c>
      <c r="B703" s="8" t="s">
        <v>2251</v>
      </c>
      <c r="H703" s="8" t="s">
        <v>2252</v>
      </c>
      <c r="I703" s="8" t="s">
        <v>2252</v>
      </c>
      <c r="J703" s="5">
        <f>14-1</f>
        <v>13</v>
      </c>
      <c r="K703" s="5" t="s">
        <v>292</v>
      </c>
      <c r="L703" s="5" t="s">
        <v>767</v>
      </c>
      <c r="M703" s="5">
        <v>87</v>
      </c>
      <c r="N703" s="5" t="s">
        <v>805</v>
      </c>
      <c r="O703" s="5" t="s">
        <v>574</v>
      </c>
      <c r="Q703" s="10" t="s">
        <v>553</v>
      </c>
      <c r="R703" s="6"/>
      <c r="S703" s="6"/>
    </row>
    <row r="704" spans="1:19" x14ac:dyDescent="0.2">
      <c r="A704" s="5">
        <v>1494</v>
      </c>
      <c r="B704" s="8" t="s">
        <v>2253</v>
      </c>
      <c r="H704" s="8" t="s">
        <v>2254</v>
      </c>
      <c r="I704" s="8" t="s">
        <v>2254</v>
      </c>
      <c r="J704" s="5">
        <f>10-2-1-1-2-4</f>
        <v>0</v>
      </c>
      <c r="K704" s="5" t="s">
        <v>292</v>
      </c>
      <c r="L704" s="5" t="s">
        <v>767</v>
      </c>
      <c r="M704" s="5">
        <v>88</v>
      </c>
      <c r="N704" s="5" t="s">
        <v>2255</v>
      </c>
      <c r="O704" s="5" t="s">
        <v>574</v>
      </c>
      <c r="Q704" s="5" t="s">
        <v>2256</v>
      </c>
    </row>
    <row r="705" spans="1:19" x14ac:dyDescent="0.2">
      <c r="A705" s="5">
        <v>569</v>
      </c>
      <c r="B705" s="11" t="s">
        <v>2257</v>
      </c>
      <c r="C705" s="11"/>
      <c r="D705" s="11"/>
      <c r="E705" s="26"/>
      <c r="F705" s="11"/>
      <c r="G705" s="11"/>
      <c r="H705" s="8" t="s">
        <v>2258</v>
      </c>
      <c r="I705" s="8" t="s">
        <v>2258</v>
      </c>
      <c r="J705" s="5">
        <f>6-2-1</f>
        <v>3</v>
      </c>
      <c r="K705" s="5" t="s">
        <v>292</v>
      </c>
      <c r="L705" s="5" t="s">
        <v>767</v>
      </c>
      <c r="M705" s="5">
        <v>89</v>
      </c>
      <c r="N705" s="5" t="s">
        <v>43</v>
      </c>
      <c r="O705" s="5" t="s">
        <v>789</v>
      </c>
      <c r="Q705" s="35" t="s">
        <v>2259</v>
      </c>
    </row>
    <row r="706" spans="1:19" x14ac:dyDescent="0.2">
      <c r="A706" s="5">
        <v>581</v>
      </c>
      <c r="B706" s="8" t="s">
        <v>2260</v>
      </c>
      <c r="H706" s="8" t="s">
        <v>2261</v>
      </c>
      <c r="I706" s="8" t="s">
        <v>2261</v>
      </c>
      <c r="J706" s="5">
        <v>21</v>
      </c>
      <c r="K706" s="5" t="s">
        <v>292</v>
      </c>
      <c r="L706" s="5" t="s">
        <v>767</v>
      </c>
      <c r="M706" s="5">
        <v>89</v>
      </c>
      <c r="N706" s="5" t="s">
        <v>43</v>
      </c>
      <c r="O706" s="5" t="s">
        <v>789</v>
      </c>
      <c r="Q706" s="5" t="s">
        <v>2262</v>
      </c>
      <c r="S706" s="5" t="s">
        <v>328</v>
      </c>
    </row>
    <row r="707" spans="1:19" x14ac:dyDescent="0.2">
      <c r="A707" s="5">
        <v>582</v>
      </c>
      <c r="B707" s="8" t="s">
        <v>2263</v>
      </c>
      <c r="H707" s="8" t="s">
        <v>2264</v>
      </c>
      <c r="I707" s="8" t="s">
        <v>2264</v>
      </c>
      <c r="J707" s="5">
        <v>87</v>
      </c>
      <c r="K707" s="5" t="s">
        <v>292</v>
      </c>
      <c r="L707" s="5" t="s">
        <v>767</v>
      </c>
      <c r="M707" s="5">
        <v>89</v>
      </c>
      <c r="N707" s="5" t="s">
        <v>43</v>
      </c>
      <c r="O707" s="5" t="s">
        <v>789</v>
      </c>
      <c r="Q707" s="35" t="s">
        <v>553</v>
      </c>
    </row>
    <row r="708" spans="1:19" x14ac:dyDescent="0.2">
      <c r="A708" s="5">
        <v>583</v>
      </c>
      <c r="B708" s="8" t="s">
        <v>2265</v>
      </c>
      <c r="H708" s="8" t="s">
        <v>2266</v>
      </c>
      <c r="I708" s="8" t="s">
        <v>2266</v>
      </c>
      <c r="J708" s="5">
        <f>32+30-1</f>
        <v>61</v>
      </c>
      <c r="K708" s="5" t="s">
        <v>292</v>
      </c>
      <c r="L708" s="5" t="s">
        <v>767</v>
      </c>
      <c r="M708" s="5">
        <v>89</v>
      </c>
      <c r="N708" s="5" t="s">
        <v>43</v>
      </c>
      <c r="O708" s="5" t="s">
        <v>789</v>
      </c>
      <c r="Q708" s="5" t="s">
        <v>2267</v>
      </c>
      <c r="S708" s="5" t="s">
        <v>328</v>
      </c>
    </row>
    <row r="709" spans="1:19" x14ac:dyDescent="0.2">
      <c r="A709" s="5">
        <v>584</v>
      </c>
      <c r="B709" s="8">
        <v>3913119</v>
      </c>
      <c r="H709" s="8" t="s">
        <v>2266</v>
      </c>
      <c r="I709" s="8" t="s">
        <v>2268</v>
      </c>
      <c r="J709" s="5">
        <v>55</v>
      </c>
      <c r="K709" s="5" t="s">
        <v>292</v>
      </c>
      <c r="L709" s="5" t="s">
        <v>767</v>
      </c>
      <c r="M709" s="5">
        <v>89</v>
      </c>
      <c r="N709" s="5" t="s">
        <v>43</v>
      </c>
      <c r="O709" s="5" t="s">
        <v>789</v>
      </c>
      <c r="Q709" s="10" t="s">
        <v>553</v>
      </c>
      <c r="S709" s="5" t="s">
        <v>328</v>
      </c>
    </row>
    <row r="710" spans="1:19" x14ac:dyDescent="0.2">
      <c r="A710" s="5">
        <v>585</v>
      </c>
      <c r="B710" s="8" t="s">
        <v>2269</v>
      </c>
      <c r="H710" s="8" t="s">
        <v>2270</v>
      </c>
      <c r="I710" s="8" t="s">
        <v>2270</v>
      </c>
      <c r="J710" s="5">
        <v>178</v>
      </c>
      <c r="K710" s="5" t="s">
        <v>292</v>
      </c>
      <c r="L710" s="5" t="s">
        <v>767</v>
      </c>
      <c r="M710" s="5">
        <v>89</v>
      </c>
      <c r="N710" s="5" t="s">
        <v>43</v>
      </c>
      <c r="O710" s="5" t="s">
        <v>789</v>
      </c>
      <c r="Q710" s="10" t="s">
        <v>553</v>
      </c>
    </row>
    <row r="711" spans="1:19" x14ac:dyDescent="0.2">
      <c r="A711" s="5">
        <v>2397</v>
      </c>
      <c r="B711" s="8" t="s">
        <v>2271</v>
      </c>
      <c r="H711" s="8" t="s">
        <v>2272</v>
      </c>
      <c r="I711" s="8" t="s">
        <v>2273</v>
      </c>
      <c r="J711" s="5">
        <v>100</v>
      </c>
      <c r="K711" s="5" t="s">
        <v>292</v>
      </c>
      <c r="L711" s="5" t="s">
        <v>767</v>
      </c>
      <c r="M711" s="5">
        <v>89</v>
      </c>
      <c r="N711" s="5" t="s">
        <v>43</v>
      </c>
      <c r="O711" s="5" t="s">
        <v>266</v>
      </c>
      <c r="Q711" s="5" t="s">
        <v>1323</v>
      </c>
    </row>
    <row r="712" spans="1:19" x14ac:dyDescent="0.2">
      <c r="A712" s="5">
        <v>2401</v>
      </c>
      <c r="B712" s="8" t="s">
        <v>2274</v>
      </c>
      <c r="H712" s="8" t="s">
        <v>2275</v>
      </c>
      <c r="I712" s="8" t="s">
        <v>2275</v>
      </c>
      <c r="J712" s="5">
        <v>50</v>
      </c>
      <c r="K712" s="5" t="s">
        <v>292</v>
      </c>
      <c r="L712" s="5" t="s">
        <v>767</v>
      </c>
      <c r="M712" s="5">
        <v>89</v>
      </c>
      <c r="N712" s="5" t="s">
        <v>43</v>
      </c>
      <c r="O712" s="5" t="s">
        <v>266</v>
      </c>
      <c r="Q712" s="5" t="s">
        <v>1323</v>
      </c>
      <c r="S712" s="5" t="s">
        <v>852</v>
      </c>
    </row>
    <row r="713" spans="1:19" x14ac:dyDescent="0.2">
      <c r="B713" s="8">
        <v>3913077</v>
      </c>
      <c r="H713" s="8" t="s">
        <v>2276</v>
      </c>
      <c r="I713" s="8" t="s">
        <v>2277</v>
      </c>
      <c r="J713" s="5">
        <v>14</v>
      </c>
      <c r="K713" s="5" t="s">
        <v>292</v>
      </c>
      <c r="L713" s="5" t="s">
        <v>767</v>
      </c>
      <c r="M713" s="5">
        <v>89</v>
      </c>
      <c r="N713" s="5" t="s">
        <v>43</v>
      </c>
      <c r="O713" s="5" t="s">
        <v>789</v>
      </c>
      <c r="S713" s="5" t="s">
        <v>328</v>
      </c>
    </row>
    <row r="714" spans="1:19" x14ac:dyDescent="0.2">
      <c r="A714" s="5">
        <v>570</v>
      </c>
      <c r="B714" s="11" t="s">
        <v>2278</v>
      </c>
      <c r="C714" s="11"/>
      <c r="D714" s="11"/>
      <c r="E714" s="26"/>
      <c r="F714" s="11"/>
      <c r="G714" s="11"/>
      <c r="H714" s="8" t="s">
        <v>2279</v>
      </c>
      <c r="I714" s="8" t="s">
        <v>2279</v>
      </c>
      <c r="J714" s="5">
        <v>55</v>
      </c>
      <c r="K714" s="5" t="s">
        <v>292</v>
      </c>
      <c r="L714" s="5" t="s">
        <v>767</v>
      </c>
      <c r="M714" s="5">
        <v>90</v>
      </c>
      <c r="N714" s="5" t="s">
        <v>43</v>
      </c>
      <c r="O714" s="5" t="s">
        <v>789</v>
      </c>
      <c r="Q714" s="10" t="s">
        <v>553</v>
      </c>
    </row>
    <row r="715" spans="1:19" x14ac:dyDescent="0.2">
      <c r="A715" s="5">
        <v>571</v>
      </c>
      <c r="B715" s="11" t="s">
        <v>2280</v>
      </c>
      <c r="C715" s="11"/>
      <c r="D715" s="11"/>
      <c r="E715" s="26"/>
      <c r="F715" s="11"/>
      <c r="G715" s="11"/>
      <c r="H715" s="8" t="s">
        <v>2281</v>
      </c>
      <c r="I715" s="8" t="s">
        <v>2281</v>
      </c>
      <c r="J715" s="5">
        <v>425</v>
      </c>
      <c r="K715" s="5" t="s">
        <v>292</v>
      </c>
      <c r="L715" s="5" t="s">
        <v>767</v>
      </c>
      <c r="M715" s="5">
        <v>91</v>
      </c>
      <c r="N715" s="5" t="s">
        <v>43</v>
      </c>
      <c r="O715" s="5" t="s">
        <v>789</v>
      </c>
      <c r="Q715" s="5" t="s">
        <v>2282</v>
      </c>
      <c r="S715" s="5" t="s">
        <v>328</v>
      </c>
    </row>
    <row r="716" spans="1:19" x14ac:dyDescent="0.2">
      <c r="A716" s="5">
        <v>572</v>
      </c>
      <c r="B716" s="8" t="s">
        <v>2283</v>
      </c>
      <c r="H716" s="8" t="s">
        <v>2284</v>
      </c>
      <c r="I716" s="8" t="s">
        <v>2284</v>
      </c>
      <c r="J716" s="5">
        <v>1</v>
      </c>
      <c r="K716" s="5" t="s">
        <v>292</v>
      </c>
      <c r="L716" s="5" t="s">
        <v>767</v>
      </c>
      <c r="M716" s="5">
        <v>92</v>
      </c>
      <c r="N716" s="5" t="s">
        <v>43</v>
      </c>
      <c r="O716" s="5" t="s">
        <v>789</v>
      </c>
      <c r="Q716" s="10" t="s">
        <v>553</v>
      </c>
      <c r="S716" s="5" t="s">
        <v>328</v>
      </c>
    </row>
    <row r="717" spans="1:19" x14ac:dyDescent="0.2">
      <c r="A717" s="5">
        <v>573</v>
      </c>
      <c r="B717" s="8" t="s">
        <v>2285</v>
      </c>
      <c r="H717" s="8" t="s">
        <v>2286</v>
      </c>
      <c r="I717" s="8" t="s">
        <v>2286</v>
      </c>
      <c r="J717" s="5">
        <v>4</v>
      </c>
      <c r="K717" s="5" t="s">
        <v>292</v>
      </c>
      <c r="L717" s="5" t="s">
        <v>767</v>
      </c>
      <c r="M717" s="5">
        <v>92</v>
      </c>
      <c r="N717" s="5" t="s">
        <v>43</v>
      </c>
      <c r="O717" s="5" t="s">
        <v>789</v>
      </c>
      <c r="Q717" s="33" t="s">
        <v>553</v>
      </c>
    </row>
    <row r="718" spans="1:19" x14ac:dyDescent="0.2">
      <c r="A718" s="5"/>
      <c r="B718" s="8" t="s">
        <v>2287</v>
      </c>
      <c r="H718" s="8" t="s">
        <v>2288</v>
      </c>
      <c r="I718" s="8" t="s">
        <v>2288</v>
      </c>
      <c r="J718" s="5">
        <f>10-10</f>
        <v>0</v>
      </c>
      <c r="K718" s="5" t="s">
        <v>292</v>
      </c>
      <c r="L718" s="5" t="s">
        <v>767</v>
      </c>
      <c r="M718" s="5">
        <v>92</v>
      </c>
      <c r="N718" s="5" t="s">
        <v>2289</v>
      </c>
      <c r="Q718" s="107" t="s">
        <v>2290</v>
      </c>
    </row>
    <row r="719" spans="1:19" x14ac:dyDescent="0.2">
      <c r="A719" s="5"/>
      <c r="B719" s="8" t="s">
        <v>2291</v>
      </c>
      <c r="H719" s="8" t="s">
        <v>2292</v>
      </c>
      <c r="I719" s="8" t="s">
        <v>2292</v>
      </c>
      <c r="J719" s="5">
        <f>3-1-1</f>
        <v>1</v>
      </c>
      <c r="K719" s="5" t="s">
        <v>292</v>
      </c>
      <c r="L719" s="5" t="s">
        <v>767</v>
      </c>
      <c r="M719" s="5">
        <v>92</v>
      </c>
      <c r="Q719" s="107"/>
      <c r="S719" s="5" t="s">
        <v>328</v>
      </c>
    </row>
    <row r="720" spans="1:19" x14ac:dyDescent="0.2">
      <c r="A720" s="5">
        <v>574</v>
      </c>
      <c r="B720" s="8" t="s">
        <v>2293</v>
      </c>
      <c r="H720" s="8" t="s">
        <v>2294</v>
      </c>
      <c r="I720" s="8" t="s">
        <v>2294</v>
      </c>
      <c r="J720" s="5">
        <v>0</v>
      </c>
      <c r="K720" s="5" t="s">
        <v>292</v>
      </c>
      <c r="L720" s="5" t="s">
        <v>767</v>
      </c>
      <c r="M720" s="5">
        <v>93</v>
      </c>
      <c r="N720" s="5" t="s">
        <v>43</v>
      </c>
      <c r="O720" s="5" t="s">
        <v>789</v>
      </c>
      <c r="Q720" s="10" t="s">
        <v>553</v>
      </c>
      <c r="S720" s="5" t="s">
        <v>328</v>
      </c>
    </row>
    <row r="721" spans="1:19" x14ac:dyDescent="0.2">
      <c r="A721" s="5">
        <v>575</v>
      </c>
      <c r="B721" s="8" t="s">
        <v>2295</v>
      </c>
      <c r="H721" s="8" t="s">
        <v>2296</v>
      </c>
      <c r="I721" s="8" t="s">
        <v>2296</v>
      </c>
      <c r="J721" s="5">
        <v>42</v>
      </c>
      <c r="K721" s="5" t="s">
        <v>292</v>
      </c>
      <c r="L721" s="5" t="s">
        <v>767</v>
      </c>
      <c r="M721" s="5">
        <v>93</v>
      </c>
      <c r="N721" s="5" t="s">
        <v>43</v>
      </c>
      <c r="O721" s="5" t="s">
        <v>789</v>
      </c>
      <c r="Q721" s="10" t="s">
        <v>553</v>
      </c>
      <c r="S721" s="5" t="s">
        <v>328</v>
      </c>
    </row>
    <row r="722" spans="1:19" x14ac:dyDescent="0.2">
      <c r="A722" s="5">
        <v>576</v>
      </c>
      <c r="B722" s="8" t="s">
        <v>2297</v>
      </c>
      <c r="H722" s="8" t="s">
        <v>2298</v>
      </c>
      <c r="I722" s="8" t="s">
        <v>2298</v>
      </c>
      <c r="J722" s="5">
        <v>28</v>
      </c>
      <c r="K722" s="5" t="s">
        <v>292</v>
      </c>
      <c r="L722" s="5" t="s">
        <v>767</v>
      </c>
      <c r="M722" s="5">
        <v>93</v>
      </c>
      <c r="N722" s="5" t="s">
        <v>43</v>
      </c>
      <c r="O722" s="5" t="s">
        <v>789</v>
      </c>
      <c r="Q722" s="35" t="s">
        <v>553</v>
      </c>
      <c r="S722" s="5" t="s">
        <v>328</v>
      </c>
    </row>
    <row r="723" spans="1:19" x14ac:dyDescent="0.2">
      <c r="A723" s="5">
        <v>577</v>
      </c>
      <c r="B723" s="8" t="s">
        <v>2299</v>
      </c>
      <c r="H723" s="8" t="s">
        <v>2300</v>
      </c>
      <c r="I723" s="8" t="s">
        <v>2300</v>
      </c>
      <c r="J723" s="5">
        <v>8</v>
      </c>
      <c r="K723" s="5" t="s">
        <v>292</v>
      </c>
      <c r="L723" s="5" t="s">
        <v>767</v>
      </c>
      <c r="M723" s="5">
        <v>93</v>
      </c>
      <c r="N723" s="5" t="s">
        <v>43</v>
      </c>
      <c r="O723" s="5" t="s">
        <v>789</v>
      </c>
      <c r="Q723" s="10" t="s">
        <v>553</v>
      </c>
      <c r="S723" s="5" t="s">
        <v>328</v>
      </c>
    </row>
    <row r="724" spans="1:19" x14ac:dyDescent="0.2">
      <c r="A724" s="5">
        <v>578</v>
      </c>
      <c r="B724" s="8" t="s">
        <v>2301</v>
      </c>
      <c r="H724" s="8" t="s">
        <v>2294</v>
      </c>
      <c r="I724" s="8" t="s">
        <v>2294</v>
      </c>
      <c r="J724" s="5">
        <v>10</v>
      </c>
      <c r="K724" s="5" t="s">
        <v>292</v>
      </c>
      <c r="L724" s="5" t="s">
        <v>767</v>
      </c>
      <c r="M724" s="5">
        <v>93</v>
      </c>
      <c r="N724" s="5" t="s">
        <v>43</v>
      </c>
      <c r="O724" s="5" t="s">
        <v>789</v>
      </c>
      <c r="Q724" s="35" t="s">
        <v>553</v>
      </c>
      <c r="S724" s="5" t="s">
        <v>328</v>
      </c>
    </row>
    <row r="725" spans="1:19" x14ac:dyDescent="0.2">
      <c r="A725" s="5">
        <v>579</v>
      </c>
      <c r="B725" s="8" t="s">
        <v>2302</v>
      </c>
      <c r="H725" s="8" t="s">
        <v>2303</v>
      </c>
      <c r="I725" s="8" t="s">
        <v>2303</v>
      </c>
      <c r="J725" s="5">
        <v>20</v>
      </c>
      <c r="K725" s="5" t="s">
        <v>292</v>
      </c>
      <c r="L725" s="5" t="s">
        <v>767</v>
      </c>
      <c r="M725" s="5">
        <v>93</v>
      </c>
      <c r="N725" s="5" t="s">
        <v>43</v>
      </c>
      <c r="O725" s="5" t="s">
        <v>789</v>
      </c>
      <c r="Q725" s="10" t="s">
        <v>553</v>
      </c>
      <c r="S725" s="5" t="s">
        <v>328</v>
      </c>
    </row>
    <row r="726" spans="1:19" x14ac:dyDescent="0.2">
      <c r="A726" s="5">
        <v>580</v>
      </c>
      <c r="B726" s="8" t="s">
        <v>2304</v>
      </c>
      <c r="H726" s="8" t="s">
        <v>2298</v>
      </c>
      <c r="I726" s="8" t="s">
        <v>2298</v>
      </c>
      <c r="J726" s="5">
        <v>3</v>
      </c>
      <c r="K726" s="5" t="s">
        <v>292</v>
      </c>
      <c r="L726" s="5" t="s">
        <v>767</v>
      </c>
      <c r="M726" s="5">
        <v>93</v>
      </c>
      <c r="N726" s="5" t="s">
        <v>43</v>
      </c>
      <c r="O726" s="5" t="s">
        <v>789</v>
      </c>
      <c r="Q726" s="10" t="s">
        <v>553</v>
      </c>
    </row>
    <row r="727" spans="1:19" x14ac:dyDescent="0.2">
      <c r="A727" s="5"/>
      <c r="B727" s="11" t="s">
        <v>1699</v>
      </c>
      <c r="H727" s="8" t="s">
        <v>1702</v>
      </c>
      <c r="I727" s="8" t="s">
        <v>1702</v>
      </c>
      <c r="J727" s="5">
        <f>1+48+200-245-4+15-15</f>
        <v>0</v>
      </c>
      <c r="K727" s="5" t="s">
        <v>292</v>
      </c>
      <c r="L727" s="5" t="s">
        <v>767</v>
      </c>
      <c r="M727" s="5">
        <v>93</v>
      </c>
      <c r="N727" s="5" t="s">
        <v>43</v>
      </c>
      <c r="Q727" s="107" t="s">
        <v>2305</v>
      </c>
    </row>
    <row r="728" spans="1:19" x14ac:dyDescent="0.2">
      <c r="A728" s="5">
        <v>586</v>
      </c>
      <c r="B728" s="8">
        <v>110740</v>
      </c>
      <c r="H728" s="8" t="s">
        <v>2306</v>
      </c>
      <c r="I728" s="8" t="s">
        <v>2306</v>
      </c>
      <c r="J728" s="5">
        <v>2</v>
      </c>
      <c r="K728" s="5" t="s">
        <v>292</v>
      </c>
      <c r="L728" s="5" t="s">
        <v>767</v>
      </c>
      <c r="M728" s="5">
        <v>94</v>
      </c>
      <c r="N728" s="5" t="s">
        <v>43</v>
      </c>
      <c r="O728" s="5" t="s">
        <v>789</v>
      </c>
      <c r="Q728" s="107" t="s">
        <v>1599</v>
      </c>
      <c r="S728" s="5" t="s">
        <v>328</v>
      </c>
    </row>
    <row r="729" spans="1:19" x14ac:dyDescent="0.2">
      <c r="A729" s="5">
        <v>587</v>
      </c>
      <c r="B729" s="8" t="s">
        <v>1048</v>
      </c>
      <c r="H729" s="8" t="s">
        <v>1050</v>
      </c>
      <c r="I729" s="8" t="s">
        <v>1050</v>
      </c>
      <c r="J729" s="5">
        <v>0</v>
      </c>
      <c r="K729" s="5" t="s">
        <v>292</v>
      </c>
      <c r="L729" s="5" t="s">
        <v>767</v>
      </c>
      <c r="M729" s="5">
        <v>94</v>
      </c>
      <c r="N729" s="5" t="s">
        <v>1021</v>
      </c>
      <c r="O729" s="5" t="s">
        <v>789</v>
      </c>
      <c r="Q729" s="10" t="s">
        <v>553</v>
      </c>
      <c r="S729" s="5" t="s">
        <v>328</v>
      </c>
    </row>
    <row r="730" spans="1:19" x14ac:dyDescent="0.2">
      <c r="A730" s="5">
        <v>588</v>
      </c>
      <c r="B730" s="8" t="s">
        <v>2307</v>
      </c>
      <c r="H730" s="8" t="s">
        <v>2308</v>
      </c>
      <c r="I730" s="8" t="s">
        <v>2308</v>
      </c>
      <c r="J730" s="5">
        <v>60</v>
      </c>
      <c r="K730" s="5" t="s">
        <v>292</v>
      </c>
      <c r="L730" s="5" t="s">
        <v>767</v>
      </c>
      <c r="M730" s="5">
        <v>94</v>
      </c>
      <c r="N730" s="5" t="s">
        <v>1021</v>
      </c>
      <c r="O730" s="5" t="s">
        <v>789</v>
      </c>
      <c r="Q730" s="10" t="s">
        <v>553</v>
      </c>
    </row>
    <row r="731" spans="1:19" x14ac:dyDescent="0.2">
      <c r="A731" s="5">
        <v>589</v>
      </c>
      <c r="B731" s="8" t="s">
        <v>2309</v>
      </c>
      <c r="H731" s="11" t="s">
        <v>2310</v>
      </c>
      <c r="I731" s="8" t="s">
        <v>2310</v>
      </c>
      <c r="J731" s="5">
        <v>72</v>
      </c>
      <c r="K731" s="5" t="s">
        <v>292</v>
      </c>
      <c r="L731" s="5" t="s">
        <v>767</v>
      </c>
      <c r="M731" s="5">
        <v>94</v>
      </c>
      <c r="N731" s="5" t="s">
        <v>1021</v>
      </c>
      <c r="O731" s="5" t="s">
        <v>789</v>
      </c>
      <c r="Q731" s="5" t="s">
        <v>2311</v>
      </c>
    </row>
    <row r="732" spans="1:19" x14ac:dyDescent="0.2">
      <c r="A732" s="5">
        <v>590</v>
      </c>
      <c r="B732" s="8" t="s">
        <v>2312</v>
      </c>
      <c r="H732" s="8" t="s">
        <v>2313</v>
      </c>
      <c r="I732" s="8" t="s">
        <v>2313</v>
      </c>
      <c r="J732" s="5">
        <f>4-2-1+1-2+9-2-1-1-1-2</f>
        <v>2</v>
      </c>
      <c r="K732" s="5" t="s">
        <v>292</v>
      </c>
      <c r="L732" s="5" t="s">
        <v>767</v>
      </c>
      <c r="M732" s="5">
        <v>95</v>
      </c>
      <c r="N732" s="5" t="s">
        <v>43</v>
      </c>
      <c r="O732" s="5" t="s">
        <v>789</v>
      </c>
      <c r="Q732" s="107" t="s">
        <v>2314</v>
      </c>
    </row>
    <row r="733" spans="1:19" x14ac:dyDescent="0.2">
      <c r="A733" s="5">
        <v>591</v>
      </c>
      <c r="B733" s="8" t="s">
        <v>2315</v>
      </c>
      <c r="H733" s="8" t="s">
        <v>2316</v>
      </c>
      <c r="I733" s="8" t="s">
        <v>2316</v>
      </c>
      <c r="J733" s="5">
        <f>1+3-2-2+9-1-1-1-1-4</f>
        <v>1</v>
      </c>
      <c r="K733" s="5" t="s">
        <v>292</v>
      </c>
      <c r="L733" s="5" t="s">
        <v>767</v>
      </c>
      <c r="M733" s="5">
        <v>95</v>
      </c>
      <c r="N733" s="5" t="s">
        <v>43</v>
      </c>
      <c r="O733" s="5" t="s">
        <v>789</v>
      </c>
      <c r="Q733" s="107" t="s">
        <v>2314</v>
      </c>
    </row>
    <row r="734" spans="1:19" x14ac:dyDescent="0.2">
      <c r="A734" s="5"/>
      <c r="B734" s="8" t="s">
        <v>2317</v>
      </c>
      <c r="H734" s="8" t="s">
        <v>2318</v>
      </c>
      <c r="I734" s="8" t="s">
        <v>2318</v>
      </c>
      <c r="J734" s="5">
        <f>4</f>
        <v>4</v>
      </c>
      <c r="K734" s="5" t="s">
        <v>292</v>
      </c>
      <c r="L734" s="5" t="s">
        <v>767</v>
      </c>
      <c r="M734" s="5">
        <v>95</v>
      </c>
      <c r="N734" s="5" t="s">
        <v>43</v>
      </c>
      <c r="O734" s="5" t="s">
        <v>789</v>
      </c>
      <c r="Q734" s="107" t="s">
        <v>2314</v>
      </c>
    </row>
    <row r="735" spans="1:19" x14ac:dyDescent="0.2">
      <c r="A735" s="5">
        <v>592</v>
      </c>
      <c r="B735" s="8" t="s">
        <v>2319</v>
      </c>
      <c r="H735" s="8" t="s">
        <v>2320</v>
      </c>
      <c r="I735" s="8" t="s">
        <v>2320</v>
      </c>
      <c r="J735" s="5">
        <f>19-2+95-20+6-20-2</f>
        <v>76</v>
      </c>
      <c r="K735" s="5" t="s">
        <v>292</v>
      </c>
      <c r="L735" s="5" t="s">
        <v>767</v>
      </c>
      <c r="M735" s="5">
        <v>96</v>
      </c>
      <c r="N735" s="5" t="s">
        <v>1021</v>
      </c>
      <c r="O735" s="5" t="s">
        <v>789</v>
      </c>
      <c r="Q735" s="5" t="s">
        <v>2321</v>
      </c>
    </row>
    <row r="736" spans="1:19" x14ac:dyDescent="0.2">
      <c r="A736" s="5">
        <v>593</v>
      </c>
      <c r="B736" s="8" t="s">
        <v>2322</v>
      </c>
      <c r="C736" s="8" t="s">
        <v>2323</v>
      </c>
      <c r="D736" s="8" t="s">
        <v>2324</v>
      </c>
      <c r="E736" s="24">
        <v>43959</v>
      </c>
      <c r="F736" s="8" t="s">
        <v>2325</v>
      </c>
      <c r="G736" s="8" t="s">
        <v>276</v>
      </c>
      <c r="H736" s="8" t="s">
        <v>2326</v>
      </c>
      <c r="I736" s="8" t="s">
        <v>2326</v>
      </c>
      <c r="J736" s="5">
        <v>7</v>
      </c>
      <c r="K736" s="5" t="s">
        <v>292</v>
      </c>
      <c r="L736" s="5" t="s">
        <v>767</v>
      </c>
      <c r="M736" s="5">
        <v>96</v>
      </c>
      <c r="N736" s="5" t="s">
        <v>1021</v>
      </c>
      <c r="O736" s="5" t="s">
        <v>789</v>
      </c>
      <c r="Q736" s="5" t="s">
        <v>2327</v>
      </c>
    </row>
    <row r="737" spans="1:19" x14ac:dyDescent="0.2">
      <c r="A737" s="5">
        <v>594</v>
      </c>
      <c r="B737" s="11" t="s">
        <v>2328</v>
      </c>
      <c r="C737" s="11"/>
      <c r="D737" s="11"/>
      <c r="E737" s="26"/>
      <c r="F737" s="11"/>
      <c r="G737" s="11"/>
      <c r="H737" s="8" t="s">
        <v>2329</v>
      </c>
      <c r="I737" s="8" t="s">
        <v>2329</v>
      </c>
      <c r="J737" s="5">
        <f>36-2+5-1-1</f>
        <v>37</v>
      </c>
      <c r="K737" s="5" t="s">
        <v>292</v>
      </c>
      <c r="L737" s="5" t="s">
        <v>767</v>
      </c>
      <c r="M737" s="5">
        <v>96</v>
      </c>
      <c r="N737" s="5" t="s">
        <v>1021</v>
      </c>
      <c r="O737" s="5" t="s">
        <v>789</v>
      </c>
      <c r="Q737" s="5" t="s">
        <v>2330</v>
      </c>
    </row>
    <row r="738" spans="1:19" x14ac:dyDescent="0.2">
      <c r="A738" s="5">
        <v>595</v>
      </c>
      <c r="B738" s="8" t="s">
        <v>2331</v>
      </c>
      <c r="H738" s="8" t="s">
        <v>2332</v>
      </c>
      <c r="I738" s="8" t="s">
        <v>2332</v>
      </c>
      <c r="J738" s="5">
        <f>366-15</f>
        <v>351</v>
      </c>
      <c r="K738" s="5" t="s">
        <v>292</v>
      </c>
      <c r="L738" s="5" t="s">
        <v>767</v>
      </c>
      <c r="M738" s="5">
        <v>96</v>
      </c>
      <c r="N738" s="5" t="s">
        <v>1021</v>
      </c>
      <c r="O738" s="5" t="s">
        <v>789</v>
      </c>
      <c r="Q738" s="5" t="s">
        <v>2333</v>
      </c>
      <c r="S738" s="5" t="s">
        <v>328</v>
      </c>
    </row>
    <row r="739" spans="1:19" x14ac:dyDescent="0.2">
      <c r="A739" s="5">
        <v>598</v>
      </c>
      <c r="B739" s="8" t="s">
        <v>2334</v>
      </c>
      <c r="H739" s="8" t="s">
        <v>2335</v>
      </c>
      <c r="I739" s="8" t="s">
        <v>2335</v>
      </c>
      <c r="J739" s="5">
        <v>92</v>
      </c>
      <c r="K739" s="5" t="s">
        <v>292</v>
      </c>
      <c r="L739" s="5" t="s">
        <v>767</v>
      </c>
      <c r="M739" s="5">
        <v>96</v>
      </c>
      <c r="N739" s="5" t="s">
        <v>1021</v>
      </c>
      <c r="O739" s="5" t="s">
        <v>789</v>
      </c>
      <c r="Q739" s="10" t="s">
        <v>553</v>
      </c>
      <c r="S739" s="5" t="s">
        <v>328</v>
      </c>
    </row>
    <row r="740" spans="1:19" x14ac:dyDescent="0.2">
      <c r="A740" s="5">
        <v>596</v>
      </c>
      <c r="B740" s="8" t="s">
        <v>2336</v>
      </c>
      <c r="H740" s="8" t="s">
        <v>2337</v>
      </c>
      <c r="I740" s="8" t="s">
        <v>2337</v>
      </c>
      <c r="J740" s="5">
        <v>112</v>
      </c>
      <c r="K740" s="5" t="s">
        <v>292</v>
      </c>
      <c r="L740" s="5" t="s">
        <v>767</v>
      </c>
      <c r="M740" s="5">
        <v>97</v>
      </c>
      <c r="N740" s="5" t="s">
        <v>43</v>
      </c>
      <c r="O740" s="5" t="s">
        <v>789</v>
      </c>
      <c r="Q740" s="10" t="s">
        <v>553</v>
      </c>
    </row>
    <row r="741" spans="1:19" x14ac:dyDescent="0.2">
      <c r="A741" s="5"/>
      <c r="B741" s="8" t="s">
        <v>2338</v>
      </c>
      <c r="H741" s="8" t="s">
        <v>2339</v>
      </c>
      <c r="I741" s="8" t="s">
        <v>2339</v>
      </c>
      <c r="J741" s="5">
        <v>9</v>
      </c>
      <c r="K741" s="5" t="s">
        <v>292</v>
      </c>
      <c r="L741" s="5" t="s">
        <v>767</v>
      </c>
      <c r="M741" s="5">
        <v>97</v>
      </c>
      <c r="S741" s="5" t="s">
        <v>328</v>
      </c>
    </row>
    <row r="742" spans="1:19" x14ac:dyDescent="0.2">
      <c r="A742" s="5">
        <v>810</v>
      </c>
      <c r="B742" s="8" t="s">
        <v>2340</v>
      </c>
      <c r="H742" s="8" t="s">
        <v>2341</v>
      </c>
      <c r="I742" s="8" t="s">
        <v>2341</v>
      </c>
      <c r="J742" s="5">
        <v>194</v>
      </c>
      <c r="K742" s="5" t="s">
        <v>292</v>
      </c>
      <c r="L742" s="5" t="s">
        <v>767</v>
      </c>
      <c r="M742" s="5">
        <v>98</v>
      </c>
      <c r="N742" s="5" t="s">
        <v>1021</v>
      </c>
      <c r="O742" s="5" t="s">
        <v>789</v>
      </c>
      <c r="Q742" s="10" t="s">
        <v>553</v>
      </c>
      <c r="S742" s="5" t="s">
        <v>328</v>
      </c>
    </row>
    <row r="743" spans="1:19" x14ac:dyDescent="0.2">
      <c r="A743" s="5">
        <v>597</v>
      </c>
      <c r="B743" s="8" t="s">
        <v>2342</v>
      </c>
      <c r="H743" s="8" t="s">
        <v>2343</v>
      </c>
      <c r="I743" s="8" t="s">
        <v>2343</v>
      </c>
      <c r="J743" s="5">
        <v>5</v>
      </c>
      <c r="K743" s="5" t="s">
        <v>292</v>
      </c>
      <c r="L743" s="5" t="s">
        <v>767</v>
      </c>
      <c r="M743" s="5">
        <v>99</v>
      </c>
      <c r="N743" s="5" t="s">
        <v>2344</v>
      </c>
      <c r="O743" s="5" t="s">
        <v>789</v>
      </c>
      <c r="Q743" s="10" t="s">
        <v>553</v>
      </c>
    </row>
    <row r="744" spans="1:19" x14ac:dyDescent="0.2">
      <c r="A744" s="5">
        <v>363</v>
      </c>
      <c r="B744" s="8" t="s">
        <v>2345</v>
      </c>
      <c r="H744" s="8" t="s">
        <v>2346</v>
      </c>
      <c r="I744" s="8" t="s">
        <v>2347</v>
      </c>
      <c r="J744" s="5">
        <f>44-10-1-2-5</f>
        <v>26</v>
      </c>
      <c r="K744" s="5" t="s">
        <v>292</v>
      </c>
      <c r="L744" s="5" t="s">
        <v>767</v>
      </c>
      <c r="M744" s="5">
        <v>100</v>
      </c>
      <c r="N744" s="5" t="s">
        <v>43</v>
      </c>
      <c r="O744" s="5" t="s">
        <v>266</v>
      </c>
      <c r="Q744" s="5" t="s">
        <v>2348</v>
      </c>
    </row>
    <row r="745" spans="1:19" x14ac:dyDescent="0.2">
      <c r="A745" s="5">
        <v>599</v>
      </c>
      <c r="B745" s="8" t="s">
        <v>2349</v>
      </c>
      <c r="H745" s="8" t="s">
        <v>2232</v>
      </c>
      <c r="I745" s="8" t="s">
        <v>2350</v>
      </c>
      <c r="J745" s="5">
        <f>141-2-2-2-6-2-2-2-2-2-2+10-1-10-1</f>
        <v>115</v>
      </c>
      <c r="K745" s="5" t="s">
        <v>292</v>
      </c>
      <c r="L745" s="5" t="s">
        <v>767</v>
      </c>
      <c r="M745" s="5">
        <v>100</v>
      </c>
      <c r="N745" s="5" t="s">
        <v>43</v>
      </c>
      <c r="O745" s="5" t="s">
        <v>789</v>
      </c>
      <c r="Q745" s="5" t="s">
        <v>2351</v>
      </c>
    </row>
    <row r="746" spans="1:19" x14ac:dyDescent="0.2">
      <c r="A746" s="5">
        <v>601</v>
      </c>
      <c r="B746" s="8" t="s">
        <v>2352</v>
      </c>
      <c r="H746" s="8" t="s">
        <v>2353</v>
      </c>
      <c r="I746" s="8" t="s">
        <v>2353</v>
      </c>
      <c r="J746" s="5">
        <f>174-2-2-2-2-1+2-6-2-2-2-2-1</f>
        <v>152</v>
      </c>
      <c r="K746" s="5" t="s">
        <v>292</v>
      </c>
      <c r="L746" s="5" t="s">
        <v>767</v>
      </c>
      <c r="M746" s="5">
        <v>100</v>
      </c>
      <c r="N746" s="5" t="s">
        <v>43</v>
      </c>
      <c r="O746" s="5" t="s">
        <v>789</v>
      </c>
      <c r="Q746" s="5" t="s">
        <v>2354</v>
      </c>
      <c r="S746" s="5" t="s">
        <v>328</v>
      </c>
    </row>
    <row r="747" spans="1:19" x14ac:dyDescent="0.2">
      <c r="A747" s="5">
        <v>603</v>
      </c>
      <c r="B747" s="8" t="s">
        <v>2355</v>
      </c>
      <c r="C747" s="8" t="s">
        <v>2356</v>
      </c>
      <c r="D747" s="8" t="s">
        <v>1224</v>
      </c>
      <c r="E747" s="24">
        <v>43675</v>
      </c>
      <c r="F747" s="8" t="s">
        <v>259</v>
      </c>
      <c r="G747" s="8" t="s">
        <v>260</v>
      </c>
      <c r="H747" s="8" t="s">
        <v>2357</v>
      </c>
      <c r="I747" s="8" t="s">
        <v>2358</v>
      </c>
      <c r="J747" s="5">
        <f>30-3+25-3-3-6-2-2-22-9-3+10-1</f>
        <v>11</v>
      </c>
      <c r="K747" s="5" t="s">
        <v>292</v>
      </c>
      <c r="L747" s="5" t="s">
        <v>767</v>
      </c>
      <c r="M747" s="5">
        <v>101</v>
      </c>
      <c r="N747" s="5" t="s">
        <v>43</v>
      </c>
      <c r="O747" s="5" t="s">
        <v>789</v>
      </c>
      <c r="Q747" s="5" t="s">
        <v>1851</v>
      </c>
    </row>
    <row r="748" spans="1:19" x14ac:dyDescent="0.2">
      <c r="A748" s="5">
        <v>604</v>
      </c>
      <c r="B748" s="8" t="s">
        <v>2359</v>
      </c>
      <c r="H748" s="8" t="s">
        <v>2360</v>
      </c>
      <c r="I748" s="8" t="s">
        <v>2361</v>
      </c>
      <c r="J748" s="5">
        <v>8</v>
      </c>
      <c r="K748" s="5" t="s">
        <v>292</v>
      </c>
      <c r="L748" s="5" t="s">
        <v>767</v>
      </c>
      <c r="M748" s="5">
        <v>101</v>
      </c>
      <c r="N748" s="5" t="s">
        <v>43</v>
      </c>
      <c r="O748" s="5" t="s">
        <v>789</v>
      </c>
      <c r="Q748" s="5" t="s">
        <v>2327</v>
      </c>
    </row>
    <row r="749" spans="1:19" x14ac:dyDescent="0.2">
      <c r="A749" s="5"/>
      <c r="B749" s="8" t="s">
        <v>2362</v>
      </c>
      <c r="H749" s="8" t="s">
        <v>2363</v>
      </c>
      <c r="I749" s="8" t="s">
        <v>2364</v>
      </c>
      <c r="J749" s="5">
        <f>64</f>
        <v>64</v>
      </c>
      <c r="K749" s="5" t="s">
        <v>292</v>
      </c>
      <c r="L749" s="5" t="s">
        <v>767</v>
      </c>
      <c r="M749" s="5">
        <v>101</v>
      </c>
      <c r="N749" s="5" t="s">
        <v>43</v>
      </c>
    </row>
    <row r="750" spans="1:19" x14ac:dyDescent="0.2">
      <c r="A750" s="5">
        <v>606</v>
      </c>
      <c r="B750" s="8" t="s">
        <v>2365</v>
      </c>
      <c r="H750" s="8" t="s">
        <v>2363</v>
      </c>
      <c r="I750" s="8" t="s">
        <v>2366</v>
      </c>
      <c r="J750" s="5">
        <v>116</v>
      </c>
      <c r="K750" s="5" t="s">
        <v>292</v>
      </c>
      <c r="L750" s="5" t="s">
        <v>767</v>
      </c>
      <c r="M750" s="5">
        <v>101</v>
      </c>
      <c r="N750" s="5" t="s">
        <v>43</v>
      </c>
      <c r="O750" s="5" t="s">
        <v>789</v>
      </c>
      <c r="Q750" s="10" t="s">
        <v>553</v>
      </c>
      <c r="S750" s="5" t="s">
        <v>328</v>
      </c>
    </row>
    <row r="751" spans="1:19" x14ac:dyDescent="0.2">
      <c r="A751" s="5"/>
      <c r="B751" s="8" t="s">
        <v>2356</v>
      </c>
      <c r="H751" s="8" t="s">
        <v>2367</v>
      </c>
      <c r="I751" s="8" t="s">
        <v>2368</v>
      </c>
      <c r="J751" s="5">
        <f>52-3-3-6-2-2-22-3-8</f>
        <v>3</v>
      </c>
      <c r="K751" s="5" t="s">
        <v>292</v>
      </c>
      <c r="L751" s="5" t="s">
        <v>767</v>
      </c>
      <c r="M751" s="5">
        <v>101</v>
      </c>
      <c r="N751" s="5" t="s">
        <v>43</v>
      </c>
      <c r="Q751" s="107" t="s">
        <v>2369</v>
      </c>
    </row>
    <row r="752" spans="1:19" x14ac:dyDescent="0.2">
      <c r="A752" s="5">
        <v>608</v>
      </c>
      <c r="B752" s="8" t="s">
        <v>2370</v>
      </c>
      <c r="H752" s="8" t="s">
        <v>2371</v>
      </c>
      <c r="I752" s="8" t="s">
        <v>2372</v>
      </c>
      <c r="J752" s="5">
        <f>252+2</f>
        <v>254</v>
      </c>
      <c r="K752" s="5" t="s">
        <v>292</v>
      </c>
      <c r="L752" s="5" t="s">
        <v>767</v>
      </c>
      <c r="M752" s="5">
        <v>101</v>
      </c>
      <c r="N752" s="5" t="s">
        <v>43</v>
      </c>
      <c r="O752" s="5" t="s">
        <v>789</v>
      </c>
      <c r="Q752" s="10" t="s">
        <v>553</v>
      </c>
      <c r="S752" s="5" t="s">
        <v>328</v>
      </c>
    </row>
    <row r="753" spans="1:19" x14ac:dyDescent="0.2">
      <c r="A753" s="5">
        <v>609</v>
      </c>
      <c r="B753" s="8" t="s">
        <v>2373</v>
      </c>
      <c r="H753" s="8" t="s">
        <v>2373</v>
      </c>
      <c r="I753" s="8" t="s">
        <v>2374</v>
      </c>
      <c r="J753" s="5">
        <v>98</v>
      </c>
      <c r="K753" s="5" t="s">
        <v>292</v>
      </c>
      <c r="L753" s="5" t="s">
        <v>767</v>
      </c>
      <c r="M753" s="5">
        <v>101</v>
      </c>
      <c r="N753" s="5" t="s">
        <v>43</v>
      </c>
      <c r="O753" s="5" t="s">
        <v>789</v>
      </c>
      <c r="Q753" s="10" t="s">
        <v>553</v>
      </c>
    </row>
    <row r="754" spans="1:19" x14ac:dyDescent="0.2">
      <c r="A754" s="5">
        <v>610</v>
      </c>
      <c r="B754" s="8" t="s">
        <v>2375</v>
      </c>
      <c r="C754" s="8" t="s">
        <v>2376</v>
      </c>
      <c r="D754" s="8" t="s">
        <v>2377</v>
      </c>
      <c r="E754" s="24">
        <v>43671</v>
      </c>
      <c r="F754" s="8" t="s">
        <v>259</v>
      </c>
      <c r="G754" s="8" t="s">
        <v>276</v>
      </c>
      <c r="H754" s="8" t="s">
        <v>2378</v>
      </c>
      <c r="I754" s="8" t="s">
        <v>2379</v>
      </c>
      <c r="J754" s="5">
        <f>136-6-3-2-10-3-10-8-1-1-5+1-8-1</f>
        <v>79</v>
      </c>
      <c r="K754" s="5" t="s">
        <v>292</v>
      </c>
      <c r="L754" s="5" t="s">
        <v>767</v>
      </c>
      <c r="M754" s="5">
        <v>101</v>
      </c>
      <c r="N754" s="5" t="s">
        <v>43</v>
      </c>
      <c r="O754" s="5" t="s">
        <v>789</v>
      </c>
      <c r="Q754" s="5" t="s">
        <v>2380</v>
      </c>
    </row>
    <row r="755" spans="1:19" x14ac:dyDescent="0.2">
      <c r="A755" s="5"/>
      <c r="B755" s="8" t="s">
        <v>2381</v>
      </c>
      <c r="I755" s="8" t="s">
        <v>2382</v>
      </c>
      <c r="J755" s="5">
        <f>30-1</f>
        <v>29</v>
      </c>
      <c r="K755" s="5" t="s">
        <v>292</v>
      </c>
      <c r="L755" s="5" t="s">
        <v>767</v>
      </c>
      <c r="M755" s="5">
        <v>101</v>
      </c>
    </row>
    <row r="756" spans="1:19" x14ac:dyDescent="0.2">
      <c r="A756" s="5">
        <v>607</v>
      </c>
      <c r="B756" s="8" t="s">
        <v>2383</v>
      </c>
      <c r="H756" s="8" t="s">
        <v>2383</v>
      </c>
      <c r="I756" s="8" t="s">
        <v>2384</v>
      </c>
      <c r="J756" s="5">
        <v>100</v>
      </c>
      <c r="K756" s="5" t="s">
        <v>292</v>
      </c>
      <c r="L756" s="5" t="s">
        <v>767</v>
      </c>
      <c r="M756" s="5">
        <v>101</v>
      </c>
      <c r="N756" s="5" t="s">
        <v>43</v>
      </c>
      <c r="O756" s="5" t="s">
        <v>789</v>
      </c>
      <c r="Q756" s="10" t="s">
        <v>553</v>
      </c>
      <c r="S756" s="5" t="s">
        <v>328</v>
      </c>
    </row>
    <row r="757" spans="1:19" x14ac:dyDescent="0.2">
      <c r="A757" s="5">
        <v>289</v>
      </c>
      <c r="B757" s="8" t="s">
        <v>2385</v>
      </c>
      <c r="H757" s="8" t="s">
        <v>2386</v>
      </c>
      <c r="I757" s="8" t="s">
        <v>2387</v>
      </c>
      <c r="J757" s="5">
        <f>57-3-3-3-2-22</f>
        <v>24</v>
      </c>
      <c r="K757" s="5" t="s">
        <v>292</v>
      </c>
      <c r="L757" s="5" t="s">
        <v>767</v>
      </c>
      <c r="M757" s="5">
        <v>101</v>
      </c>
      <c r="N757" s="5" t="s">
        <v>408</v>
      </c>
      <c r="O757" s="5" t="s">
        <v>520</v>
      </c>
      <c r="Q757" s="5" t="s">
        <v>2388</v>
      </c>
    </row>
    <row r="758" spans="1:19" x14ac:dyDescent="0.2">
      <c r="A758" s="5">
        <v>605</v>
      </c>
      <c r="B758" s="8" t="s">
        <v>2389</v>
      </c>
      <c r="C758" s="8" t="s">
        <v>2389</v>
      </c>
      <c r="D758" s="8" t="s">
        <v>1242</v>
      </c>
      <c r="E758" s="24">
        <v>43671</v>
      </c>
      <c r="F758" s="8" t="s">
        <v>259</v>
      </c>
      <c r="G758" s="8" t="s">
        <v>276</v>
      </c>
      <c r="H758" s="8" t="s">
        <v>2390</v>
      </c>
      <c r="I758" s="8" t="s">
        <v>2391</v>
      </c>
      <c r="J758" s="5">
        <f>15-3-3-6+61-3-2-3-5-8-2-8-1</f>
        <v>32</v>
      </c>
      <c r="K758" s="5" t="s">
        <v>292</v>
      </c>
      <c r="L758" s="5" t="s">
        <v>767</v>
      </c>
      <c r="M758" s="5">
        <v>101</v>
      </c>
      <c r="N758" s="5" t="s">
        <v>43</v>
      </c>
      <c r="O758" s="5" t="s">
        <v>789</v>
      </c>
      <c r="Q758" s="5" t="s">
        <v>2392</v>
      </c>
      <c r="S758" s="5" t="s">
        <v>328</v>
      </c>
    </row>
    <row r="759" spans="1:19" x14ac:dyDescent="0.2">
      <c r="A759" s="5">
        <v>403</v>
      </c>
      <c r="B759" s="8">
        <v>61205023021</v>
      </c>
      <c r="C759" s="8">
        <v>61205023021</v>
      </c>
      <c r="D759" s="8" t="s">
        <v>1025</v>
      </c>
      <c r="E759" s="24">
        <v>43673</v>
      </c>
      <c r="F759" s="8" t="s">
        <v>259</v>
      </c>
      <c r="G759" s="8" t="s">
        <v>276</v>
      </c>
      <c r="H759" s="8" t="s">
        <v>2393</v>
      </c>
      <c r="I759" s="8" t="s">
        <v>2394</v>
      </c>
      <c r="J759" s="5">
        <f>98+200-6-12+6-12-12-2-2-2+300-4-4-44-4-2+141-3-147-10-5-8-10-1-2-8-2-8</f>
        <v>435</v>
      </c>
      <c r="K759" s="5" t="s">
        <v>292</v>
      </c>
      <c r="L759" s="5" t="s">
        <v>767</v>
      </c>
      <c r="M759" s="5">
        <v>102</v>
      </c>
      <c r="N759" s="5" t="s">
        <v>1021</v>
      </c>
      <c r="O759" s="5" t="s">
        <v>789</v>
      </c>
      <c r="Q759" s="5" t="s">
        <v>1024</v>
      </c>
      <c r="S759" s="5" t="s">
        <v>328</v>
      </c>
    </row>
    <row r="760" spans="1:19" x14ac:dyDescent="0.2">
      <c r="A760" s="5">
        <v>613</v>
      </c>
      <c r="B760" s="8" t="s">
        <v>2395</v>
      </c>
      <c r="H760" s="8" t="s">
        <v>2396</v>
      </c>
      <c r="I760" s="8" t="s">
        <v>2396</v>
      </c>
      <c r="J760" s="5">
        <v>60</v>
      </c>
      <c r="K760" s="5" t="s">
        <v>292</v>
      </c>
      <c r="L760" s="5" t="s">
        <v>767</v>
      </c>
      <c r="M760" s="5">
        <v>102</v>
      </c>
      <c r="N760" s="5" t="s">
        <v>43</v>
      </c>
      <c r="O760" s="5" t="s">
        <v>789</v>
      </c>
      <c r="Q760" s="10" t="s">
        <v>553</v>
      </c>
    </row>
    <row r="761" spans="1:19" x14ac:dyDescent="0.2">
      <c r="A761" s="5">
        <v>612</v>
      </c>
      <c r="B761" s="8" t="s">
        <v>2397</v>
      </c>
      <c r="H761" s="8" t="s">
        <v>2398</v>
      </c>
      <c r="I761" s="8" t="s">
        <v>2398</v>
      </c>
      <c r="J761" s="5">
        <v>46</v>
      </c>
      <c r="K761" s="5" t="s">
        <v>292</v>
      </c>
      <c r="L761" s="5" t="s">
        <v>767</v>
      </c>
      <c r="M761" s="5">
        <v>102</v>
      </c>
      <c r="N761" s="5" t="s">
        <v>43</v>
      </c>
      <c r="O761" s="5" t="s">
        <v>789</v>
      </c>
      <c r="Q761" s="10" t="s">
        <v>553</v>
      </c>
      <c r="S761" s="5" t="s">
        <v>328</v>
      </c>
    </row>
    <row r="762" spans="1:19" x14ac:dyDescent="0.2">
      <c r="A762" s="5">
        <v>611</v>
      </c>
      <c r="B762" s="8" t="s">
        <v>2307</v>
      </c>
      <c r="H762" s="8" t="s">
        <v>2308</v>
      </c>
      <c r="I762" s="8" t="s">
        <v>2308</v>
      </c>
      <c r="J762" s="5">
        <v>55</v>
      </c>
      <c r="K762" s="5" t="s">
        <v>292</v>
      </c>
      <c r="L762" s="5" t="s">
        <v>767</v>
      </c>
      <c r="M762" s="5">
        <v>102</v>
      </c>
      <c r="N762" s="5" t="s">
        <v>43</v>
      </c>
      <c r="O762" s="5" t="s">
        <v>789</v>
      </c>
      <c r="Q762" s="10" t="s">
        <v>553</v>
      </c>
      <c r="S762" s="5" t="s">
        <v>328</v>
      </c>
    </row>
    <row r="763" spans="1:19" x14ac:dyDescent="0.2">
      <c r="A763" s="5">
        <v>355</v>
      </c>
      <c r="B763" s="8">
        <v>110950</v>
      </c>
      <c r="H763" s="8" t="s">
        <v>2399</v>
      </c>
      <c r="I763" s="8" t="s">
        <v>2399</v>
      </c>
      <c r="J763" s="5">
        <f>46-46</f>
        <v>0</v>
      </c>
      <c r="K763" s="5" t="s">
        <v>292</v>
      </c>
      <c r="L763" s="5" t="s">
        <v>767</v>
      </c>
      <c r="M763" s="5">
        <v>102</v>
      </c>
      <c r="N763" s="5" t="s">
        <v>2400</v>
      </c>
      <c r="Q763" s="5" t="s">
        <v>2401</v>
      </c>
    </row>
    <row r="764" spans="1:19" x14ac:dyDescent="0.2">
      <c r="A764" s="5">
        <v>615</v>
      </c>
      <c r="B764" s="8" t="s">
        <v>2402</v>
      </c>
      <c r="H764" s="8" t="s">
        <v>2403</v>
      </c>
      <c r="I764" s="8" t="s">
        <v>2403</v>
      </c>
      <c r="J764" s="5">
        <f>6-1</f>
        <v>5</v>
      </c>
      <c r="K764" s="5" t="s">
        <v>292</v>
      </c>
      <c r="L764" s="5" t="s">
        <v>767</v>
      </c>
      <c r="M764" s="5">
        <v>103</v>
      </c>
      <c r="N764" s="5" t="s">
        <v>43</v>
      </c>
      <c r="O764" s="5" t="s">
        <v>789</v>
      </c>
      <c r="Q764" s="10" t="s">
        <v>553</v>
      </c>
      <c r="S764" s="5" t="s">
        <v>328</v>
      </c>
    </row>
    <row r="765" spans="1:19" x14ac:dyDescent="0.2">
      <c r="A765" s="5">
        <v>616</v>
      </c>
      <c r="B765" s="8" t="s">
        <v>2404</v>
      </c>
      <c r="H765" s="8" t="s">
        <v>2405</v>
      </c>
      <c r="I765" s="8" t="s">
        <v>2405</v>
      </c>
      <c r="J765" s="5">
        <v>5</v>
      </c>
      <c r="K765" s="5" t="s">
        <v>292</v>
      </c>
      <c r="L765" s="5" t="s">
        <v>767</v>
      </c>
      <c r="M765" s="5">
        <v>103</v>
      </c>
      <c r="N765" s="5" t="s">
        <v>1104</v>
      </c>
      <c r="O765" s="5" t="s">
        <v>789</v>
      </c>
      <c r="Q765" s="10" t="s">
        <v>553</v>
      </c>
      <c r="S765" s="5" t="s">
        <v>328</v>
      </c>
    </row>
    <row r="766" spans="1:19" x14ac:dyDescent="0.2">
      <c r="A766" s="5">
        <v>617</v>
      </c>
      <c r="B766" s="8" t="s">
        <v>2406</v>
      </c>
      <c r="H766" s="8" t="s">
        <v>2407</v>
      </c>
      <c r="I766" s="8" t="s">
        <v>2407</v>
      </c>
      <c r="J766" s="5">
        <v>5</v>
      </c>
      <c r="K766" s="5" t="s">
        <v>292</v>
      </c>
      <c r="L766" s="5" t="s">
        <v>767</v>
      </c>
      <c r="M766" s="5">
        <v>103</v>
      </c>
      <c r="N766" s="5" t="s">
        <v>1104</v>
      </c>
      <c r="O766" s="5" t="s">
        <v>789</v>
      </c>
      <c r="Q766" s="10" t="s">
        <v>553</v>
      </c>
      <c r="S766" s="5" t="s">
        <v>328</v>
      </c>
    </row>
    <row r="767" spans="1:19" x14ac:dyDescent="0.2">
      <c r="A767" s="5">
        <v>618</v>
      </c>
      <c r="B767" s="11" t="s">
        <v>2408</v>
      </c>
      <c r="C767" s="11"/>
      <c r="D767" s="11"/>
      <c r="E767" s="26"/>
      <c r="F767" s="11"/>
      <c r="G767" s="11"/>
      <c r="H767" s="8" t="s">
        <v>2409</v>
      </c>
      <c r="I767" s="8" t="s">
        <v>2409</v>
      </c>
      <c r="J767" s="5">
        <v>1</v>
      </c>
      <c r="K767" s="5" t="s">
        <v>292</v>
      </c>
      <c r="L767" s="5" t="s">
        <v>767</v>
      </c>
      <c r="M767" s="5">
        <v>103</v>
      </c>
      <c r="N767" s="5" t="s">
        <v>1104</v>
      </c>
      <c r="O767" s="5" t="s">
        <v>789</v>
      </c>
      <c r="Q767" s="10" t="s">
        <v>553</v>
      </c>
    </row>
    <row r="768" spans="1:19" x14ac:dyDescent="0.2">
      <c r="A768" s="5">
        <v>619</v>
      </c>
      <c r="B768" s="8" t="s">
        <v>2410</v>
      </c>
      <c r="H768" s="8" t="s">
        <v>2411</v>
      </c>
      <c r="I768" s="8" t="s">
        <v>2411</v>
      </c>
      <c r="J768" s="5">
        <v>1</v>
      </c>
      <c r="K768" s="5" t="s">
        <v>292</v>
      </c>
      <c r="L768" s="5" t="s">
        <v>767</v>
      </c>
      <c r="M768" s="5">
        <v>103</v>
      </c>
      <c r="N768" s="5" t="s">
        <v>1104</v>
      </c>
      <c r="O768" s="5" t="s">
        <v>789</v>
      </c>
    </row>
    <row r="769" spans="1:19" x14ac:dyDescent="0.2">
      <c r="B769" s="8">
        <v>111104</v>
      </c>
      <c r="H769" s="8" t="s">
        <v>2412</v>
      </c>
      <c r="I769" s="8" t="s">
        <v>2413</v>
      </c>
      <c r="J769" s="5">
        <f>19+1-6+6</f>
        <v>20</v>
      </c>
      <c r="K769" s="5" t="s">
        <v>292</v>
      </c>
      <c r="L769" s="5" t="s">
        <v>767</v>
      </c>
      <c r="M769" s="5">
        <v>104</v>
      </c>
      <c r="N769" s="5" t="s">
        <v>43</v>
      </c>
      <c r="O769" s="5" t="s">
        <v>789</v>
      </c>
      <c r="S769" s="5" t="s">
        <v>328</v>
      </c>
    </row>
    <row r="770" spans="1:19" x14ac:dyDescent="0.2">
      <c r="B770" s="197">
        <v>15010024</v>
      </c>
      <c r="I770" s="100" t="s">
        <v>2414</v>
      </c>
      <c r="J770" s="5">
        <f>3</f>
        <v>3</v>
      </c>
      <c r="K770" s="5" t="s">
        <v>292</v>
      </c>
      <c r="L770" s="5" t="s">
        <v>767</v>
      </c>
      <c r="M770" s="5">
        <v>104</v>
      </c>
    </row>
    <row r="771" spans="1:19" x14ac:dyDescent="0.2">
      <c r="A771" s="5">
        <v>621</v>
      </c>
      <c r="B771" s="11" t="s">
        <v>2415</v>
      </c>
      <c r="C771" s="11"/>
      <c r="D771" s="11"/>
      <c r="E771" s="26"/>
      <c r="F771" s="11"/>
      <c r="G771" s="11"/>
      <c r="H771" s="8" t="s">
        <v>2416</v>
      </c>
      <c r="I771" s="8" t="s">
        <v>2417</v>
      </c>
      <c r="J771" s="5">
        <f>70</f>
        <v>70</v>
      </c>
      <c r="K771" s="5" t="s">
        <v>292</v>
      </c>
      <c r="L771" s="5" t="s">
        <v>767</v>
      </c>
      <c r="M771" s="5">
        <v>104</v>
      </c>
      <c r="N771" s="5" t="s">
        <v>43</v>
      </c>
      <c r="O771" s="5" t="s">
        <v>789</v>
      </c>
      <c r="Q771" s="5" t="s">
        <v>2392</v>
      </c>
    </row>
    <row r="772" spans="1:19" x14ac:dyDescent="0.2">
      <c r="A772" s="5">
        <v>622</v>
      </c>
      <c r="B772" s="8" t="s">
        <v>2418</v>
      </c>
      <c r="H772" s="8" t="s">
        <v>2419</v>
      </c>
      <c r="I772" s="8" t="s">
        <v>2420</v>
      </c>
      <c r="J772" s="5">
        <f>1-1+3-2-1+1</f>
        <v>1</v>
      </c>
      <c r="K772" s="5" t="s">
        <v>292</v>
      </c>
      <c r="L772" s="5" t="s">
        <v>767</v>
      </c>
      <c r="M772" s="5">
        <v>104</v>
      </c>
      <c r="N772" s="5" t="s">
        <v>43</v>
      </c>
      <c r="O772" s="5" t="s">
        <v>789</v>
      </c>
      <c r="Q772" s="5" t="s">
        <v>2421</v>
      </c>
      <c r="S772" s="5" t="s">
        <v>328</v>
      </c>
    </row>
    <row r="773" spans="1:19" x14ac:dyDescent="0.2">
      <c r="A773" s="5">
        <v>624</v>
      </c>
      <c r="B773" s="11" t="s">
        <v>2422</v>
      </c>
      <c r="C773" s="11"/>
      <c r="D773" s="11"/>
      <c r="E773" s="26"/>
      <c r="F773" s="11"/>
      <c r="G773" s="11"/>
      <c r="H773" s="8" t="s">
        <v>2423</v>
      </c>
      <c r="I773" s="8" t="s">
        <v>2424</v>
      </c>
      <c r="J773" s="5">
        <f>1</f>
        <v>1</v>
      </c>
      <c r="K773" s="5" t="s">
        <v>292</v>
      </c>
      <c r="L773" s="5" t="s">
        <v>767</v>
      </c>
      <c r="M773" s="5">
        <v>104</v>
      </c>
      <c r="N773" s="5" t="s">
        <v>43</v>
      </c>
      <c r="O773" s="5" t="s">
        <v>789</v>
      </c>
      <c r="Q773" s="10" t="s">
        <v>553</v>
      </c>
    </row>
    <row r="774" spans="1:19" x14ac:dyDescent="0.2">
      <c r="A774" s="5">
        <v>625</v>
      </c>
      <c r="B774" s="8" t="s">
        <v>2425</v>
      </c>
      <c r="H774" s="8" t="s">
        <v>2426</v>
      </c>
      <c r="I774" s="8" t="s">
        <v>2427</v>
      </c>
      <c r="J774" s="5">
        <f>12+1-2+1-2</f>
        <v>10</v>
      </c>
      <c r="K774" s="5" t="s">
        <v>292</v>
      </c>
      <c r="L774" s="5" t="s">
        <v>767</v>
      </c>
      <c r="M774" s="5">
        <v>104</v>
      </c>
      <c r="N774" s="5" t="s">
        <v>43</v>
      </c>
      <c r="O774" s="5" t="s">
        <v>789</v>
      </c>
      <c r="Q774" s="5" t="s">
        <v>2428</v>
      </c>
      <c r="S774" s="5" t="s">
        <v>852</v>
      </c>
    </row>
    <row r="775" spans="1:19" x14ac:dyDescent="0.2">
      <c r="A775" s="5">
        <v>626</v>
      </c>
      <c r="B775" s="8" t="s">
        <v>2429</v>
      </c>
      <c r="H775" s="8" t="s">
        <v>2430</v>
      </c>
      <c r="I775" s="8" t="s">
        <v>2430</v>
      </c>
      <c r="J775" s="5">
        <v>4</v>
      </c>
      <c r="K775" s="5" t="s">
        <v>292</v>
      </c>
      <c r="L775" s="5" t="s">
        <v>767</v>
      </c>
      <c r="M775" s="5">
        <v>105</v>
      </c>
      <c r="N775" s="5" t="s">
        <v>1021</v>
      </c>
      <c r="O775" s="5" t="s">
        <v>789</v>
      </c>
      <c r="Q775" s="10" t="s">
        <v>553</v>
      </c>
    </row>
    <row r="776" spans="1:19" x14ac:dyDescent="0.2">
      <c r="A776" s="5">
        <v>627</v>
      </c>
      <c r="B776" s="8" t="s">
        <v>2431</v>
      </c>
      <c r="H776" s="8" t="s">
        <v>2432</v>
      </c>
      <c r="I776" s="8" t="s">
        <v>2432</v>
      </c>
      <c r="J776" s="5">
        <v>17</v>
      </c>
      <c r="K776" s="5" t="s">
        <v>292</v>
      </c>
      <c r="L776" s="5" t="s">
        <v>767</v>
      </c>
      <c r="M776" s="5">
        <v>105</v>
      </c>
      <c r="N776" s="5" t="s">
        <v>1021</v>
      </c>
      <c r="O776" s="5" t="s">
        <v>789</v>
      </c>
      <c r="Q776" s="5" t="s">
        <v>2433</v>
      </c>
      <c r="S776" s="5" t="s">
        <v>328</v>
      </c>
    </row>
    <row r="777" spans="1:19" x14ac:dyDescent="0.2">
      <c r="A777" s="5">
        <v>628</v>
      </c>
      <c r="B777" s="8" t="s">
        <v>2434</v>
      </c>
      <c r="H777" s="8" t="s">
        <v>2435</v>
      </c>
      <c r="I777" s="8" t="s">
        <v>2435</v>
      </c>
      <c r="J777" s="5">
        <v>4</v>
      </c>
      <c r="K777" s="5" t="s">
        <v>292</v>
      </c>
      <c r="L777" s="5" t="s">
        <v>767</v>
      </c>
      <c r="M777" s="5">
        <v>105</v>
      </c>
      <c r="N777" s="5" t="s">
        <v>1021</v>
      </c>
      <c r="O777" s="5" t="s">
        <v>789</v>
      </c>
      <c r="Q777" s="10" t="s">
        <v>553</v>
      </c>
      <c r="S777" s="5" t="s">
        <v>328</v>
      </c>
    </row>
    <row r="778" spans="1:19" x14ac:dyDescent="0.2">
      <c r="A778" s="5">
        <v>629</v>
      </c>
      <c r="B778" s="8" t="s">
        <v>2436</v>
      </c>
      <c r="H778" s="8" t="s">
        <v>2437</v>
      </c>
      <c r="I778" s="8" t="s">
        <v>2437</v>
      </c>
      <c r="J778" s="5">
        <v>63</v>
      </c>
      <c r="K778" s="5" t="s">
        <v>292</v>
      </c>
      <c r="L778" s="5" t="s">
        <v>767</v>
      </c>
      <c r="M778" s="5">
        <v>105</v>
      </c>
      <c r="N778" s="5" t="s">
        <v>1021</v>
      </c>
      <c r="O778" s="5" t="s">
        <v>789</v>
      </c>
      <c r="Q778" s="10" t="s">
        <v>553</v>
      </c>
      <c r="S778" s="5" t="s">
        <v>328</v>
      </c>
    </row>
    <row r="779" spans="1:19" x14ac:dyDescent="0.2">
      <c r="A779" s="5">
        <v>630</v>
      </c>
      <c r="B779" s="11" t="s">
        <v>2438</v>
      </c>
      <c r="C779" s="11"/>
      <c r="D779" s="11"/>
      <c r="E779" s="26"/>
      <c r="F779" s="11"/>
      <c r="G779" s="11"/>
      <c r="H779" s="8" t="s">
        <v>2439</v>
      </c>
      <c r="I779" s="8" t="s">
        <v>2439</v>
      </c>
      <c r="J779" s="5">
        <f>83-1-1</f>
        <v>81</v>
      </c>
      <c r="K779" s="5" t="s">
        <v>292</v>
      </c>
      <c r="L779" s="5" t="s">
        <v>767</v>
      </c>
      <c r="M779" s="5">
        <v>105</v>
      </c>
      <c r="N779" s="5" t="s">
        <v>1021</v>
      </c>
      <c r="O779" s="5" t="s">
        <v>789</v>
      </c>
      <c r="Q779" s="10" t="s">
        <v>553</v>
      </c>
      <c r="S779" s="5" t="s">
        <v>328</v>
      </c>
    </row>
    <row r="780" spans="1:19" x14ac:dyDescent="0.2">
      <c r="A780" s="5">
        <v>631</v>
      </c>
      <c r="B780" s="8" t="s">
        <v>2440</v>
      </c>
      <c r="H780" s="8" t="s">
        <v>2441</v>
      </c>
      <c r="I780" s="8" t="s">
        <v>2441</v>
      </c>
      <c r="J780" s="5">
        <v>3</v>
      </c>
      <c r="K780" s="5" t="s">
        <v>292</v>
      </c>
      <c r="L780" s="5" t="s">
        <v>767</v>
      </c>
      <c r="M780" s="5">
        <v>106</v>
      </c>
      <c r="N780" s="5" t="s">
        <v>2238</v>
      </c>
      <c r="O780" s="5" t="s">
        <v>789</v>
      </c>
      <c r="Q780" s="10" t="s">
        <v>553</v>
      </c>
      <c r="S780" s="5" t="s">
        <v>328</v>
      </c>
    </row>
    <row r="781" spans="1:19" x14ac:dyDescent="0.2">
      <c r="A781" s="5">
        <v>632</v>
      </c>
      <c r="B781" s="11" t="s">
        <v>2442</v>
      </c>
      <c r="C781" s="11"/>
      <c r="D781" s="11"/>
      <c r="E781" s="26"/>
      <c r="F781" s="11"/>
      <c r="G781" s="11"/>
      <c r="H781" s="8" t="s">
        <v>2443</v>
      </c>
      <c r="I781" s="8" t="s">
        <v>2443</v>
      </c>
      <c r="J781" s="5">
        <f>4-1</f>
        <v>3</v>
      </c>
      <c r="K781" s="5" t="s">
        <v>292</v>
      </c>
      <c r="L781" s="5" t="s">
        <v>767</v>
      </c>
      <c r="M781" s="5">
        <v>106</v>
      </c>
      <c r="N781" s="5" t="s">
        <v>2238</v>
      </c>
      <c r="O781" s="5" t="s">
        <v>789</v>
      </c>
      <c r="Q781" s="10" t="s">
        <v>553</v>
      </c>
    </row>
    <row r="782" spans="1:19" x14ac:dyDescent="0.2">
      <c r="A782" s="5">
        <v>633</v>
      </c>
      <c r="B782" s="11" t="s">
        <v>2444</v>
      </c>
      <c r="C782" s="11"/>
      <c r="D782" s="11"/>
      <c r="E782" s="26"/>
      <c r="F782" s="11"/>
      <c r="G782" s="11"/>
      <c r="H782" s="8" t="s">
        <v>2445</v>
      </c>
      <c r="I782" s="8" t="s">
        <v>2446</v>
      </c>
      <c r="J782" s="5">
        <v>0</v>
      </c>
      <c r="K782" s="5" t="s">
        <v>292</v>
      </c>
      <c r="L782" s="5" t="s">
        <v>767</v>
      </c>
      <c r="M782" s="5">
        <v>106</v>
      </c>
      <c r="N782" s="5" t="s">
        <v>2238</v>
      </c>
      <c r="O782" s="5" t="s">
        <v>789</v>
      </c>
      <c r="Q782" s="5" t="s">
        <v>2447</v>
      </c>
    </row>
    <row r="783" spans="1:19" x14ac:dyDescent="0.2">
      <c r="A783" s="5">
        <v>1348</v>
      </c>
      <c r="B783" s="8" t="s">
        <v>2448</v>
      </c>
      <c r="H783" s="8" t="s">
        <v>2449</v>
      </c>
      <c r="I783" s="8" t="s">
        <v>2450</v>
      </c>
      <c r="J783" s="5">
        <f>7-5-2</f>
        <v>0</v>
      </c>
      <c r="K783" s="5" t="s">
        <v>292</v>
      </c>
      <c r="L783" s="5" t="s">
        <v>767</v>
      </c>
      <c r="M783" s="5">
        <v>106</v>
      </c>
      <c r="N783" s="5" t="s">
        <v>408</v>
      </c>
      <c r="O783" s="5" t="s">
        <v>520</v>
      </c>
      <c r="Q783" s="5" t="s">
        <v>2451</v>
      </c>
      <c r="S783" s="5" t="s">
        <v>328</v>
      </c>
    </row>
    <row r="784" spans="1:19" x14ac:dyDescent="0.2">
      <c r="A784" s="5"/>
      <c r="B784" s="8" t="s">
        <v>2452</v>
      </c>
      <c r="H784" s="8" t="s">
        <v>2453</v>
      </c>
      <c r="I784" s="8" t="s">
        <v>2453</v>
      </c>
      <c r="J784" s="5">
        <f>3-1-1</f>
        <v>1</v>
      </c>
      <c r="K784" s="5" t="s">
        <v>292</v>
      </c>
      <c r="L784" s="5" t="s">
        <v>767</v>
      </c>
      <c r="M784" s="5">
        <v>106</v>
      </c>
      <c r="Q784" s="5" t="s">
        <v>2454</v>
      </c>
    </row>
    <row r="785" spans="1:21" x14ac:dyDescent="0.2">
      <c r="A785" s="5">
        <v>634</v>
      </c>
      <c r="B785" s="8" t="s">
        <v>2455</v>
      </c>
      <c r="H785" s="8" t="s">
        <v>2456</v>
      </c>
      <c r="I785" s="8" t="s">
        <v>2456</v>
      </c>
      <c r="J785" s="5">
        <v>1004</v>
      </c>
      <c r="K785" s="5" t="s">
        <v>292</v>
      </c>
      <c r="L785" s="5" t="s">
        <v>767</v>
      </c>
      <c r="M785" s="5">
        <v>107</v>
      </c>
      <c r="N785" s="5" t="s">
        <v>1021</v>
      </c>
      <c r="O785" s="5" t="s">
        <v>789</v>
      </c>
      <c r="Q785" s="10" t="s">
        <v>553</v>
      </c>
    </row>
    <row r="786" spans="1:21" x14ac:dyDescent="0.2">
      <c r="A786" s="5">
        <v>635</v>
      </c>
      <c r="B786" s="11" t="s">
        <v>2457</v>
      </c>
      <c r="C786" s="11"/>
      <c r="D786" s="11"/>
      <c r="E786" s="26"/>
      <c r="F786" s="11"/>
      <c r="G786" s="11"/>
      <c r="H786" s="8" t="s">
        <v>2458</v>
      </c>
      <c r="I786" s="8" t="s">
        <v>2458</v>
      </c>
      <c r="J786" s="5">
        <v>4</v>
      </c>
      <c r="K786" s="5" t="s">
        <v>292</v>
      </c>
      <c r="L786" s="5" t="s">
        <v>767</v>
      </c>
      <c r="M786" s="5">
        <v>108</v>
      </c>
      <c r="N786" s="5" t="s">
        <v>1109</v>
      </c>
      <c r="O786" s="5" t="s">
        <v>789</v>
      </c>
      <c r="Q786" s="5" t="s">
        <v>2459</v>
      </c>
    </row>
    <row r="787" spans="1:21" x14ac:dyDescent="0.2">
      <c r="A787" s="5"/>
      <c r="B787" s="11" t="s">
        <v>2460</v>
      </c>
      <c r="C787" s="11"/>
      <c r="D787" s="11"/>
      <c r="E787" s="26"/>
      <c r="F787" s="11"/>
      <c r="G787" s="11"/>
      <c r="H787" s="8" t="s">
        <v>2461</v>
      </c>
      <c r="I787" s="8" t="s">
        <v>2461</v>
      </c>
      <c r="J787" s="5">
        <v>56</v>
      </c>
      <c r="K787" s="5" t="s">
        <v>21</v>
      </c>
      <c r="L787" s="5" t="s">
        <v>767</v>
      </c>
      <c r="M787" s="5">
        <v>108</v>
      </c>
      <c r="S787" s="5" t="s">
        <v>328</v>
      </c>
    </row>
    <row r="788" spans="1:21" x14ac:dyDescent="0.2">
      <c r="A788" s="5">
        <v>636</v>
      </c>
      <c r="B788" s="8" t="s">
        <v>2462</v>
      </c>
      <c r="H788" s="8" t="s">
        <v>2463</v>
      </c>
      <c r="I788" s="8" t="s">
        <v>2463</v>
      </c>
      <c r="J788" s="5">
        <v>0</v>
      </c>
      <c r="K788" s="5" t="s">
        <v>292</v>
      </c>
      <c r="L788" s="5" t="s">
        <v>767</v>
      </c>
      <c r="M788" s="5">
        <v>108</v>
      </c>
      <c r="N788" s="5" t="s">
        <v>1021</v>
      </c>
      <c r="O788" s="5" t="s">
        <v>789</v>
      </c>
      <c r="Q788" s="10" t="s">
        <v>553</v>
      </c>
      <c r="S788" s="5" t="s">
        <v>328</v>
      </c>
    </row>
    <row r="789" spans="1:21" x14ac:dyDescent="0.2">
      <c r="A789" s="5">
        <v>637</v>
      </c>
      <c r="B789" s="11" t="s">
        <v>2464</v>
      </c>
      <c r="C789" s="11"/>
      <c r="D789" s="11"/>
      <c r="E789" s="26"/>
      <c r="F789" s="11"/>
      <c r="G789" s="11"/>
      <c r="H789" s="8" t="s">
        <v>2465</v>
      </c>
      <c r="I789" s="8" t="s">
        <v>2465</v>
      </c>
      <c r="J789" s="5">
        <v>4</v>
      </c>
      <c r="K789" s="5" t="s">
        <v>292</v>
      </c>
      <c r="L789" s="5" t="s">
        <v>767</v>
      </c>
      <c r="M789" s="5">
        <v>108</v>
      </c>
      <c r="N789" s="5" t="s">
        <v>1021</v>
      </c>
      <c r="O789" s="5" t="s">
        <v>789</v>
      </c>
      <c r="Q789" s="10" t="s">
        <v>553</v>
      </c>
      <c r="S789" s="5" t="s">
        <v>328</v>
      </c>
    </row>
    <row r="790" spans="1:21" x14ac:dyDescent="0.2">
      <c r="A790" s="5">
        <v>638</v>
      </c>
      <c r="B790" s="8" t="s">
        <v>2466</v>
      </c>
      <c r="H790" s="8" t="s">
        <v>2467</v>
      </c>
      <c r="I790" s="8" t="s">
        <v>2467</v>
      </c>
      <c r="J790" s="5">
        <v>0</v>
      </c>
      <c r="K790" s="5" t="s">
        <v>292</v>
      </c>
      <c r="L790" s="5" t="s">
        <v>767</v>
      </c>
      <c r="M790" s="5">
        <v>108</v>
      </c>
      <c r="N790" s="5" t="s">
        <v>1021</v>
      </c>
      <c r="O790" s="5" t="s">
        <v>789</v>
      </c>
      <c r="Q790" s="10" t="s">
        <v>553</v>
      </c>
      <c r="S790" s="5" t="s">
        <v>328</v>
      </c>
    </row>
    <row r="791" spans="1:21" x14ac:dyDescent="0.2">
      <c r="A791" s="5">
        <v>639</v>
      </c>
      <c r="B791" s="8">
        <v>185024</v>
      </c>
      <c r="H791" s="8" t="s">
        <v>2468</v>
      </c>
      <c r="I791" s="8" t="s">
        <v>2468</v>
      </c>
      <c r="J791" s="5">
        <v>4</v>
      </c>
      <c r="K791" s="5" t="s">
        <v>292</v>
      </c>
      <c r="L791" s="5" t="s">
        <v>767</v>
      </c>
      <c r="M791" s="5">
        <v>108</v>
      </c>
      <c r="N791" s="5" t="s">
        <v>1021</v>
      </c>
      <c r="O791" s="5" t="s">
        <v>789</v>
      </c>
      <c r="Q791" s="5" t="s">
        <v>553</v>
      </c>
      <c r="S791" s="5" t="s">
        <v>328</v>
      </c>
    </row>
    <row r="792" spans="1:21" x14ac:dyDescent="0.2">
      <c r="A792" s="5">
        <v>640</v>
      </c>
      <c r="B792" s="8">
        <v>22520257</v>
      </c>
      <c r="H792" s="8" t="s">
        <v>2469</v>
      </c>
      <c r="I792" s="8" t="s">
        <v>2469</v>
      </c>
      <c r="J792" s="5">
        <v>6</v>
      </c>
      <c r="K792" s="5" t="s">
        <v>292</v>
      </c>
      <c r="L792" s="5" t="s">
        <v>767</v>
      </c>
      <c r="M792" s="5">
        <v>108</v>
      </c>
      <c r="N792" s="5" t="s">
        <v>1021</v>
      </c>
      <c r="O792" s="5" t="s">
        <v>789</v>
      </c>
      <c r="Q792" s="10" t="s">
        <v>553</v>
      </c>
      <c r="S792" s="5" t="s">
        <v>1139</v>
      </c>
    </row>
    <row r="793" spans="1:21" x14ac:dyDescent="0.2">
      <c r="A793" s="5">
        <v>641</v>
      </c>
      <c r="B793" s="11" t="s">
        <v>553</v>
      </c>
      <c r="C793" s="11"/>
      <c r="D793" s="11"/>
      <c r="E793" s="26"/>
      <c r="F793" s="11"/>
      <c r="G793" s="11"/>
      <c r="H793" s="8" t="s">
        <v>2470</v>
      </c>
      <c r="I793" s="8" t="s">
        <v>2470</v>
      </c>
      <c r="J793" s="5">
        <v>4</v>
      </c>
      <c r="K793" s="5" t="s">
        <v>292</v>
      </c>
      <c r="L793" s="5" t="s">
        <v>767</v>
      </c>
      <c r="M793" s="5">
        <v>108</v>
      </c>
      <c r="N793" s="5" t="s">
        <v>1021</v>
      </c>
      <c r="O793" s="5" t="s">
        <v>789</v>
      </c>
      <c r="Q793" s="10" t="s">
        <v>553</v>
      </c>
      <c r="S793" s="5" t="s">
        <v>328</v>
      </c>
      <c r="U793" t="s">
        <v>288</v>
      </c>
    </row>
    <row r="794" spans="1:21" x14ac:dyDescent="0.2">
      <c r="A794" s="5">
        <v>642</v>
      </c>
      <c r="B794" s="8" t="s">
        <v>2471</v>
      </c>
      <c r="H794" s="8" t="s">
        <v>2472</v>
      </c>
      <c r="I794" s="8" t="s">
        <v>2472</v>
      </c>
      <c r="J794" s="5">
        <v>19</v>
      </c>
      <c r="K794" s="5" t="s">
        <v>292</v>
      </c>
      <c r="L794" s="5" t="s">
        <v>767</v>
      </c>
      <c r="M794" s="5">
        <v>108</v>
      </c>
      <c r="N794" s="5" t="s">
        <v>2238</v>
      </c>
      <c r="O794" s="5" t="s">
        <v>789</v>
      </c>
      <c r="Q794" s="10" t="s">
        <v>553</v>
      </c>
      <c r="S794" s="5" t="s">
        <v>328</v>
      </c>
    </row>
    <row r="795" spans="1:21" x14ac:dyDescent="0.2">
      <c r="A795" s="5">
        <v>643</v>
      </c>
      <c r="B795" s="8" t="s">
        <v>2473</v>
      </c>
      <c r="H795" s="8" t="s">
        <v>2474</v>
      </c>
      <c r="I795" s="8" t="s">
        <v>2474</v>
      </c>
      <c r="J795" s="5">
        <v>12</v>
      </c>
      <c r="K795" s="5" t="s">
        <v>292</v>
      </c>
      <c r="L795" s="5" t="s">
        <v>767</v>
      </c>
      <c r="M795" s="5">
        <v>108</v>
      </c>
      <c r="N795" s="5" t="s">
        <v>2475</v>
      </c>
      <c r="O795" s="5" t="s">
        <v>789</v>
      </c>
      <c r="Q795" s="10" t="s">
        <v>553</v>
      </c>
      <c r="S795" s="5" t="s">
        <v>328</v>
      </c>
    </row>
    <row r="796" spans="1:21" x14ac:dyDescent="0.2">
      <c r="A796" s="5">
        <v>644</v>
      </c>
      <c r="B796" s="8">
        <v>22520195</v>
      </c>
      <c r="H796" s="8" t="s">
        <v>2476</v>
      </c>
      <c r="I796" s="8" t="s">
        <v>2476</v>
      </c>
      <c r="J796" s="5">
        <f>6-6+8</f>
        <v>8</v>
      </c>
      <c r="K796" s="5" t="s">
        <v>292</v>
      </c>
      <c r="L796" s="5" t="s">
        <v>767</v>
      </c>
      <c r="M796" s="5">
        <v>108</v>
      </c>
      <c r="N796" s="5" t="s">
        <v>1021</v>
      </c>
      <c r="O796" s="5" t="s">
        <v>789</v>
      </c>
      <c r="Q796" s="10" t="s">
        <v>553</v>
      </c>
    </row>
    <row r="797" spans="1:21" x14ac:dyDescent="0.2">
      <c r="A797" s="5"/>
      <c r="B797" s="8" t="s">
        <v>2477</v>
      </c>
      <c r="H797" s="8" t="s">
        <v>2478</v>
      </c>
      <c r="I797" s="8" t="s">
        <v>2478</v>
      </c>
      <c r="J797" s="5">
        <f>9</f>
        <v>9</v>
      </c>
      <c r="K797" s="5" t="s">
        <v>292</v>
      </c>
      <c r="L797" s="5" t="s">
        <v>767</v>
      </c>
      <c r="M797" s="5">
        <v>108</v>
      </c>
      <c r="N797" s="5" t="s">
        <v>1021</v>
      </c>
      <c r="Q797" s="107" t="s">
        <v>2479</v>
      </c>
      <c r="S797" s="5" t="s">
        <v>328</v>
      </c>
    </row>
    <row r="798" spans="1:21" x14ac:dyDescent="0.2">
      <c r="A798" s="5">
        <v>645</v>
      </c>
      <c r="B798" s="8">
        <v>110750</v>
      </c>
      <c r="H798" s="8" t="s">
        <v>2480</v>
      </c>
      <c r="I798" s="8" t="s">
        <v>2480</v>
      </c>
      <c r="J798" s="5">
        <f>84-3-22-3-3-22-3-3-6-6-6+36+40-11-72</f>
        <v>0</v>
      </c>
      <c r="K798" s="5" t="s">
        <v>292</v>
      </c>
      <c r="L798" s="5" t="s">
        <v>767</v>
      </c>
      <c r="M798" s="5">
        <v>109</v>
      </c>
      <c r="N798" s="5" t="s">
        <v>43</v>
      </c>
      <c r="O798" s="5" t="s">
        <v>789</v>
      </c>
      <c r="Q798" s="10" t="s">
        <v>1599</v>
      </c>
      <c r="S798" s="5" t="s">
        <v>328</v>
      </c>
    </row>
    <row r="799" spans="1:21" x14ac:dyDescent="0.2">
      <c r="A799" s="5"/>
      <c r="B799" s="8">
        <v>612050235121</v>
      </c>
      <c r="H799" s="8" t="s">
        <v>2481</v>
      </c>
      <c r="I799" s="8" t="s">
        <v>2482</v>
      </c>
      <c r="J799" s="5">
        <f>74-2-30+64-12-3-8-8-1-8-3+22-5-10</f>
        <v>70</v>
      </c>
      <c r="K799" s="5" t="s">
        <v>292</v>
      </c>
      <c r="L799" s="5" t="s">
        <v>767</v>
      </c>
      <c r="M799" s="5">
        <v>109</v>
      </c>
      <c r="Q799" s="10"/>
    </row>
    <row r="800" spans="1:21" x14ac:dyDescent="0.2">
      <c r="A800" s="5">
        <v>646</v>
      </c>
      <c r="B800" s="8" t="s">
        <v>2483</v>
      </c>
      <c r="H800" s="8" t="s">
        <v>2484</v>
      </c>
      <c r="I800" s="8" t="s">
        <v>2484</v>
      </c>
      <c r="J800" s="5">
        <v>19</v>
      </c>
      <c r="K800" s="5" t="s">
        <v>292</v>
      </c>
      <c r="L800" s="5" t="s">
        <v>767</v>
      </c>
      <c r="M800" s="5">
        <v>110</v>
      </c>
      <c r="N800" s="5" t="s">
        <v>43</v>
      </c>
      <c r="O800" s="5" t="s">
        <v>789</v>
      </c>
      <c r="Q800" s="10" t="s">
        <v>553</v>
      </c>
      <c r="S800" s="5" t="s">
        <v>328</v>
      </c>
    </row>
    <row r="801" spans="1:19" x14ac:dyDescent="0.2">
      <c r="A801" s="5">
        <v>647</v>
      </c>
      <c r="B801" s="8" t="s">
        <v>2485</v>
      </c>
      <c r="H801" s="8" t="s">
        <v>2486</v>
      </c>
      <c r="I801" s="8" t="s">
        <v>2486</v>
      </c>
      <c r="J801" s="5">
        <v>2080</v>
      </c>
      <c r="K801" s="5" t="s">
        <v>292</v>
      </c>
      <c r="L801" s="5" t="s">
        <v>767</v>
      </c>
      <c r="M801" s="5">
        <v>111</v>
      </c>
      <c r="N801" s="5" t="s">
        <v>43</v>
      </c>
      <c r="O801" s="5" t="s">
        <v>789</v>
      </c>
      <c r="Q801" s="10" t="s">
        <v>553</v>
      </c>
      <c r="S801" s="5" t="s">
        <v>328</v>
      </c>
    </row>
    <row r="802" spans="1:19" x14ac:dyDescent="0.2">
      <c r="A802" s="5">
        <v>648</v>
      </c>
      <c r="B802" s="8" t="s">
        <v>2487</v>
      </c>
      <c r="H802" s="8" t="s">
        <v>2488</v>
      </c>
      <c r="I802" s="8" t="s">
        <v>2488</v>
      </c>
      <c r="J802" s="5">
        <v>1</v>
      </c>
      <c r="K802" s="5" t="s">
        <v>292</v>
      </c>
      <c r="L802" s="5" t="s">
        <v>767</v>
      </c>
      <c r="M802" s="5">
        <v>112</v>
      </c>
      <c r="N802" s="5" t="s">
        <v>43</v>
      </c>
      <c r="O802" s="5" t="s">
        <v>789</v>
      </c>
      <c r="Q802" s="10" t="s">
        <v>553</v>
      </c>
      <c r="S802" s="5" t="s">
        <v>328</v>
      </c>
    </row>
    <row r="803" spans="1:19" x14ac:dyDescent="0.2">
      <c r="A803" s="5">
        <v>719</v>
      </c>
      <c r="B803" s="8" t="s">
        <v>2489</v>
      </c>
      <c r="H803" s="8" t="s">
        <v>2490</v>
      </c>
      <c r="I803" s="8" t="s">
        <v>2490</v>
      </c>
      <c r="J803" s="5">
        <v>180</v>
      </c>
      <c r="K803" s="5" t="s">
        <v>292</v>
      </c>
      <c r="L803" s="5" t="s">
        <v>2491</v>
      </c>
      <c r="M803" s="5">
        <v>1</v>
      </c>
      <c r="N803" s="5" t="s">
        <v>2492</v>
      </c>
      <c r="O803" s="5" t="s">
        <v>789</v>
      </c>
      <c r="Q803" s="10" t="s">
        <v>553</v>
      </c>
      <c r="S803" s="5" t="s">
        <v>328</v>
      </c>
    </row>
    <row r="804" spans="1:19" x14ac:dyDescent="0.2">
      <c r="A804" s="5">
        <v>728</v>
      </c>
      <c r="B804" s="8" t="s">
        <v>2493</v>
      </c>
      <c r="H804" s="8" t="s">
        <v>2494</v>
      </c>
      <c r="I804" s="8" t="s">
        <v>2495</v>
      </c>
      <c r="J804" s="5">
        <v>198</v>
      </c>
      <c r="K804" s="5" t="s">
        <v>292</v>
      </c>
      <c r="L804" s="5" t="s">
        <v>2491</v>
      </c>
      <c r="M804" s="5">
        <v>2</v>
      </c>
      <c r="N804" s="5" t="s">
        <v>2492</v>
      </c>
      <c r="O804" s="5" t="s">
        <v>789</v>
      </c>
      <c r="Q804" s="10" t="s">
        <v>553</v>
      </c>
    </row>
    <row r="805" spans="1:19" x14ac:dyDescent="0.2">
      <c r="A805" s="5"/>
      <c r="B805" s="8" t="s">
        <v>2496</v>
      </c>
      <c r="H805" s="8" t="s">
        <v>2497</v>
      </c>
      <c r="I805" s="8" t="s">
        <v>2498</v>
      </c>
      <c r="J805" s="5">
        <f>5-2-1+16-1</f>
        <v>17</v>
      </c>
      <c r="K805" s="5" t="s">
        <v>292</v>
      </c>
      <c r="L805" s="5" t="s">
        <v>2491</v>
      </c>
      <c r="M805" s="5">
        <v>2</v>
      </c>
      <c r="N805" s="5" t="s">
        <v>2492</v>
      </c>
      <c r="Q805" s="10"/>
      <c r="S805" s="5" t="s">
        <v>328</v>
      </c>
    </row>
    <row r="806" spans="1:19" x14ac:dyDescent="0.2">
      <c r="A806" s="5">
        <v>729</v>
      </c>
      <c r="B806" s="8" t="s">
        <v>2499</v>
      </c>
      <c r="H806" s="8" t="s">
        <v>2500</v>
      </c>
      <c r="I806" s="8" t="s">
        <v>2501</v>
      </c>
      <c r="J806" s="5">
        <v>49</v>
      </c>
      <c r="K806" s="5" t="s">
        <v>292</v>
      </c>
      <c r="L806" s="5" t="s">
        <v>2491</v>
      </c>
      <c r="M806" s="5">
        <v>2</v>
      </c>
      <c r="N806" s="5" t="s">
        <v>2492</v>
      </c>
      <c r="O806" s="5" t="s">
        <v>789</v>
      </c>
      <c r="Q806" s="10" t="s">
        <v>553</v>
      </c>
      <c r="S806" s="5" t="s">
        <v>328</v>
      </c>
    </row>
    <row r="807" spans="1:19" x14ac:dyDescent="0.2">
      <c r="A807" s="5">
        <v>730</v>
      </c>
      <c r="B807" s="8" t="s">
        <v>2502</v>
      </c>
      <c r="H807" s="8" t="s">
        <v>2503</v>
      </c>
      <c r="I807" s="8" t="s">
        <v>2501</v>
      </c>
      <c r="J807" s="5">
        <f>39+2-3-3-6-2-2-22+50-3-8-8-1</f>
        <v>33</v>
      </c>
      <c r="K807" s="5" t="s">
        <v>292</v>
      </c>
      <c r="L807" s="5" t="s">
        <v>2491</v>
      </c>
      <c r="M807" s="5">
        <v>2</v>
      </c>
      <c r="N807" s="5" t="s">
        <v>2492</v>
      </c>
      <c r="O807" s="5" t="s">
        <v>789</v>
      </c>
      <c r="Q807" s="10" t="s">
        <v>553</v>
      </c>
      <c r="S807" s="5" t="s">
        <v>328</v>
      </c>
    </row>
    <row r="808" spans="1:19" x14ac:dyDescent="0.2">
      <c r="A808" s="5">
        <v>731</v>
      </c>
      <c r="B808" s="8" t="s">
        <v>2504</v>
      </c>
      <c r="H808" s="8" t="s">
        <v>2505</v>
      </c>
      <c r="I808" s="8" t="s">
        <v>2506</v>
      </c>
      <c r="J808" s="5">
        <f>27-6-4-1-10-2-4+6-6+15+24+3-24-8-1-1-1</f>
        <v>7</v>
      </c>
      <c r="K808" s="5" t="s">
        <v>292</v>
      </c>
      <c r="L808" s="5" t="s">
        <v>2491</v>
      </c>
      <c r="M808" s="5">
        <v>2</v>
      </c>
      <c r="N808" s="5" t="s">
        <v>2492</v>
      </c>
      <c r="O808" s="5" t="s">
        <v>789</v>
      </c>
      <c r="Q808" s="10" t="s">
        <v>553</v>
      </c>
      <c r="S808" s="5" t="s">
        <v>328</v>
      </c>
    </row>
    <row r="809" spans="1:19" x14ac:dyDescent="0.2">
      <c r="A809" s="5"/>
      <c r="B809" s="8" t="s">
        <v>2507</v>
      </c>
      <c r="H809" s="8" t="s">
        <v>2508</v>
      </c>
      <c r="I809" s="8" t="s">
        <v>2508</v>
      </c>
      <c r="J809" s="5">
        <f>1</f>
        <v>1</v>
      </c>
      <c r="K809" s="5" t="s">
        <v>292</v>
      </c>
      <c r="L809" s="5" t="s">
        <v>2491</v>
      </c>
      <c r="M809" s="5">
        <v>2</v>
      </c>
      <c r="N809" s="5" t="s">
        <v>2492</v>
      </c>
      <c r="O809" s="5" t="s">
        <v>789</v>
      </c>
      <c r="Q809" s="10"/>
      <c r="R809" s="6"/>
      <c r="S809" s="6"/>
    </row>
    <row r="810" spans="1:19" x14ac:dyDescent="0.2">
      <c r="A810" s="5"/>
      <c r="B810" s="8" t="s">
        <v>2509</v>
      </c>
      <c r="H810" s="8" t="s">
        <v>2510</v>
      </c>
      <c r="I810" s="8" t="s">
        <v>2510</v>
      </c>
      <c r="J810" s="5">
        <f>25-3-6-16</f>
        <v>0</v>
      </c>
      <c r="K810" s="5" t="s">
        <v>292</v>
      </c>
      <c r="L810" s="5" t="s">
        <v>2491</v>
      </c>
      <c r="M810" s="5">
        <v>2</v>
      </c>
      <c r="N810" s="5" t="s">
        <v>2492</v>
      </c>
      <c r="O810" s="5" t="s">
        <v>789</v>
      </c>
      <c r="Q810" s="10" t="s">
        <v>2511</v>
      </c>
      <c r="R810" s="6"/>
      <c r="S810" s="6"/>
    </row>
    <row r="811" spans="1:19" x14ac:dyDescent="0.2">
      <c r="A811" s="5">
        <v>732</v>
      </c>
      <c r="B811" s="8" t="s">
        <v>2512</v>
      </c>
      <c r="H811" s="8" t="s">
        <v>2513</v>
      </c>
      <c r="I811" s="8" t="s">
        <v>2514</v>
      </c>
      <c r="J811" s="5">
        <v>0</v>
      </c>
      <c r="K811" s="5" t="s">
        <v>292</v>
      </c>
      <c r="L811" s="5" t="s">
        <v>2491</v>
      </c>
      <c r="M811" s="5">
        <v>2</v>
      </c>
      <c r="N811" s="5" t="s">
        <v>2492</v>
      </c>
      <c r="O811" s="5" t="s">
        <v>789</v>
      </c>
      <c r="Q811" s="10" t="s">
        <v>553</v>
      </c>
    </row>
    <row r="812" spans="1:19" x14ac:dyDescent="0.2">
      <c r="A812" s="5">
        <v>733</v>
      </c>
      <c r="B812" s="8" t="s">
        <v>1917</v>
      </c>
      <c r="H812" s="8" t="s">
        <v>2515</v>
      </c>
      <c r="I812" s="8" t="s">
        <v>1918</v>
      </c>
      <c r="J812" s="5">
        <v>1</v>
      </c>
      <c r="K812" s="5" t="s">
        <v>292</v>
      </c>
      <c r="L812" s="5" t="s">
        <v>2491</v>
      </c>
      <c r="M812" s="5">
        <v>2</v>
      </c>
      <c r="N812" s="5" t="s">
        <v>2492</v>
      </c>
      <c r="O812" s="5" t="s">
        <v>789</v>
      </c>
      <c r="Q812" s="5" t="s">
        <v>2516</v>
      </c>
    </row>
    <row r="813" spans="1:19" x14ac:dyDescent="0.2">
      <c r="A813" s="5"/>
      <c r="B813" s="8" t="s">
        <v>2517</v>
      </c>
      <c r="H813" s="8" t="s">
        <v>2510</v>
      </c>
      <c r="I813" s="8" t="s">
        <v>2510</v>
      </c>
      <c r="J813" s="5">
        <f>17-16-1</f>
        <v>0</v>
      </c>
      <c r="K813" s="5" t="s">
        <v>292</v>
      </c>
      <c r="L813" s="5" t="s">
        <v>2491</v>
      </c>
      <c r="M813" s="5">
        <v>2</v>
      </c>
      <c r="N813" s="5" t="s">
        <v>2492</v>
      </c>
      <c r="O813" s="5" t="s">
        <v>789</v>
      </c>
      <c r="Q813" s="5" t="s">
        <v>2518</v>
      </c>
    </row>
    <row r="814" spans="1:19" x14ac:dyDescent="0.2">
      <c r="A814" s="5">
        <v>740</v>
      </c>
      <c r="B814" s="8" t="s">
        <v>2519</v>
      </c>
      <c r="H814" s="8" t="s">
        <v>2520</v>
      </c>
      <c r="I814" s="8" t="s">
        <v>2520</v>
      </c>
      <c r="J814" s="5">
        <f>304-2-1-12-8-4-6-22-6-12-7-22-22-4-4-29-8-15-16-6-2</f>
        <v>96</v>
      </c>
      <c r="K814" s="5" t="s">
        <v>292</v>
      </c>
      <c r="L814" s="5" t="s">
        <v>2491</v>
      </c>
      <c r="M814" s="5" t="s">
        <v>2521</v>
      </c>
      <c r="N814" s="5" t="s">
        <v>2522</v>
      </c>
      <c r="O814" s="5" t="s">
        <v>789</v>
      </c>
      <c r="Q814" s="5" t="s">
        <v>2523</v>
      </c>
    </row>
    <row r="815" spans="1:19" x14ac:dyDescent="0.2">
      <c r="A815" s="5">
        <v>783</v>
      </c>
      <c r="B815" s="8" t="s">
        <v>2524</v>
      </c>
      <c r="H815" s="8" t="s">
        <v>2525</v>
      </c>
      <c r="I815" s="8" t="s">
        <v>2526</v>
      </c>
      <c r="J815" s="5">
        <v>0</v>
      </c>
      <c r="K815" s="5" t="s">
        <v>292</v>
      </c>
      <c r="L815" s="5" t="s">
        <v>2491</v>
      </c>
      <c r="M815" s="5">
        <v>6</v>
      </c>
      <c r="N815" s="5" t="s">
        <v>2527</v>
      </c>
      <c r="O815" s="5" t="s">
        <v>789</v>
      </c>
      <c r="Q815" s="5" t="s">
        <v>2528</v>
      </c>
    </row>
    <row r="816" spans="1:19" x14ac:dyDescent="0.2">
      <c r="A816" s="5">
        <v>784</v>
      </c>
      <c r="B816" s="8" t="s">
        <v>2529</v>
      </c>
      <c r="H816" s="8" t="s">
        <v>2530</v>
      </c>
      <c r="I816" s="8" t="s">
        <v>2531</v>
      </c>
      <c r="J816" s="5">
        <f>326-21</f>
        <v>305</v>
      </c>
      <c r="K816" s="5" t="s">
        <v>292</v>
      </c>
      <c r="L816" s="5" t="s">
        <v>2491</v>
      </c>
      <c r="M816" s="5">
        <v>6</v>
      </c>
      <c r="N816" s="5" t="s">
        <v>2532</v>
      </c>
      <c r="O816" s="5" t="s">
        <v>789</v>
      </c>
      <c r="Q816" s="5" t="s">
        <v>2528</v>
      </c>
    </row>
    <row r="817" spans="1:17" x14ac:dyDescent="0.2">
      <c r="A817" s="5">
        <v>785</v>
      </c>
      <c r="B817" s="8" t="s">
        <v>2533</v>
      </c>
      <c r="H817" s="8" t="s">
        <v>2534</v>
      </c>
      <c r="I817" s="8" t="s">
        <v>2533</v>
      </c>
      <c r="J817" s="5" t="s">
        <v>2535</v>
      </c>
      <c r="K817" s="5" t="s">
        <v>292</v>
      </c>
      <c r="L817" s="5" t="s">
        <v>2491</v>
      </c>
      <c r="M817" s="5">
        <v>6</v>
      </c>
      <c r="N817" s="5" t="s">
        <v>2532</v>
      </c>
      <c r="O817" s="5" t="s">
        <v>789</v>
      </c>
      <c r="Q817" s="5" t="s">
        <v>2536</v>
      </c>
    </row>
    <row r="818" spans="1:17" x14ac:dyDescent="0.2">
      <c r="A818" s="5">
        <v>786</v>
      </c>
      <c r="B818" s="8" t="s">
        <v>2537</v>
      </c>
      <c r="H818" s="8" t="s">
        <v>2538</v>
      </c>
      <c r="I818" s="8" t="s">
        <v>2539</v>
      </c>
      <c r="J818" s="5">
        <f>81-10-6</f>
        <v>65</v>
      </c>
      <c r="K818" s="5" t="s">
        <v>292</v>
      </c>
      <c r="L818" s="5" t="s">
        <v>2491</v>
      </c>
      <c r="M818" s="5">
        <v>6</v>
      </c>
      <c r="N818" s="5" t="s">
        <v>2527</v>
      </c>
      <c r="O818" s="5" t="s">
        <v>789</v>
      </c>
      <c r="Q818" s="5" t="s">
        <v>2528</v>
      </c>
    </row>
    <row r="819" spans="1:17" x14ac:dyDescent="0.2">
      <c r="A819" s="5">
        <v>787</v>
      </c>
      <c r="B819" s="8" t="s">
        <v>2540</v>
      </c>
      <c r="H819" s="8" t="s">
        <v>2541</v>
      </c>
      <c r="I819" s="8" t="s">
        <v>2542</v>
      </c>
      <c r="J819" s="5">
        <v>9</v>
      </c>
      <c r="K819" s="5" t="s">
        <v>292</v>
      </c>
      <c r="L819" s="5" t="s">
        <v>2491</v>
      </c>
      <c r="M819" s="5">
        <v>6</v>
      </c>
      <c r="N819" s="5" t="s">
        <v>1771</v>
      </c>
      <c r="O819" s="5" t="s">
        <v>789</v>
      </c>
      <c r="Q819" s="5" t="s">
        <v>2543</v>
      </c>
    </row>
    <row r="820" spans="1:17" x14ac:dyDescent="0.2">
      <c r="A820" s="5">
        <v>788</v>
      </c>
      <c r="B820" s="8" t="s">
        <v>2544</v>
      </c>
      <c r="H820" s="8" t="s">
        <v>2545</v>
      </c>
      <c r="I820" s="8" t="s">
        <v>2546</v>
      </c>
      <c r="J820" s="5">
        <v>0</v>
      </c>
      <c r="K820" s="5" t="s">
        <v>292</v>
      </c>
      <c r="L820" s="5" t="s">
        <v>2491</v>
      </c>
      <c r="M820" s="5">
        <v>6</v>
      </c>
      <c r="N820" s="5" t="s">
        <v>2547</v>
      </c>
      <c r="O820" s="5" t="s">
        <v>789</v>
      </c>
      <c r="Q820" s="5" t="s">
        <v>2548</v>
      </c>
    </row>
    <row r="821" spans="1:17" x14ac:dyDescent="0.2">
      <c r="A821" s="5">
        <v>789</v>
      </c>
      <c r="B821" s="8" t="s">
        <v>2549</v>
      </c>
      <c r="H821" s="8" t="s">
        <v>2550</v>
      </c>
      <c r="I821" s="8" t="s">
        <v>2551</v>
      </c>
      <c r="J821" s="5">
        <v>17</v>
      </c>
      <c r="K821" s="5" t="s">
        <v>292</v>
      </c>
      <c r="L821" s="5" t="s">
        <v>2491</v>
      </c>
      <c r="M821" s="5">
        <v>6</v>
      </c>
      <c r="N821" s="5" t="s">
        <v>2552</v>
      </c>
      <c r="O821" s="5" t="s">
        <v>789</v>
      </c>
      <c r="Q821" s="5" t="s">
        <v>2536</v>
      </c>
    </row>
    <row r="822" spans="1:17" x14ac:dyDescent="0.2">
      <c r="A822" s="5">
        <v>790</v>
      </c>
      <c r="B822" s="11" t="s">
        <v>2553</v>
      </c>
      <c r="C822" s="11"/>
      <c r="D822" s="11"/>
      <c r="E822" s="26"/>
      <c r="F822" s="11"/>
      <c r="G822" s="11"/>
      <c r="H822" s="8" t="s">
        <v>2554</v>
      </c>
      <c r="I822" s="8" t="s">
        <v>2555</v>
      </c>
      <c r="J822" s="5">
        <v>0</v>
      </c>
      <c r="K822" s="5" t="s">
        <v>292</v>
      </c>
      <c r="L822" s="5" t="s">
        <v>2491</v>
      </c>
      <c r="M822" s="5">
        <v>6</v>
      </c>
      <c r="N822" s="5" t="s">
        <v>2527</v>
      </c>
      <c r="O822" s="5" t="s">
        <v>789</v>
      </c>
      <c r="Q822" s="5" t="s">
        <v>2556</v>
      </c>
    </row>
    <row r="823" spans="1:17" x14ac:dyDescent="0.2">
      <c r="A823" s="5">
        <v>791</v>
      </c>
      <c r="B823" s="11" t="s">
        <v>2557</v>
      </c>
      <c r="C823" s="11"/>
      <c r="D823" s="11"/>
      <c r="E823" s="26"/>
      <c r="F823" s="11"/>
      <c r="G823" s="11"/>
      <c r="H823" s="8" t="s">
        <v>2558</v>
      </c>
      <c r="I823" s="8" t="s">
        <v>2559</v>
      </c>
      <c r="J823" s="5">
        <v>0</v>
      </c>
      <c r="K823" s="5" t="s">
        <v>292</v>
      </c>
      <c r="L823" s="5" t="s">
        <v>2491</v>
      </c>
      <c r="M823" s="5">
        <v>6</v>
      </c>
      <c r="N823" s="5" t="s">
        <v>2527</v>
      </c>
      <c r="O823" s="5" t="s">
        <v>789</v>
      </c>
      <c r="Q823" s="5" t="s">
        <v>2556</v>
      </c>
    </row>
    <row r="824" spans="1:17" x14ac:dyDescent="0.2">
      <c r="A824" s="5">
        <v>793</v>
      </c>
      <c r="B824" s="8" t="s">
        <v>2560</v>
      </c>
      <c r="H824" s="8" t="s">
        <v>2561</v>
      </c>
      <c r="I824" s="8" t="s">
        <v>2562</v>
      </c>
      <c r="J824" s="5">
        <v>0</v>
      </c>
      <c r="K824" s="5" t="s">
        <v>292</v>
      </c>
      <c r="L824" s="5" t="s">
        <v>2491</v>
      </c>
      <c r="M824" s="5">
        <v>6</v>
      </c>
      <c r="N824" s="5" t="s">
        <v>2552</v>
      </c>
      <c r="O824" s="5" t="s">
        <v>789</v>
      </c>
      <c r="Q824" s="5" t="s">
        <v>2563</v>
      </c>
    </row>
    <row r="825" spans="1:17" x14ac:dyDescent="0.2">
      <c r="A825" s="5">
        <v>794</v>
      </c>
      <c r="B825" s="11" t="s">
        <v>2564</v>
      </c>
      <c r="C825" s="36"/>
      <c r="D825" s="11"/>
      <c r="E825" s="26"/>
      <c r="F825" s="11"/>
      <c r="G825" s="11"/>
      <c r="H825" s="8" t="s">
        <v>2565</v>
      </c>
      <c r="I825" s="8" t="s">
        <v>2566</v>
      </c>
      <c r="J825" s="5">
        <v>0</v>
      </c>
      <c r="K825" s="5" t="s">
        <v>292</v>
      </c>
      <c r="L825" s="5" t="s">
        <v>2491</v>
      </c>
      <c r="M825" s="5">
        <v>6</v>
      </c>
      <c r="N825" s="5" t="s">
        <v>2527</v>
      </c>
      <c r="O825" s="5" t="s">
        <v>789</v>
      </c>
      <c r="Q825" s="5" t="s">
        <v>2567</v>
      </c>
    </row>
    <row r="826" spans="1:17" x14ac:dyDescent="0.2">
      <c r="A826" s="5">
        <v>795</v>
      </c>
      <c r="B826" s="8" t="s">
        <v>2568</v>
      </c>
      <c r="H826" s="8" t="s">
        <v>2569</v>
      </c>
      <c r="I826" s="8" t="s">
        <v>2570</v>
      </c>
      <c r="J826" s="5">
        <v>0</v>
      </c>
      <c r="K826" s="5" t="s">
        <v>292</v>
      </c>
      <c r="L826" s="5" t="s">
        <v>2491</v>
      </c>
      <c r="M826" s="5">
        <v>6</v>
      </c>
      <c r="N826" s="5" t="s">
        <v>2552</v>
      </c>
      <c r="O826" s="5" t="s">
        <v>789</v>
      </c>
      <c r="Q826" s="5" t="s">
        <v>2571</v>
      </c>
    </row>
    <row r="827" spans="1:17" x14ac:dyDescent="0.2">
      <c r="A827" s="5">
        <v>806</v>
      </c>
      <c r="B827" s="8" t="s">
        <v>2572</v>
      </c>
      <c r="H827" s="8" t="s">
        <v>2573</v>
      </c>
      <c r="I827" s="8" t="s">
        <v>2573</v>
      </c>
      <c r="J827" s="5">
        <v>0</v>
      </c>
      <c r="K827" s="5" t="s">
        <v>292</v>
      </c>
      <c r="L827" s="5" t="s">
        <v>2491</v>
      </c>
      <c r="M827" s="5">
        <v>7</v>
      </c>
      <c r="N827" s="5" t="s">
        <v>1771</v>
      </c>
      <c r="O827" s="5" t="s">
        <v>789</v>
      </c>
      <c r="Q827" s="5" t="s">
        <v>2574</v>
      </c>
    </row>
    <row r="828" spans="1:17" x14ac:dyDescent="0.2">
      <c r="A828" s="5">
        <v>807</v>
      </c>
      <c r="B828" s="8" t="s">
        <v>2575</v>
      </c>
      <c r="H828" s="8" t="s">
        <v>2576</v>
      </c>
      <c r="I828" s="8" t="s">
        <v>2576</v>
      </c>
      <c r="J828" s="5">
        <v>0</v>
      </c>
      <c r="K828" s="5" t="s">
        <v>292</v>
      </c>
      <c r="L828" s="5" t="s">
        <v>2491</v>
      </c>
      <c r="M828" s="5">
        <v>7</v>
      </c>
      <c r="N828" s="5" t="s">
        <v>1771</v>
      </c>
      <c r="O828" s="5" t="s">
        <v>789</v>
      </c>
      <c r="Q828" s="5" t="s">
        <v>2574</v>
      </c>
    </row>
    <row r="829" spans="1:17" x14ac:dyDescent="0.2">
      <c r="A829" s="5">
        <v>808</v>
      </c>
      <c r="B829" s="11" t="s">
        <v>2577</v>
      </c>
      <c r="C829" s="11"/>
      <c r="D829" s="11"/>
      <c r="E829" s="26"/>
      <c r="F829" s="11"/>
      <c r="G829" s="11"/>
      <c r="H829" s="8" t="s">
        <v>2578</v>
      </c>
      <c r="I829" s="8" t="s">
        <v>2578</v>
      </c>
      <c r="J829" s="5">
        <v>0</v>
      </c>
      <c r="K829" s="5" t="s">
        <v>292</v>
      </c>
      <c r="L829" s="5" t="s">
        <v>2491</v>
      </c>
      <c r="M829" s="5">
        <v>7</v>
      </c>
      <c r="N829" s="5" t="s">
        <v>2527</v>
      </c>
      <c r="O829" s="5" t="s">
        <v>789</v>
      </c>
      <c r="Q829" s="5" t="s">
        <v>2556</v>
      </c>
    </row>
    <row r="830" spans="1:17" x14ac:dyDescent="0.2">
      <c r="A830" s="5">
        <v>809</v>
      </c>
      <c r="B830" s="8" t="s">
        <v>2579</v>
      </c>
      <c r="H830" s="8" t="s">
        <v>2580</v>
      </c>
      <c r="I830" s="8" t="s">
        <v>2580</v>
      </c>
      <c r="J830" s="5">
        <v>13</v>
      </c>
      <c r="K830" s="5" t="s">
        <v>292</v>
      </c>
      <c r="L830" s="5" t="s">
        <v>2491</v>
      </c>
      <c r="M830" s="5">
        <v>7</v>
      </c>
      <c r="N830" s="5" t="s">
        <v>1771</v>
      </c>
      <c r="O830" s="5" t="s">
        <v>789</v>
      </c>
      <c r="Q830" s="5" t="s">
        <v>2581</v>
      </c>
    </row>
    <row r="831" spans="1:17" x14ac:dyDescent="0.2">
      <c r="A831" s="5">
        <v>720</v>
      </c>
      <c r="B831" s="8" t="s">
        <v>2582</v>
      </c>
      <c r="H831" s="8" t="s">
        <v>2583</v>
      </c>
      <c r="I831" s="8" t="s">
        <v>2583</v>
      </c>
      <c r="J831" s="5">
        <v>3</v>
      </c>
      <c r="K831" s="5" t="s">
        <v>292</v>
      </c>
      <c r="L831" s="5" t="s">
        <v>2491</v>
      </c>
      <c r="M831" s="5">
        <v>8</v>
      </c>
      <c r="N831" s="5" t="s">
        <v>2584</v>
      </c>
      <c r="O831" s="5" t="s">
        <v>789</v>
      </c>
      <c r="Q831" s="10" t="s">
        <v>553</v>
      </c>
    </row>
    <row r="832" spans="1:17" x14ac:dyDescent="0.2">
      <c r="A832" s="5">
        <v>721</v>
      </c>
      <c r="B832" s="8" t="s">
        <v>2585</v>
      </c>
      <c r="C832" s="8" t="s">
        <v>2586</v>
      </c>
      <c r="D832" s="8" t="s">
        <v>2587</v>
      </c>
      <c r="E832" s="24">
        <v>43676</v>
      </c>
      <c r="F832" s="8" t="s">
        <v>259</v>
      </c>
      <c r="G832" s="8" t="s">
        <v>260</v>
      </c>
      <c r="H832" s="8" t="s">
        <v>2588</v>
      </c>
      <c r="I832" s="8" t="s">
        <v>2589</v>
      </c>
      <c r="J832" s="5">
        <v>17</v>
      </c>
      <c r="K832" s="5" t="s">
        <v>292</v>
      </c>
      <c r="L832" s="5" t="s">
        <v>2491</v>
      </c>
      <c r="M832" s="5">
        <v>8</v>
      </c>
      <c r="N832" s="5" t="s">
        <v>2492</v>
      </c>
      <c r="O832" s="5" t="s">
        <v>789</v>
      </c>
      <c r="Q832" s="5" t="s">
        <v>2590</v>
      </c>
    </row>
    <row r="833" spans="1:19" x14ac:dyDescent="0.2">
      <c r="A833" s="5">
        <v>722</v>
      </c>
      <c r="B833" s="8" t="s">
        <v>2591</v>
      </c>
      <c r="H833" s="8" t="s">
        <v>2592</v>
      </c>
      <c r="I833" s="8" t="s">
        <v>2592</v>
      </c>
      <c r="J833" s="5">
        <f>524-22-1-50</f>
        <v>451</v>
      </c>
      <c r="K833" s="5" t="s">
        <v>292</v>
      </c>
      <c r="L833" s="5" t="s">
        <v>2491</v>
      </c>
      <c r="M833" s="5">
        <v>8</v>
      </c>
      <c r="N833" s="5" t="s">
        <v>2593</v>
      </c>
      <c r="O833" s="5" t="s">
        <v>789</v>
      </c>
      <c r="Q833" s="10" t="s">
        <v>553</v>
      </c>
    </row>
    <row r="834" spans="1:19" x14ac:dyDescent="0.2">
      <c r="A834" s="5">
        <v>723</v>
      </c>
      <c r="B834" s="8" t="s">
        <v>2594</v>
      </c>
      <c r="H834" s="8" t="s">
        <v>2595</v>
      </c>
      <c r="I834" s="8" t="s">
        <v>2595</v>
      </c>
      <c r="J834" s="5">
        <f>19-4-2-1-1-1-1</f>
        <v>9</v>
      </c>
      <c r="K834" s="5" t="s">
        <v>292</v>
      </c>
      <c r="L834" s="5" t="s">
        <v>2491</v>
      </c>
      <c r="M834" s="5">
        <v>9</v>
      </c>
      <c r="N834" s="5" t="s">
        <v>2492</v>
      </c>
      <c r="O834" s="5" t="s">
        <v>789</v>
      </c>
      <c r="Q834" s="5" t="s">
        <v>2596</v>
      </c>
    </row>
    <row r="835" spans="1:19" x14ac:dyDescent="0.2">
      <c r="A835" s="5">
        <v>739</v>
      </c>
      <c r="B835" s="11" t="s">
        <v>2597</v>
      </c>
      <c r="C835" s="11"/>
      <c r="D835" s="11"/>
      <c r="E835" s="26"/>
      <c r="F835" s="11"/>
      <c r="G835" s="11"/>
      <c r="H835" s="8" t="s">
        <v>2598</v>
      </c>
      <c r="I835" s="8" t="s">
        <v>2598</v>
      </c>
      <c r="J835" s="5">
        <f>0</f>
        <v>0</v>
      </c>
      <c r="K835" s="5" t="s">
        <v>292</v>
      </c>
      <c r="L835" s="5" t="s">
        <v>2491</v>
      </c>
      <c r="M835" s="5">
        <v>9</v>
      </c>
      <c r="N835" s="5" t="s">
        <v>2492</v>
      </c>
      <c r="O835" s="5" t="s">
        <v>789</v>
      </c>
      <c r="Q835" s="5" t="s">
        <v>2599</v>
      </c>
    </row>
    <row r="836" spans="1:19" x14ac:dyDescent="0.2">
      <c r="A836" s="5"/>
      <c r="B836" s="8" t="s">
        <v>2600</v>
      </c>
      <c r="H836" s="8" t="s">
        <v>89</v>
      </c>
      <c r="I836" s="8" t="s">
        <v>89</v>
      </c>
      <c r="J836" s="5">
        <f>9</f>
        <v>9</v>
      </c>
      <c r="K836" s="5" t="s">
        <v>292</v>
      </c>
      <c r="L836" s="5" t="s">
        <v>2491</v>
      </c>
      <c r="M836" s="5">
        <v>9</v>
      </c>
      <c r="N836" s="5" t="s">
        <v>2492</v>
      </c>
      <c r="O836" s="5" t="s">
        <v>789</v>
      </c>
      <c r="Q836" s="5" t="s">
        <v>2601</v>
      </c>
      <c r="S836" s="5" t="s">
        <v>328</v>
      </c>
    </row>
    <row r="837" spans="1:19" x14ac:dyDescent="0.2">
      <c r="A837" s="5">
        <v>736</v>
      </c>
      <c r="B837" s="8" t="s">
        <v>2602</v>
      </c>
      <c r="H837" s="8" t="s">
        <v>2603</v>
      </c>
      <c r="I837" s="8" t="s">
        <v>2603</v>
      </c>
      <c r="J837" s="5">
        <v>150</v>
      </c>
      <c r="K837" s="5" t="s">
        <v>292</v>
      </c>
      <c r="L837" s="5" t="s">
        <v>2491</v>
      </c>
      <c r="M837" s="5">
        <v>10</v>
      </c>
      <c r="N837" s="5" t="s">
        <v>2522</v>
      </c>
      <c r="O837" s="5" t="s">
        <v>789</v>
      </c>
      <c r="Q837" s="10" t="s">
        <v>553</v>
      </c>
      <c r="S837" s="5" t="s">
        <v>328</v>
      </c>
    </row>
    <row r="838" spans="1:19" x14ac:dyDescent="0.2">
      <c r="A838" s="5">
        <v>737</v>
      </c>
      <c r="B838" s="8" t="s">
        <v>2604</v>
      </c>
      <c r="D838" s="8" t="s">
        <v>2605</v>
      </c>
      <c r="E838" s="24">
        <v>43676</v>
      </c>
      <c r="F838" s="8" t="s">
        <v>259</v>
      </c>
      <c r="G838" s="8" t="s">
        <v>260</v>
      </c>
      <c r="H838" s="8" t="s">
        <v>2606</v>
      </c>
      <c r="I838" s="8" t="s">
        <v>2607</v>
      </c>
      <c r="J838" s="5">
        <v>2</v>
      </c>
      <c r="K838" s="5" t="s">
        <v>292</v>
      </c>
      <c r="L838" s="5" t="s">
        <v>2491</v>
      </c>
      <c r="M838" s="5">
        <v>10</v>
      </c>
      <c r="N838" s="5" t="s">
        <v>2522</v>
      </c>
      <c r="O838" s="5" t="s">
        <v>789</v>
      </c>
      <c r="Q838" s="10" t="s">
        <v>553</v>
      </c>
      <c r="S838" s="5" t="s">
        <v>328</v>
      </c>
    </row>
    <row r="839" spans="1:19" x14ac:dyDescent="0.2">
      <c r="A839" s="5">
        <v>738</v>
      </c>
      <c r="B839" s="8" t="s">
        <v>2608</v>
      </c>
      <c r="D839" s="8" t="s">
        <v>2605</v>
      </c>
      <c r="E839" s="24">
        <v>43676</v>
      </c>
      <c r="F839" s="8" t="s">
        <v>259</v>
      </c>
      <c r="G839" s="8" t="s">
        <v>260</v>
      </c>
      <c r="H839" s="8" t="s">
        <v>2609</v>
      </c>
      <c r="I839" s="8" t="s">
        <v>2610</v>
      </c>
      <c r="J839" s="5">
        <v>6</v>
      </c>
      <c r="K839" s="5" t="s">
        <v>292</v>
      </c>
      <c r="L839" s="5" t="s">
        <v>2491</v>
      </c>
      <c r="M839" s="5">
        <v>10</v>
      </c>
      <c r="N839" s="5" t="s">
        <v>2522</v>
      </c>
      <c r="O839" s="5" t="s">
        <v>789</v>
      </c>
      <c r="Q839" s="10" t="s">
        <v>553</v>
      </c>
      <c r="S839" s="5" t="s">
        <v>328</v>
      </c>
    </row>
    <row r="840" spans="1:19" x14ac:dyDescent="0.2">
      <c r="A840" s="5">
        <v>751</v>
      </c>
      <c r="B840" s="8" t="s">
        <v>2611</v>
      </c>
      <c r="H840" s="8" t="s">
        <v>2612</v>
      </c>
      <c r="I840" s="8" t="s">
        <v>2612</v>
      </c>
      <c r="J840" s="5">
        <v>3</v>
      </c>
      <c r="K840" s="5" t="s">
        <v>292</v>
      </c>
      <c r="L840" s="5" t="s">
        <v>2491</v>
      </c>
      <c r="M840" s="5">
        <v>11</v>
      </c>
      <c r="N840" s="5" t="s">
        <v>2613</v>
      </c>
      <c r="O840" s="5" t="s">
        <v>789</v>
      </c>
      <c r="Q840" s="10" t="s">
        <v>553</v>
      </c>
      <c r="S840" s="5" t="s">
        <v>328</v>
      </c>
    </row>
    <row r="841" spans="1:19" x14ac:dyDescent="0.2">
      <c r="A841" s="5">
        <v>752</v>
      </c>
      <c r="B841" s="8" t="s">
        <v>2614</v>
      </c>
      <c r="H841" s="8" t="s">
        <v>2615</v>
      </c>
      <c r="I841" s="8" t="s">
        <v>2615</v>
      </c>
      <c r="J841" s="5">
        <v>3</v>
      </c>
      <c r="K841" s="5" t="s">
        <v>292</v>
      </c>
      <c r="L841" s="5" t="s">
        <v>2491</v>
      </c>
      <c r="M841" s="5">
        <v>11</v>
      </c>
      <c r="N841" s="5" t="s">
        <v>2613</v>
      </c>
      <c r="O841" s="5" t="s">
        <v>789</v>
      </c>
      <c r="Q841" s="10" t="s">
        <v>553</v>
      </c>
      <c r="S841" s="5" t="s">
        <v>328</v>
      </c>
    </row>
    <row r="842" spans="1:19" x14ac:dyDescent="0.2">
      <c r="A842" s="5">
        <v>753</v>
      </c>
      <c r="B842" s="8" t="s">
        <v>2616</v>
      </c>
      <c r="H842" s="8" t="s">
        <v>2617</v>
      </c>
      <c r="I842" s="8" t="s">
        <v>2618</v>
      </c>
      <c r="J842" s="5">
        <v>1</v>
      </c>
      <c r="K842" s="5" t="s">
        <v>292</v>
      </c>
      <c r="L842" s="5" t="s">
        <v>2491</v>
      </c>
      <c r="M842" s="5">
        <v>11</v>
      </c>
      <c r="N842" s="5" t="s">
        <v>2613</v>
      </c>
      <c r="O842" s="5" t="s">
        <v>789</v>
      </c>
      <c r="Q842" s="10" t="s">
        <v>553</v>
      </c>
      <c r="S842" s="5" t="s">
        <v>328</v>
      </c>
    </row>
    <row r="843" spans="1:19" x14ac:dyDescent="0.2">
      <c r="A843" s="5">
        <v>754</v>
      </c>
      <c r="B843" s="8" t="s">
        <v>2619</v>
      </c>
      <c r="H843" s="8" t="s">
        <v>2620</v>
      </c>
      <c r="I843" s="8" t="s">
        <v>2620</v>
      </c>
      <c r="J843" s="5">
        <v>7</v>
      </c>
      <c r="K843" s="5" t="s">
        <v>2621</v>
      </c>
      <c r="L843" s="5" t="s">
        <v>2491</v>
      </c>
      <c r="M843" s="5">
        <v>11</v>
      </c>
      <c r="N843" s="5" t="s">
        <v>2613</v>
      </c>
      <c r="O843" s="5" t="s">
        <v>789</v>
      </c>
      <c r="Q843" s="10" t="s">
        <v>553</v>
      </c>
      <c r="S843" s="5" t="s">
        <v>1139</v>
      </c>
    </row>
    <row r="844" spans="1:19" x14ac:dyDescent="0.2">
      <c r="A844" s="5">
        <v>756</v>
      </c>
      <c r="B844" s="8" t="s">
        <v>2622</v>
      </c>
      <c r="H844" s="8" t="s">
        <v>2623</v>
      </c>
      <c r="I844" s="8" t="s">
        <v>2623</v>
      </c>
      <c r="J844" s="5">
        <v>6</v>
      </c>
      <c r="K844" s="5" t="s">
        <v>292</v>
      </c>
      <c r="L844" s="5" t="s">
        <v>2491</v>
      </c>
      <c r="M844" s="5">
        <v>11</v>
      </c>
      <c r="N844" s="5" t="s">
        <v>2613</v>
      </c>
      <c r="O844" s="5" t="s">
        <v>789</v>
      </c>
      <c r="Q844" s="10" t="s">
        <v>553</v>
      </c>
      <c r="S844" s="5" t="s">
        <v>328</v>
      </c>
    </row>
    <row r="845" spans="1:19" x14ac:dyDescent="0.2">
      <c r="A845" s="5">
        <v>748</v>
      </c>
      <c r="B845" s="11" t="s">
        <v>2624</v>
      </c>
      <c r="C845" s="11"/>
      <c r="D845" s="11"/>
      <c r="E845" s="26"/>
      <c r="F845" s="11"/>
      <c r="G845" s="11"/>
      <c r="H845" s="8" t="s">
        <v>2625</v>
      </c>
      <c r="I845" s="8" t="s">
        <v>2625</v>
      </c>
      <c r="J845" s="5">
        <v>12</v>
      </c>
      <c r="K845" s="5" t="s">
        <v>292</v>
      </c>
      <c r="L845" s="5" t="s">
        <v>2491</v>
      </c>
      <c r="M845" s="5">
        <v>12</v>
      </c>
      <c r="N845" s="5" t="s">
        <v>2492</v>
      </c>
      <c r="O845" s="5" t="s">
        <v>789</v>
      </c>
      <c r="Q845" s="10" t="s">
        <v>553</v>
      </c>
      <c r="S845" s="5" t="s">
        <v>328</v>
      </c>
    </row>
    <row r="846" spans="1:19" x14ac:dyDescent="0.2">
      <c r="A846" s="5">
        <v>757</v>
      </c>
      <c r="B846" s="8" t="s">
        <v>2626</v>
      </c>
      <c r="H846" s="8" t="s">
        <v>2627</v>
      </c>
      <c r="I846" s="8" t="s">
        <v>2627</v>
      </c>
      <c r="J846" s="5">
        <v>9</v>
      </c>
      <c r="K846" s="5" t="s">
        <v>292</v>
      </c>
      <c r="L846" s="5" t="s">
        <v>2491</v>
      </c>
      <c r="M846" s="5">
        <v>12</v>
      </c>
      <c r="N846" s="5" t="s">
        <v>2492</v>
      </c>
      <c r="O846" s="5" t="s">
        <v>789</v>
      </c>
      <c r="Q846" s="10" t="s">
        <v>553</v>
      </c>
      <c r="S846" s="5" t="s">
        <v>328</v>
      </c>
    </row>
    <row r="847" spans="1:19" x14ac:dyDescent="0.2">
      <c r="A847" s="5">
        <v>758</v>
      </c>
      <c r="B847" s="8" t="s">
        <v>2628</v>
      </c>
      <c r="H847" s="8" t="s">
        <v>2629</v>
      </c>
      <c r="I847" s="8" t="s">
        <v>2629</v>
      </c>
      <c r="J847" s="5">
        <v>5</v>
      </c>
      <c r="K847" s="5" t="s">
        <v>292</v>
      </c>
      <c r="L847" s="5" t="s">
        <v>2491</v>
      </c>
      <c r="M847" s="5">
        <v>12</v>
      </c>
      <c r="N847" s="5" t="s">
        <v>2492</v>
      </c>
      <c r="O847" s="5" t="s">
        <v>789</v>
      </c>
      <c r="Q847" s="10" t="s">
        <v>553</v>
      </c>
      <c r="S847" s="5" t="s">
        <v>328</v>
      </c>
    </row>
    <row r="848" spans="1:19" x14ac:dyDescent="0.2">
      <c r="A848" s="5">
        <v>759</v>
      </c>
      <c r="B848" s="8" t="s">
        <v>2630</v>
      </c>
      <c r="C848" s="11"/>
      <c r="D848" s="11"/>
      <c r="E848" s="26"/>
      <c r="F848" s="11"/>
      <c r="G848" s="11"/>
      <c r="H848" s="8" t="s">
        <v>2631</v>
      </c>
      <c r="I848" s="8" t="s">
        <v>2632</v>
      </c>
      <c r="J848" s="5">
        <f>10-1+5</f>
        <v>14</v>
      </c>
      <c r="K848" s="5" t="s">
        <v>292</v>
      </c>
      <c r="L848" s="5" t="s">
        <v>2491</v>
      </c>
      <c r="M848" s="5">
        <v>12</v>
      </c>
      <c r="N848" s="5" t="s">
        <v>2492</v>
      </c>
      <c r="O848" s="5" t="s">
        <v>789</v>
      </c>
      <c r="Q848" s="10" t="s">
        <v>553</v>
      </c>
      <c r="S848" s="5" t="s">
        <v>328</v>
      </c>
    </row>
    <row r="849" spans="1:21" x14ac:dyDescent="0.2">
      <c r="A849" s="5">
        <v>760</v>
      </c>
      <c r="B849" s="8" t="s">
        <v>2633</v>
      </c>
      <c r="H849" s="8" t="s">
        <v>2634</v>
      </c>
      <c r="I849" s="8" t="s">
        <v>2634</v>
      </c>
      <c r="J849" s="5">
        <v>9</v>
      </c>
      <c r="K849" s="5" t="s">
        <v>292</v>
      </c>
      <c r="L849" s="5" t="s">
        <v>2491</v>
      </c>
      <c r="M849" s="5">
        <v>12</v>
      </c>
      <c r="N849" s="5" t="s">
        <v>2492</v>
      </c>
      <c r="O849" s="5" t="s">
        <v>789</v>
      </c>
      <c r="Q849" s="10" t="s">
        <v>553</v>
      </c>
      <c r="S849" s="5" t="s">
        <v>328</v>
      </c>
    </row>
    <row r="850" spans="1:21" x14ac:dyDescent="0.2">
      <c r="A850" s="5">
        <v>761</v>
      </c>
      <c r="B850" s="8" t="s">
        <v>2635</v>
      </c>
      <c r="H850" s="8" t="s">
        <v>2636</v>
      </c>
      <c r="I850" s="8" t="s">
        <v>2636</v>
      </c>
      <c r="J850" s="5">
        <v>2</v>
      </c>
      <c r="K850" s="5" t="s">
        <v>292</v>
      </c>
      <c r="L850" s="5" t="s">
        <v>2491</v>
      </c>
      <c r="M850" s="5">
        <v>12</v>
      </c>
      <c r="N850" s="5" t="s">
        <v>2492</v>
      </c>
      <c r="O850" s="5" t="s">
        <v>789</v>
      </c>
      <c r="Q850" s="10" t="s">
        <v>553</v>
      </c>
      <c r="S850" s="5" t="s">
        <v>328</v>
      </c>
    </row>
    <row r="851" spans="1:21" x14ac:dyDescent="0.2">
      <c r="A851" s="5">
        <v>762</v>
      </c>
      <c r="B851" s="8" t="s">
        <v>2637</v>
      </c>
      <c r="H851" s="8" t="s">
        <v>2638</v>
      </c>
      <c r="I851" s="8" t="s">
        <v>2638</v>
      </c>
      <c r="J851" s="5">
        <v>6</v>
      </c>
      <c r="K851" s="5" t="s">
        <v>292</v>
      </c>
      <c r="L851" s="5" t="s">
        <v>2491</v>
      </c>
      <c r="M851" s="5">
        <v>12</v>
      </c>
      <c r="N851" s="5" t="s">
        <v>2492</v>
      </c>
      <c r="O851" s="5" t="s">
        <v>789</v>
      </c>
      <c r="Q851" s="10" t="s">
        <v>553</v>
      </c>
      <c r="S851" s="5" t="s">
        <v>328</v>
      </c>
    </row>
    <row r="852" spans="1:21" x14ac:dyDescent="0.2">
      <c r="A852" s="5">
        <v>763</v>
      </c>
      <c r="B852" s="8" t="s">
        <v>2639</v>
      </c>
      <c r="H852" s="8" t="s">
        <v>2640</v>
      </c>
      <c r="I852" s="8" t="s">
        <v>2641</v>
      </c>
      <c r="J852" s="5">
        <v>52</v>
      </c>
      <c r="K852" s="5" t="s">
        <v>292</v>
      </c>
      <c r="L852" s="5" t="s">
        <v>2491</v>
      </c>
      <c r="M852" s="5">
        <v>12</v>
      </c>
      <c r="N852" s="5" t="s">
        <v>2642</v>
      </c>
      <c r="O852" s="5" t="s">
        <v>789</v>
      </c>
      <c r="Q852" s="10" t="s">
        <v>553</v>
      </c>
      <c r="S852" s="5" t="s">
        <v>328</v>
      </c>
    </row>
    <row r="853" spans="1:21" x14ac:dyDescent="0.2">
      <c r="A853" s="5">
        <v>764</v>
      </c>
      <c r="B853" s="8" t="s">
        <v>2643</v>
      </c>
      <c r="H853" s="8" t="s">
        <v>2644</v>
      </c>
      <c r="I853" s="8" t="s">
        <v>2644</v>
      </c>
      <c r="J853" s="5">
        <v>20</v>
      </c>
      <c r="K853" s="5" t="s">
        <v>292</v>
      </c>
      <c r="L853" s="5" t="s">
        <v>2491</v>
      </c>
      <c r="M853" s="5">
        <v>12</v>
      </c>
      <c r="N853" s="5" t="s">
        <v>2593</v>
      </c>
      <c r="O853" s="5" t="s">
        <v>789</v>
      </c>
      <c r="Q853" s="10" t="s">
        <v>553</v>
      </c>
    </row>
    <row r="854" spans="1:21" x14ac:dyDescent="0.2">
      <c r="A854" s="5"/>
      <c r="B854" s="8">
        <v>521978</v>
      </c>
      <c r="H854" s="8" t="s">
        <v>2645</v>
      </c>
      <c r="I854" s="8" t="s">
        <v>2646</v>
      </c>
      <c r="J854" s="5">
        <v>0</v>
      </c>
      <c r="K854" s="5" t="s">
        <v>292</v>
      </c>
      <c r="L854" s="5" t="s">
        <v>2491</v>
      </c>
      <c r="M854" s="5">
        <v>12</v>
      </c>
      <c r="N854" s="5" t="s">
        <v>2492</v>
      </c>
      <c r="Q854" s="10"/>
    </row>
    <row r="855" spans="1:21" x14ac:dyDescent="0.2">
      <c r="A855" s="5"/>
      <c r="B855" s="8" t="s">
        <v>2647</v>
      </c>
      <c r="H855" s="8" t="s">
        <v>2648</v>
      </c>
      <c r="I855" s="8" t="s">
        <v>2648</v>
      </c>
      <c r="J855" s="5">
        <v>3</v>
      </c>
      <c r="K855" s="5" t="s">
        <v>292</v>
      </c>
      <c r="L855" s="5" t="s">
        <v>2491</v>
      </c>
      <c r="M855" s="5">
        <v>13</v>
      </c>
      <c r="N855" s="5" t="s">
        <v>2649</v>
      </c>
      <c r="O855" s="5" t="s">
        <v>520</v>
      </c>
      <c r="Q855" s="10"/>
      <c r="U855" t="s">
        <v>321</v>
      </c>
    </row>
    <row r="856" spans="1:21" x14ac:dyDescent="0.2">
      <c r="A856" s="5">
        <v>234</v>
      </c>
      <c r="B856" s="8" t="s">
        <v>2650</v>
      </c>
      <c r="D856" s="8" t="s">
        <v>2651</v>
      </c>
      <c r="E856" s="24">
        <v>43687</v>
      </c>
      <c r="F856" s="8" t="s">
        <v>259</v>
      </c>
      <c r="G856" s="8" t="s">
        <v>375</v>
      </c>
      <c r="H856" s="8" t="s">
        <v>2652</v>
      </c>
      <c r="I856" s="8" t="s">
        <v>2653</v>
      </c>
      <c r="J856" s="5">
        <v>20</v>
      </c>
      <c r="K856" s="5" t="s">
        <v>292</v>
      </c>
      <c r="L856" s="5" t="s">
        <v>2491</v>
      </c>
      <c r="M856" s="5">
        <v>13</v>
      </c>
      <c r="N856" s="5" t="s">
        <v>2649</v>
      </c>
      <c r="O856" s="5" t="s">
        <v>520</v>
      </c>
      <c r="Q856" s="5" t="s">
        <v>2654</v>
      </c>
    </row>
    <row r="857" spans="1:21" x14ac:dyDescent="0.2">
      <c r="A857" s="5">
        <v>273</v>
      </c>
      <c r="B857" s="8" t="s">
        <v>2655</v>
      </c>
      <c r="H857" s="8" t="s">
        <v>2648</v>
      </c>
      <c r="I857" s="8" t="s">
        <v>2648</v>
      </c>
      <c r="J857" s="5">
        <v>10</v>
      </c>
      <c r="K857" s="5" t="s">
        <v>292</v>
      </c>
      <c r="L857" s="5" t="s">
        <v>2491</v>
      </c>
      <c r="M857" s="5">
        <v>13</v>
      </c>
      <c r="N857" s="5" t="s">
        <v>2649</v>
      </c>
      <c r="O857" s="5" t="s">
        <v>520</v>
      </c>
      <c r="Q857" s="5" t="s">
        <v>2656</v>
      </c>
    </row>
    <row r="858" spans="1:21" x14ac:dyDescent="0.2">
      <c r="A858" s="5">
        <v>304</v>
      </c>
      <c r="B858" s="8" t="s">
        <v>206</v>
      </c>
      <c r="D858" s="8" t="s">
        <v>2651</v>
      </c>
      <c r="E858" s="24">
        <v>43687</v>
      </c>
      <c r="F858" s="8" t="s">
        <v>259</v>
      </c>
      <c r="G858" s="8" t="s">
        <v>260</v>
      </c>
      <c r="H858" s="8" t="s">
        <v>2657</v>
      </c>
      <c r="I858" s="8" t="s">
        <v>2658</v>
      </c>
      <c r="J858" s="5">
        <f>5+6-5-1+15-6-4+4+40</f>
        <v>54</v>
      </c>
      <c r="K858" s="5" t="s">
        <v>292</v>
      </c>
      <c r="L858" s="5" t="s">
        <v>2491</v>
      </c>
      <c r="M858" s="5">
        <v>13</v>
      </c>
      <c r="N858" s="5" t="s">
        <v>2649</v>
      </c>
      <c r="O858" s="5" t="s">
        <v>520</v>
      </c>
      <c r="Q858" s="5" t="s">
        <v>2659</v>
      </c>
    </row>
    <row r="859" spans="1:21" x14ac:dyDescent="0.2">
      <c r="A859" s="5"/>
      <c r="B859" s="8" t="s">
        <v>2660</v>
      </c>
      <c r="H859" s="8" t="s">
        <v>2661</v>
      </c>
      <c r="I859" s="8" t="s">
        <v>2658</v>
      </c>
      <c r="J859" s="5">
        <f>16-16+100-40-8-16-36</f>
        <v>0</v>
      </c>
      <c r="K859" s="5" t="s">
        <v>292</v>
      </c>
      <c r="L859" s="5" t="s">
        <v>2491</v>
      </c>
      <c r="M859" s="5">
        <v>13</v>
      </c>
      <c r="N859" s="5" t="s">
        <v>2649</v>
      </c>
    </row>
    <row r="860" spans="1:21" x14ac:dyDescent="0.2">
      <c r="A860" s="5">
        <v>332</v>
      </c>
      <c r="B860" s="8" t="s">
        <v>2662</v>
      </c>
      <c r="D860" s="8" t="s">
        <v>2651</v>
      </c>
      <c r="E860" s="24">
        <v>43687</v>
      </c>
      <c r="F860" s="8" t="s">
        <v>259</v>
      </c>
      <c r="G860" s="8" t="s">
        <v>260</v>
      </c>
      <c r="H860" s="8" t="s">
        <v>2663</v>
      </c>
      <c r="I860" s="8" t="s">
        <v>2664</v>
      </c>
      <c r="J860" s="5">
        <f>36+26+10</f>
        <v>72</v>
      </c>
      <c r="K860" s="5" t="s">
        <v>292</v>
      </c>
      <c r="L860" s="5" t="s">
        <v>2491</v>
      </c>
      <c r="M860" s="5">
        <v>13</v>
      </c>
      <c r="N860" s="5" t="s">
        <v>2649</v>
      </c>
      <c r="O860" s="5" t="s">
        <v>520</v>
      </c>
      <c r="Q860" s="5" t="s">
        <v>2665</v>
      </c>
    </row>
    <row r="861" spans="1:21" x14ac:dyDescent="0.2">
      <c r="A861" s="5"/>
      <c r="B861" s="8" t="s">
        <v>2666</v>
      </c>
      <c r="I861" s="8" t="s">
        <v>2667</v>
      </c>
      <c r="J861" s="5">
        <f>50</f>
        <v>50</v>
      </c>
      <c r="K861" s="5" t="s">
        <v>292</v>
      </c>
      <c r="L861" s="5" t="s">
        <v>2491</v>
      </c>
      <c r="M861" s="5">
        <v>13</v>
      </c>
    </row>
    <row r="862" spans="1:21" x14ac:dyDescent="0.2">
      <c r="A862" s="5"/>
      <c r="B862" s="8" t="s">
        <v>2668</v>
      </c>
      <c r="H862" s="8" t="s">
        <v>2669</v>
      </c>
      <c r="I862" s="8" t="s">
        <v>2669</v>
      </c>
      <c r="J862" s="5">
        <f>35-4-6-6+53-4-68</f>
        <v>0</v>
      </c>
      <c r="K862" s="5" t="s">
        <v>292</v>
      </c>
      <c r="L862" s="5" t="s">
        <v>2491</v>
      </c>
      <c r="M862" s="5">
        <v>13</v>
      </c>
      <c r="N862" s="5" t="s">
        <v>2649</v>
      </c>
      <c r="O862" s="5" t="s">
        <v>520</v>
      </c>
    </row>
    <row r="863" spans="1:21" x14ac:dyDescent="0.2">
      <c r="A863" s="5"/>
      <c r="B863" s="8" t="s">
        <v>2668</v>
      </c>
      <c r="H863" s="8" t="s">
        <v>2670</v>
      </c>
      <c r="I863" s="8" t="s">
        <v>2670</v>
      </c>
      <c r="J863" s="5">
        <f>2+20+16+86-2-16</f>
        <v>106</v>
      </c>
      <c r="K863" s="5" t="s">
        <v>21</v>
      </c>
      <c r="L863" s="5" t="s">
        <v>2491</v>
      </c>
      <c r="M863" s="5">
        <v>13</v>
      </c>
      <c r="Q863" s="107" t="s">
        <v>2671</v>
      </c>
    </row>
    <row r="864" spans="1:21" x14ac:dyDescent="0.2">
      <c r="A864" s="5"/>
      <c r="B864" s="8" t="s">
        <v>2672</v>
      </c>
      <c r="I864" s="8" t="s">
        <v>2673</v>
      </c>
      <c r="J864" s="5">
        <f>10</f>
        <v>10</v>
      </c>
      <c r="K864" s="5" t="s">
        <v>21</v>
      </c>
      <c r="L864" s="5" t="s">
        <v>2491</v>
      </c>
      <c r="M864" s="5">
        <v>13</v>
      </c>
      <c r="Q864" s="107"/>
    </row>
    <row r="865" spans="1:19" x14ac:dyDescent="0.2">
      <c r="A865" s="5"/>
      <c r="B865" s="8" t="s">
        <v>2674</v>
      </c>
      <c r="H865" s="8" t="s">
        <v>2675</v>
      </c>
      <c r="I865" s="8" t="s">
        <v>2675</v>
      </c>
      <c r="J865" s="5">
        <f>35-2</f>
        <v>33</v>
      </c>
      <c r="K865" s="5" t="s">
        <v>21</v>
      </c>
      <c r="L865" s="5" t="s">
        <v>2491</v>
      </c>
      <c r="M865" s="5">
        <v>13</v>
      </c>
      <c r="N865" s="5" t="s">
        <v>2649</v>
      </c>
      <c r="Q865" s="107" t="s">
        <v>2676</v>
      </c>
    </row>
    <row r="866" spans="1:19" x14ac:dyDescent="0.2">
      <c r="A866" s="5"/>
      <c r="B866" s="8" t="s">
        <v>2677</v>
      </c>
      <c r="I866" s="8" t="s">
        <v>2678</v>
      </c>
      <c r="J866" s="5">
        <f>20</f>
        <v>20</v>
      </c>
      <c r="K866" s="5" t="s">
        <v>21</v>
      </c>
      <c r="L866" s="5" t="s">
        <v>2491</v>
      </c>
      <c r="M866" s="5">
        <v>13</v>
      </c>
      <c r="Q866" s="107"/>
    </row>
    <row r="867" spans="1:19" x14ac:dyDescent="0.2">
      <c r="A867" s="5"/>
      <c r="B867" s="8" t="s">
        <v>2679</v>
      </c>
      <c r="I867" s="8" t="s">
        <v>2680</v>
      </c>
      <c r="J867" s="5">
        <f>23</f>
        <v>23</v>
      </c>
      <c r="K867" s="5" t="s">
        <v>21</v>
      </c>
      <c r="L867" s="5" t="s">
        <v>2491</v>
      </c>
      <c r="M867" s="5">
        <v>13</v>
      </c>
      <c r="Q867" s="107"/>
    </row>
    <row r="868" spans="1:19" x14ac:dyDescent="0.2">
      <c r="A868" s="5"/>
      <c r="B868" s="8" t="s">
        <v>2681</v>
      </c>
      <c r="I868" s="8" t="s">
        <v>2658</v>
      </c>
      <c r="J868" s="5">
        <f>24</f>
        <v>24</v>
      </c>
      <c r="K868" s="5" t="s">
        <v>21</v>
      </c>
      <c r="L868" s="5" t="s">
        <v>2491</v>
      </c>
      <c r="M868" s="5">
        <v>13</v>
      </c>
      <c r="Q868" s="107"/>
    </row>
    <row r="869" spans="1:19" x14ac:dyDescent="0.2">
      <c r="A869" s="5"/>
      <c r="B869" s="8" t="s">
        <v>2682</v>
      </c>
      <c r="I869" s="8" t="s">
        <v>2680</v>
      </c>
      <c r="J869" s="5">
        <f>39</f>
        <v>39</v>
      </c>
      <c r="K869" s="5" t="s">
        <v>21</v>
      </c>
      <c r="L869" s="5" t="s">
        <v>2491</v>
      </c>
      <c r="M869" s="5">
        <v>13</v>
      </c>
      <c r="Q869" s="107"/>
    </row>
    <row r="870" spans="1:19" x14ac:dyDescent="0.2">
      <c r="A870" s="5">
        <v>779</v>
      </c>
      <c r="B870" s="8" t="s">
        <v>2683</v>
      </c>
      <c r="H870" s="8" t="s">
        <v>2684</v>
      </c>
      <c r="I870" s="8" t="s">
        <v>2685</v>
      </c>
      <c r="J870" s="5">
        <f>29-14</f>
        <v>15</v>
      </c>
      <c r="K870" s="5" t="s">
        <v>292</v>
      </c>
      <c r="L870" s="5" t="s">
        <v>2491</v>
      </c>
      <c r="M870" s="5">
        <v>14</v>
      </c>
      <c r="N870" s="5" t="s">
        <v>2527</v>
      </c>
      <c r="O870" s="5" t="s">
        <v>789</v>
      </c>
      <c r="Q870" s="5" t="s">
        <v>2686</v>
      </c>
    </row>
    <row r="871" spans="1:19" x14ac:dyDescent="0.2">
      <c r="A871" s="5">
        <v>780</v>
      </c>
      <c r="B871" s="8" t="s">
        <v>2687</v>
      </c>
      <c r="H871" s="8" t="s">
        <v>2688</v>
      </c>
      <c r="I871" s="8" t="s">
        <v>2689</v>
      </c>
      <c r="J871" s="5">
        <v>156</v>
      </c>
      <c r="K871" s="5" t="s">
        <v>292</v>
      </c>
      <c r="L871" s="5" t="s">
        <v>2491</v>
      </c>
      <c r="M871" s="5">
        <v>14</v>
      </c>
      <c r="N871" s="5" t="s">
        <v>2527</v>
      </c>
      <c r="O871" s="5" t="s">
        <v>789</v>
      </c>
      <c r="Q871" s="5" t="s">
        <v>2690</v>
      </c>
    </row>
    <row r="872" spans="1:19" x14ac:dyDescent="0.2">
      <c r="A872" s="5">
        <v>781</v>
      </c>
      <c r="B872" s="8" t="s">
        <v>2691</v>
      </c>
      <c r="H872" s="8" t="s">
        <v>2692</v>
      </c>
      <c r="I872" s="8" t="s">
        <v>2692</v>
      </c>
      <c r="J872" s="5">
        <v>45</v>
      </c>
      <c r="K872" s="5" t="s">
        <v>292</v>
      </c>
      <c r="L872" s="5" t="s">
        <v>2491</v>
      </c>
      <c r="M872" s="5">
        <v>14</v>
      </c>
      <c r="N872" s="5" t="s">
        <v>2693</v>
      </c>
      <c r="O872" s="5" t="s">
        <v>789</v>
      </c>
      <c r="Q872" s="5" t="s">
        <v>2694</v>
      </c>
      <c r="S872" s="5" t="s">
        <v>328</v>
      </c>
    </row>
    <row r="873" spans="1:19" x14ac:dyDescent="0.2">
      <c r="A873" s="5">
        <v>782</v>
      </c>
      <c r="B873" s="8" t="s">
        <v>2695</v>
      </c>
      <c r="H873" s="8" t="s">
        <v>2696</v>
      </c>
      <c r="I873" s="8" t="s">
        <v>2696</v>
      </c>
      <c r="J873" s="5">
        <v>86</v>
      </c>
      <c r="K873" s="5" t="s">
        <v>292</v>
      </c>
      <c r="L873" s="5" t="s">
        <v>2491</v>
      </c>
      <c r="M873" s="5">
        <v>14</v>
      </c>
      <c r="N873" s="5" t="s">
        <v>2693</v>
      </c>
      <c r="O873" s="5" t="s">
        <v>789</v>
      </c>
      <c r="Q873" s="10" t="s">
        <v>553</v>
      </c>
    </row>
    <row r="874" spans="1:19" x14ac:dyDescent="0.2">
      <c r="A874" s="5">
        <v>717</v>
      </c>
      <c r="B874" s="8" t="s">
        <v>2697</v>
      </c>
      <c r="C874" s="8" t="s">
        <v>2698</v>
      </c>
      <c r="D874" s="8" t="s">
        <v>417</v>
      </c>
      <c r="E874" s="24">
        <v>43669</v>
      </c>
      <c r="F874" s="8" t="s">
        <v>259</v>
      </c>
      <c r="G874" s="8" t="s">
        <v>276</v>
      </c>
      <c r="H874" s="8" t="s">
        <v>2699</v>
      </c>
      <c r="I874" s="8" t="s">
        <v>2700</v>
      </c>
      <c r="J874" s="5">
        <f>228-12+11-2-12-2-8-8-12-4-16-8-4-4-3-22-22-3-3-1-6-12-7-7-8-2-2-2-2-22-22+27+51-79</f>
        <v>0</v>
      </c>
      <c r="K874" s="5" t="s">
        <v>292</v>
      </c>
      <c r="L874" s="5" t="s">
        <v>2491</v>
      </c>
      <c r="M874" s="5">
        <v>15</v>
      </c>
      <c r="N874" s="5" t="s">
        <v>2492</v>
      </c>
      <c r="O874" s="5" t="s">
        <v>789</v>
      </c>
      <c r="Q874" s="5" t="s">
        <v>2701</v>
      </c>
    </row>
    <row r="875" spans="1:19" x14ac:dyDescent="0.2">
      <c r="A875" s="5"/>
      <c r="B875" s="8" t="s">
        <v>2698</v>
      </c>
      <c r="I875" s="8" t="s">
        <v>2702</v>
      </c>
      <c r="J875" s="5">
        <f>123-8-17-1-1-1-1</f>
        <v>94</v>
      </c>
      <c r="K875" s="5" t="s">
        <v>292</v>
      </c>
      <c r="L875" s="5" t="s">
        <v>2491</v>
      </c>
      <c r="M875" s="5">
        <v>15</v>
      </c>
    </row>
    <row r="876" spans="1:19" x14ac:dyDescent="0.2">
      <c r="A876" s="5">
        <v>718</v>
      </c>
      <c r="B876" s="8" t="s">
        <v>2703</v>
      </c>
      <c r="C876" s="8" t="s">
        <v>2704</v>
      </c>
      <c r="D876" s="8" t="s">
        <v>417</v>
      </c>
      <c r="E876" s="24">
        <v>43669</v>
      </c>
      <c r="F876" s="8" t="s">
        <v>259</v>
      </c>
      <c r="G876" s="8" t="s">
        <v>276</v>
      </c>
      <c r="H876" s="8" t="s">
        <v>2705</v>
      </c>
      <c r="I876" s="8" t="s">
        <v>2706</v>
      </c>
      <c r="J876" s="5">
        <f>21+12+7-9-6-6-6-2-11</f>
        <v>0</v>
      </c>
      <c r="K876" s="5" t="s">
        <v>292</v>
      </c>
      <c r="L876" s="5" t="s">
        <v>2491</v>
      </c>
      <c r="M876" s="5">
        <v>15</v>
      </c>
      <c r="N876" s="5" t="s">
        <v>2492</v>
      </c>
      <c r="O876" s="5" t="s">
        <v>789</v>
      </c>
      <c r="Q876" s="5" t="s">
        <v>2707</v>
      </c>
    </row>
    <row r="877" spans="1:19" x14ac:dyDescent="0.2">
      <c r="A877" s="5"/>
      <c r="B877" s="8" t="s">
        <v>2704</v>
      </c>
      <c r="H877" s="8" t="s">
        <v>2708</v>
      </c>
      <c r="I877" s="8" t="s">
        <v>2708</v>
      </c>
      <c r="J877" s="5">
        <f>7-7+50-39+50+18-68-6</f>
        <v>5</v>
      </c>
      <c r="K877" s="5" t="s">
        <v>292</v>
      </c>
      <c r="L877" s="5" t="s">
        <v>2491</v>
      </c>
      <c r="M877" s="5">
        <v>15</v>
      </c>
      <c r="N877" s="5" t="s">
        <v>2492</v>
      </c>
      <c r="Q877" s="107" t="s">
        <v>2709</v>
      </c>
    </row>
    <row r="878" spans="1:19" x14ac:dyDescent="0.2">
      <c r="A878" s="5"/>
      <c r="B878" s="8" t="s">
        <v>2710</v>
      </c>
      <c r="H878" s="8" t="s">
        <v>2711</v>
      </c>
      <c r="I878" s="8" t="s">
        <v>2711</v>
      </c>
      <c r="J878" s="5">
        <v>4</v>
      </c>
      <c r="K878" s="5" t="s">
        <v>292</v>
      </c>
      <c r="L878" s="5" t="s">
        <v>2491</v>
      </c>
      <c r="M878" s="5">
        <v>15</v>
      </c>
      <c r="N878" s="5" t="s">
        <v>2492</v>
      </c>
      <c r="S878" s="5" t="s">
        <v>328</v>
      </c>
    </row>
    <row r="879" spans="1:19" x14ac:dyDescent="0.2">
      <c r="A879" s="5">
        <v>726</v>
      </c>
      <c r="B879" s="8" t="s">
        <v>2712</v>
      </c>
      <c r="H879" s="8" t="s">
        <v>2713</v>
      </c>
      <c r="I879" s="8" t="s">
        <v>2713</v>
      </c>
      <c r="J879" s="5">
        <v>2</v>
      </c>
      <c r="K879" s="5" t="s">
        <v>292</v>
      </c>
      <c r="L879" s="5" t="s">
        <v>2491</v>
      </c>
      <c r="M879" s="5">
        <v>16</v>
      </c>
      <c r="N879" s="5" t="s">
        <v>2714</v>
      </c>
      <c r="O879" s="5" t="s">
        <v>789</v>
      </c>
      <c r="Q879" s="10" t="s">
        <v>553</v>
      </c>
      <c r="S879" s="5" t="s">
        <v>328</v>
      </c>
    </row>
    <row r="880" spans="1:19" x14ac:dyDescent="0.2">
      <c r="A880" s="5">
        <v>727</v>
      </c>
      <c r="B880" s="8" t="s">
        <v>2715</v>
      </c>
      <c r="H880" s="8" t="s">
        <v>2716</v>
      </c>
      <c r="I880" s="8" t="s">
        <v>2716</v>
      </c>
      <c r="J880" s="5">
        <v>20</v>
      </c>
      <c r="K880" s="5" t="s">
        <v>292</v>
      </c>
      <c r="L880" s="5" t="s">
        <v>2491</v>
      </c>
      <c r="M880" s="5">
        <v>16</v>
      </c>
      <c r="N880" s="5" t="s">
        <v>2714</v>
      </c>
      <c r="O880" s="5" t="s">
        <v>789</v>
      </c>
      <c r="Q880" s="10" t="s">
        <v>553</v>
      </c>
      <c r="S880" s="5" t="s">
        <v>328</v>
      </c>
    </row>
    <row r="881" spans="1:19" x14ac:dyDescent="0.2">
      <c r="A881" s="5">
        <v>734</v>
      </c>
      <c r="B881" s="8" t="s">
        <v>2717</v>
      </c>
      <c r="H881" s="8" t="s">
        <v>2718</v>
      </c>
      <c r="I881" s="8" t="s">
        <v>2718</v>
      </c>
      <c r="J881" s="5">
        <f>252-1+1</f>
        <v>252</v>
      </c>
      <c r="K881" s="5" t="s">
        <v>292</v>
      </c>
      <c r="L881" s="5" t="s">
        <v>2491</v>
      </c>
      <c r="M881" s="5">
        <v>17</v>
      </c>
      <c r="N881" s="5" t="s">
        <v>2492</v>
      </c>
      <c r="O881" s="5" t="s">
        <v>789</v>
      </c>
      <c r="Q881" s="5" t="s">
        <v>553</v>
      </c>
      <c r="S881" s="5" t="s">
        <v>328</v>
      </c>
    </row>
    <row r="882" spans="1:19" x14ac:dyDescent="0.2">
      <c r="A882" s="5">
        <v>741</v>
      </c>
      <c r="B882" s="8" t="s">
        <v>2719</v>
      </c>
      <c r="H882" s="8" t="s">
        <v>2720</v>
      </c>
      <c r="I882" s="8" t="s">
        <v>2720</v>
      </c>
      <c r="J882" s="5">
        <f>41-5+5</f>
        <v>41</v>
      </c>
      <c r="K882" s="5" t="s">
        <v>292</v>
      </c>
      <c r="L882" s="5" t="s">
        <v>2491</v>
      </c>
      <c r="M882" s="5">
        <v>18</v>
      </c>
      <c r="N882" s="5" t="s">
        <v>2492</v>
      </c>
      <c r="O882" s="5" t="s">
        <v>789</v>
      </c>
      <c r="Q882" s="10" t="s">
        <v>553</v>
      </c>
    </row>
    <row r="883" spans="1:19" x14ac:dyDescent="0.2">
      <c r="A883" s="5">
        <v>765</v>
      </c>
      <c r="B883" s="8" t="s">
        <v>2721</v>
      </c>
      <c r="D883" s="8" t="s">
        <v>2722</v>
      </c>
      <c r="E883" s="24">
        <v>43676</v>
      </c>
      <c r="F883" s="8" t="s">
        <v>259</v>
      </c>
      <c r="G883" s="8" t="s">
        <v>375</v>
      </c>
      <c r="H883" s="8" t="s">
        <v>2723</v>
      </c>
      <c r="I883" s="8" t="s">
        <v>2724</v>
      </c>
      <c r="J883" s="5">
        <v>138</v>
      </c>
      <c r="K883" s="5" t="s">
        <v>292</v>
      </c>
      <c r="L883" s="5" t="s">
        <v>2491</v>
      </c>
      <c r="M883" s="5">
        <v>19</v>
      </c>
      <c r="N883" s="5" t="s">
        <v>2693</v>
      </c>
      <c r="O883" s="5" t="s">
        <v>789</v>
      </c>
      <c r="Q883" s="5" t="s">
        <v>2725</v>
      </c>
    </row>
    <row r="884" spans="1:19" x14ac:dyDescent="0.2">
      <c r="A884" s="5">
        <v>766</v>
      </c>
      <c r="B884" s="11" t="s">
        <v>2726</v>
      </c>
      <c r="C884" s="11" t="s">
        <v>2727</v>
      </c>
      <c r="D884" s="11" t="s">
        <v>281</v>
      </c>
      <c r="E884" s="26">
        <v>43588</v>
      </c>
      <c r="F884" s="11" t="s">
        <v>1966</v>
      </c>
      <c r="G884" s="11" t="s">
        <v>276</v>
      </c>
      <c r="H884" s="8" t="s">
        <v>2728</v>
      </c>
      <c r="I884" s="8" t="s">
        <v>2729</v>
      </c>
      <c r="J884" s="5">
        <f>7-3</f>
        <v>4</v>
      </c>
      <c r="K884" s="5" t="s">
        <v>292</v>
      </c>
      <c r="L884" s="5" t="s">
        <v>2491</v>
      </c>
      <c r="M884" s="5">
        <v>20</v>
      </c>
      <c r="N884" s="5" t="s">
        <v>1771</v>
      </c>
      <c r="O884" s="5" t="s">
        <v>789</v>
      </c>
      <c r="Q884" s="10" t="s">
        <v>2730</v>
      </c>
    </row>
    <row r="885" spans="1:19" x14ac:dyDescent="0.2">
      <c r="A885" s="5"/>
      <c r="B885" s="8" t="s">
        <v>2731</v>
      </c>
      <c r="H885" s="8" t="s">
        <v>2732</v>
      </c>
      <c r="I885" s="8" t="s">
        <v>2732</v>
      </c>
      <c r="J885" s="5">
        <v>39</v>
      </c>
      <c r="K885" s="5" t="s">
        <v>292</v>
      </c>
      <c r="L885" s="5" t="s">
        <v>2491</v>
      </c>
      <c r="M885" s="5">
        <v>20</v>
      </c>
      <c r="N885" s="5" t="s">
        <v>43</v>
      </c>
      <c r="Q885" s="10" t="s">
        <v>2733</v>
      </c>
      <c r="S885" s="5" t="s">
        <v>328</v>
      </c>
    </row>
    <row r="886" spans="1:19" x14ac:dyDescent="0.2">
      <c r="A886" s="5">
        <v>772</v>
      </c>
      <c r="B886" s="8" t="s">
        <v>2734</v>
      </c>
      <c r="H886" s="8" t="s">
        <v>2735</v>
      </c>
      <c r="I886" s="8" t="s">
        <v>2735</v>
      </c>
      <c r="J886" s="5">
        <v>0</v>
      </c>
      <c r="K886" s="5" t="s">
        <v>292</v>
      </c>
      <c r="L886" s="5" t="s">
        <v>2491</v>
      </c>
      <c r="M886" s="5">
        <v>21</v>
      </c>
      <c r="N886" s="5" t="s">
        <v>1771</v>
      </c>
      <c r="O886" s="5" t="s">
        <v>789</v>
      </c>
      <c r="Q886" s="5" t="s">
        <v>2736</v>
      </c>
    </row>
    <row r="887" spans="1:19" x14ac:dyDescent="0.2">
      <c r="A887" s="5">
        <v>773</v>
      </c>
      <c r="B887" s="11" t="s">
        <v>2737</v>
      </c>
      <c r="C887" s="11"/>
      <c r="D887" s="11"/>
      <c r="E887" s="26"/>
      <c r="F887" s="11"/>
      <c r="G887" s="11"/>
      <c r="H887" s="8" t="s">
        <v>2738</v>
      </c>
      <c r="I887" s="8" t="s">
        <v>2739</v>
      </c>
      <c r="J887" s="5">
        <v>5</v>
      </c>
      <c r="K887" s="5" t="s">
        <v>292</v>
      </c>
      <c r="L887" s="5" t="s">
        <v>2491</v>
      </c>
      <c r="M887" s="5">
        <v>21</v>
      </c>
      <c r="N887" s="5" t="s">
        <v>2532</v>
      </c>
      <c r="O887" s="5" t="s">
        <v>789</v>
      </c>
      <c r="Q887" s="5" t="s">
        <v>2556</v>
      </c>
    </row>
    <row r="888" spans="1:19" x14ac:dyDescent="0.2">
      <c r="A888" s="5">
        <v>774</v>
      </c>
      <c r="B888" s="8" t="s">
        <v>2740</v>
      </c>
      <c r="H888" s="8" t="s">
        <v>2741</v>
      </c>
      <c r="I888" s="8" t="s">
        <v>2741</v>
      </c>
      <c r="J888" s="5">
        <v>100</v>
      </c>
      <c r="K888" s="5" t="s">
        <v>292</v>
      </c>
      <c r="L888" s="5" t="s">
        <v>2491</v>
      </c>
      <c r="M888" s="5">
        <v>21</v>
      </c>
      <c r="N888" s="5" t="s">
        <v>2742</v>
      </c>
      <c r="O888" s="5" t="s">
        <v>789</v>
      </c>
      <c r="Q888" s="5" t="s">
        <v>2743</v>
      </c>
    </row>
    <row r="889" spans="1:19" x14ac:dyDescent="0.2">
      <c r="A889" s="5">
        <v>775</v>
      </c>
      <c r="B889" s="8" t="s">
        <v>2744</v>
      </c>
      <c r="H889" s="8" t="s">
        <v>2745</v>
      </c>
      <c r="I889" s="8" t="s">
        <v>2745</v>
      </c>
      <c r="J889" s="5">
        <v>14</v>
      </c>
      <c r="K889" s="5" t="s">
        <v>292</v>
      </c>
      <c r="L889" s="5" t="s">
        <v>2491</v>
      </c>
      <c r="M889" s="5">
        <v>21</v>
      </c>
      <c r="N889" s="5" t="s">
        <v>1771</v>
      </c>
      <c r="O889" s="5" t="s">
        <v>789</v>
      </c>
      <c r="Q889" s="5" t="s">
        <v>2746</v>
      </c>
    </row>
    <row r="890" spans="1:19" x14ac:dyDescent="0.2">
      <c r="A890" s="5">
        <v>777</v>
      </c>
      <c r="B890" s="8" t="s">
        <v>2747</v>
      </c>
      <c r="H890" s="8" t="s">
        <v>2748</v>
      </c>
      <c r="I890" s="8" t="s">
        <v>2748</v>
      </c>
      <c r="J890" s="5">
        <f>17-17</f>
        <v>0</v>
      </c>
      <c r="K890" s="5" t="s">
        <v>292</v>
      </c>
      <c r="L890" s="5" t="s">
        <v>2491</v>
      </c>
      <c r="M890" s="5">
        <v>21</v>
      </c>
      <c r="N890" s="5" t="s">
        <v>2527</v>
      </c>
      <c r="O890" s="5" t="s">
        <v>789</v>
      </c>
      <c r="Q890" s="5" t="s">
        <v>2749</v>
      </c>
    </row>
    <row r="891" spans="1:19" x14ac:dyDescent="0.2">
      <c r="A891" s="5"/>
      <c r="B891" s="8" t="s">
        <v>2750</v>
      </c>
      <c r="H891" s="8" t="s">
        <v>2751</v>
      </c>
      <c r="I891" s="8" t="s">
        <v>2751</v>
      </c>
      <c r="J891" s="5">
        <f>100-1</f>
        <v>99</v>
      </c>
      <c r="K891" s="5" t="s">
        <v>292</v>
      </c>
      <c r="L891" s="5" t="s">
        <v>2491</v>
      </c>
      <c r="M891" s="5">
        <v>21</v>
      </c>
      <c r="N891" s="5" t="s">
        <v>2527</v>
      </c>
    </row>
    <row r="892" spans="1:19" x14ac:dyDescent="0.2">
      <c r="A892" s="5"/>
      <c r="B892" s="11" t="s">
        <v>2752</v>
      </c>
      <c r="I892" s="8" t="s">
        <v>2753</v>
      </c>
      <c r="J892" s="5">
        <f>500-102-10</f>
        <v>388</v>
      </c>
      <c r="K892" s="5" t="s">
        <v>292</v>
      </c>
      <c r="L892" s="5" t="s">
        <v>2491</v>
      </c>
      <c r="M892" s="5">
        <v>21</v>
      </c>
    </row>
    <row r="893" spans="1:19" x14ac:dyDescent="0.2">
      <c r="A893" s="5">
        <v>778</v>
      </c>
      <c r="B893" s="11" t="s">
        <v>2754</v>
      </c>
      <c r="C893" s="11"/>
      <c r="D893" s="11"/>
      <c r="E893" s="26"/>
      <c r="F893" s="11"/>
      <c r="G893" s="11"/>
      <c r="H893" s="8" t="s">
        <v>2755</v>
      </c>
      <c r="I893" s="8" t="s">
        <v>2755</v>
      </c>
      <c r="J893" s="5">
        <v>0</v>
      </c>
      <c r="K893" s="5" t="s">
        <v>292</v>
      </c>
      <c r="L893" s="5" t="s">
        <v>2491</v>
      </c>
      <c r="M893" s="5">
        <v>21</v>
      </c>
      <c r="N893" s="5" t="s">
        <v>2527</v>
      </c>
      <c r="O893" s="5" t="s">
        <v>789</v>
      </c>
      <c r="Q893" s="5" t="s">
        <v>2756</v>
      </c>
    </row>
    <row r="894" spans="1:19" x14ac:dyDescent="0.2">
      <c r="A894" s="5">
        <v>714</v>
      </c>
      <c r="B894" s="8" t="s">
        <v>2757</v>
      </c>
      <c r="H894" s="8" t="s">
        <v>2495</v>
      </c>
      <c r="I894" s="8" t="s">
        <v>2495</v>
      </c>
      <c r="J894" s="5">
        <v>1</v>
      </c>
      <c r="K894" s="5" t="s">
        <v>292</v>
      </c>
      <c r="L894" s="5" t="s">
        <v>2491</v>
      </c>
      <c r="M894" s="5">
        <v>22</v>
      </c>
      <c r="N894" s="5" t="s">
        <v>2492</v>
      </c>
      <c r="O894" s="5" t="s">
        <v>789</v>
      </c>
      <c r="Q894" s="5" t="s">
        <v>2758</v>
      </c>
    </row>
    <row r="895" spans="1:19" x14ac:dyDescent="0.2">
      <c r="A895" s="5">
        <v>715</v>
      </c>
      <c r="B895" s="8" t="s">
        <v>2759</v>
      </c>
      <c r="H895" s="8" t="s">
        <v>2760</v>
      </c>
      <c r="I895" s="8" t="s">
        <v>2760</v>
      </c>
      <c r="J895" s="5">
        <v>1</v>
      </c>
      <c r="K895" s="5" t="s">
        <v>292</v>
      </c>
      <c r="L895" s="5" t="s">
        <v>2491</v>
      </c>
      <c r="M895" s="5">
        <v>22</v>
      </c>
      <c r="N895" s="5" t="s">
        <v>2492</v>
      </c>
      <c r="O895" s="5" t="s">
        <v>789</v>
      </c>
      <c r="Q895" s="10" t="s">
        <v>553</v>
      </c>
    </row>
    <row r="896" spans="1:19" x14ac:dyDescent="0.2">
      <c r="A896" s="5">
        <v>716</v>
      </c>
      <c r="B896" s="8" t="s">
        <v>2761</v>
      </c>
      <c r="H896" s="8" t="s">
        <v>2762</v>
      </c>
      <c r="I896" s="8" t="s">
        <v>2762</v>
      </c>
      <c r="J896" s="5">
        <v>5</v>
      </c>
      <c r="K896" s="5" t="s">
        <v>292</v>
      </c>
      <c r="L896" s="5" t="s">
        <v>2491</v>
      </c>
      <c r="M896" s="5">
        <v>22</v>
      </c>
      <c r="N896" s="5" t="s">
        <v>2492</v>
      </c>
      <c r="O896" s="5" t="s">
        <v>789</v>
      </c>
      <c r="Q896" s="10" t="s">
        <v>553</v>
      </c>
      <c r="S896" s="5" t="s">
        <v>328</v>
      </c>
    </row>
    <row r="897" spans="1:21" x14ac:dyDescent="0.2">
      <c r="A897" s="5">
        <v>724</v>
      </c>
      <c r="B897" s="8" t="s">
        <v>2763</v>
      </c>
      <c r="H897" s="8" t="s">
        <v>2764</v>
      </c>
      <c r="I897" s="8" t="s">
        <v>2764</v>
      </c>
      <c r="J897" s="5">
        <v>46</v>
      </c>
      <c r="K897" s="5" t="s">
        <v>292</v>
      </c>
      <c r="L897" s="5" t="s">
        <v>2491</v>
      </c>
      <c r="M897" s="5">
        <v>23</v>
      </c>
      <c r="N897" s="5" t="s">
        <v>2765</v>
      </c>
      <c r="O897" s="5" t="s">
        <v>789</v>
      </c>
      <c r="Q897" s="10" t="s">
        <v>553</v>
      </c>
      <c r="S897" s="5" t="s">
        <v>328</v>
      </c>
    </row>
    <row r="898" spans="1:21" x14ac:dyDescent="0.2">
      <c r="A898" s="5">
        <v>725</v>
      </c>
      <c r="B898" s="8" t="s">
        <v>2766</v>
      </c>
      <c r="H898" s="8" t="s">
        <v>2767</v>
      </c>
      <c r="I898" s="8" t="s">
        <v>2767</v>
      </c>
      <c r="J898" s="5">
        <v>96</v>
      </c>
      <c r="K898" s="5" t="s">
        <v>292</v>
      </c>
      <c r="L898" s="5" t="s">
        <v>2491</v>
      </c>
      <c r="M898" s="5">
        <v>23</v>
      </c>
      <c r="N898" s="5" t="s">
        <v>2765</v>
      </c>
      <c r="O898" s="5" t="s">
        <v>789</v>
      </c>
      <c r="Q898" s="10" t="s">
        <v>553</v>
      </c>
    </row>
    <row r="899" spans="1:21" x14ac:dyDescent="0.2">
      <c r="A899" s="5">
        <v>284</v>
      </c>
      <c r="B899" s="8" t="s">
        <v>2768</v>
      </c>
      <c r="C899" s="8" t="s">
        <v>2769</v>
      </c>
      <c r="D899" s="8" t="s">
        <v>2770</v>
      </c>
      <c r="E899" s="24">
        <v>43676</v>
      </c>
      <c r="F899" s="8" t="s">
        <v>259</v>
      </c>
      <c r="G899" s="8" t="s">
        <v>276</v>
      </c>
      <c r="H899" s="8" t="s">
        <v>2771</v>
      </c>
      <c r="I899" s="8" t="s">
        <v>2772</v>
      </c>
      <c r="J899" s="5">
        <f>3-1+1</f>
        <v>3</v>
      </c>
      <c r="K899" s="5" t="s">
        <v>292</v>
      </c>
      <c r="L899" s="5" t="s">
        <v>2491</v>
      </c>
      <c r="M899" s="5">
        <v>24</v>
      </c>
      <c r="N899" s="5" t="s">
        <v>2773</v>
      </c>
      <c r="O899" s="5" t="s">
        <v>520</v>
      </c>
      <c r="Q899" s="5" t="s">
        <v>2774</v>
      </c>
      <c r="S899" s="5" t="s">
        <v>328</v>
      </c>
    </row>
    <row r="900" spans="1:21" x14ac:dyDescent="0.2">
      <c r="A900" s="5">
        <v>742</v>
      </c>
      <c r="B900" s="8" t="s">
        <v>2775</v>
      </c>
      <c r="D900" s="8" t="s">
        <v>2776</v>
      </c>
      <c r="E900" s="24">
        <v>43678</v>
      </c>
      <c r="F900" s="8" t="s">
        <v>324</v>
      </c>
      <c r="G900" s="8" t="s">
        <v>260</v>
      </c>
      <c r="H900" s="8" t="s">
        <v>2777</v>
      </c>
      <c r="I900" s="8" t="s">
        <v>2778</v>
      </c>
      <c r="J900" s="5">
        <v>2</v>
      </c>
      <c r="K900" s="5" t="s">
        <v>292</v>
      </c>
      <c r="L900" s="5" t="s">
        <v>2491</v>
      </c>
      <c r="M900" s="5">
        <v>24</v>
      </c>
      <c r="N900" s="5" t="s">
        <v>2492</v>
      </c>
      <c r="O900" s="5" t="s">
        <v>789</v>
      </c>
      <c r="Q900" s="10" t="s">
        <v>553</v>
      </c>
      <c r="S900" s="5" t="s">
        <v>328</v>
      </c>
    </row>
    <row r="901" spans="1:21" x14ac:dyDescent="0.2">
      <c r="A901" s="5">
        <v>743</v>
      </c>
      <c r="B901" s="8" t="s">
        <v>2779</v>
      </c>
      <c r="H901" s="8" t="s">
        <v>2780</v>
      </c>
      <c r="I901" s="8" t="s">
        <v>2780</v>
      </c>
      <c r="J901" s="5">
        <f>7-2-4</f>
        <v>1</v>
      </c>
      <c r="K901" s="5" t="s">
        <v>292</v>
      </c>
      <c r="L901" s="5" t="s">
        <v>2491</v>
      </c>
      <c r="M901" s="5">
        <v>24</v>
      </c>
      <c r="N901" s="5" t="s">
        <v>2522</v>
      </c>
      <c r="O901" s="5" t="s">
        <v>789</v>
      </c>
      <c r="Q901" s="10" t="s">
        <v>553</v>
      </c>
      <c r="S901" s="5" t="s">
        <v>328</v>
      </c>
    </row>
    <row r="902" spans="1:21" x14ac:dyDescent="0.2">
      <c r="A902" s="5"/>
      <c r="B902" s="8" t="s">
        <v>2781</v>
      </c>
      <c r="I902" s="8" t="s">
        <v>2782</v>
      </c>
      <c r="J902" s="5">
        <f>10-1</f>
        <v>9</v>
      </c>
      <c r="K902" s="5" t="s">
        <v>292</v>
      </c>
      <c r="L902" s="5" t="s">
        <v>2491</v>
      </c>
      <c r="M902" s="5">
        <v>24</v>
      </c>
      <c r="Q902" s="10"/>
    </row>
    <row r="903" spans="1:21" x14ac:dyDescent="0.2">
      <c r="A903" s="5">
        <v>744</v>
      </c>
      <c r="B903" s="8" t="s">
        <v>2783</v>
      </c>
      <c r="C903" s="8" t="s">
        <v>2784</v>
      </c>
      <c r="D903" s="8" t="s">
        <v>2785</v>
      </c>
      <c r="E903" s="24">
        <v>43676</v>
      </c>
      <c r="F903" s="8" t="s">
        <v>259</v>
      </c>
      <c r="G903" s="8" t="s">
        <v>276</v>
      </c>
      <c r="H903" s="8" t="s">
        <v>2786</v>
      </c>
      <c r="I903" s="8" t="s">
        <v>2787</v>
      </c>
      <c r="J903" s="5">
        <v>6</v>
      </c>
      <c r="K903" s="5" t="s">
        <v>292</v>
      </c>
      <c r="L903" s="5" t="s">
        <v>2491</v>
      </c>
      <c r="M903" s="5">
        <v>25</v>
      </c>
      <c r="N903" s="5" t="s">
        <v>2492</v>
      </c>
      <c r="O903" s="5" t="s">
        <v>789</v>
      </c>
      <c r="Q903" s="10" t="s">
        <v>553</v>
      </c>
      <c r="S903" s="5" t="s">
        <v>328</v>
      </c>
    </row>
    <row r="904" spans="1:21" x14ac:dyDescent="0.2">
      <c r="A904" s="5">
        <v>745</v>
      </c>
      <c r="B904" s="11"/>
      <c r="C904" s="11"/>
      <c r="D904" s="11"/>
      <c r="E904" s="26"/>
      <c r="F904" s="11"/>
      <c r="G904" s="11"/>
      <c r="H904" s="8" t="s">
        <v>2788</v>
      </c>
      <c r="I904" s="8" t="s">
        <v>2788</v>
      </c>
      <c r="J904" s="5">
        <v>106</v>
      </c>
      <c r="K904" s="5" t="s">
        <v>292</v>
      </c>
      <c r="L904" s="5" t="s">
        <v>2491</v>
      </c>
      <c r="M904" s="5">
        <v>25</v>
      </c>
      <c r="N904" s="5" t="s">
        <v>2492</v>
      </c>
      <c r="O904" s="5" t="s">
        <v>789</v>
      </c>
      <c r="Q904" s="10" t="s">
        <v>553</v>
      </c>
      <c r="S904" s="5" t="s">
        <v>328</v>
      </c>
      <c r="U904" t="s">
        <v>2789</v>
      </c>
    </row>
    <row r="905" spans="1:21" x14ac:dyDescent="0.2">
      <c r="A905" s="5">
        <v>746</v>
      </c>
      <c r="B905" s="11"/>
      <c r="C905" s="11"/>
      <c r="D905" s="11"/>
      <c r="E905" s="26"/>
      <c r="F905" s="11"/>
      <c r="G905" s="11"/>
      <c r="H905" s="8" t="s">
        <v>2790</v>
      </c>
      <c r="I905" s="8" t="s">
        <v>2790</v>
      </c>
      <c r="J905" s="5">
        <v>51</v>
      </c>
      <c r="K905" s="5" t="s">
        <v>292</v>
      </c>
      <c r="L905" s="5" t="s">
        <v>2491</v>
      </c>
      <c r="M905" s="5">
        <v>25</v>
      </c>
      <c r="N905" s="5" t="s">
        <v>2492</v>
      </c>
      <c r="O905" s="5" t="s">
        <v>789</v>
      </c>
      <c r="Q905" s="10" t="s">
        <v>553</v>
      </c>
      <c r="S905" s="5" t="s">
        <v>328</v>
      </c>
      <c r="U905" t="s">
        <v>2789</v>
      </c>
    </row>
    <row r="906" spans="1:21" x14ac:dyDescent="0.2">
      <c r="A906" s="5">
        <v>747</v>
      </c>
      <c r="B906" s="8" t="s">
        <v>2791</v>
      </c>
      <c r="H906" s="8" t="s">
        <v>2792</v>
      </c>
      <c r="I906" s="8" t="s">
        <v>2792</v>
      </c>
      <c r="J906" s="5">
        <v>46</v>
      </c>
      <c r="K906" s="5" t="s">
        <v>292</v>
      </c>
      <c r="L906" s="5" t="s">
        <v>2491</v>
      </c>
      <c r="M906" s="5">
        <v>25</v>
      </c>
      <c r="N906" s="5" t="s">
        <v>2492</v>
      </c>
      <c r="O906" s="5" t="s">
        <v>789</v>
      </c>
      <c r="Q906" s="5" t="s">
        <v>553</v>
      </c>
      <c r="S906" s="5" t="s">
        <v>328</v>
      </c>
      <c r="U906" s="8" t="s">
        <v>2793</v>
      </c>
    </row>
    <row r="907" spans="1:21" x14ac:dyDescent="0.2">
      <c r="A907" s="5">
        <v>749</v>
      </c>
      <c r="B907" s="8" t="s">
        <v>2794</v>
      </c>
      <c r="D907" s="8" t="s">
        <v>2795</v>
      </c>
      <c r="E907" s="24">
        <v>43678</v>
      </c>
      <c r="F907" s="8" t="s">
        <v>259</v>
      </c>
      <c r="G907" s="8" t="s">
        <v>260</v>
      </c>
      <c r="H907" s="8" t="s">
        <v>2796</v>
      </c>
      <c r="I907" s="8" t="s">
        <v>2797</v>
      </c>
      <c r="J907" s="5">
        <v>43</v>
      </c>
      <c r="K907" s="5" t="s">
        <v>292</v>
      </c>
      <c r="L907" s="5" t="s">
        <v>2491</v>
      </c>
      <c r="M907" s="5">
        <v>25</v>
      </c>
      <c r="N907" s="5" t="s">
        <v>2492</v>
      </c>
      <c r="O907" s="5" t="s">
        <v>789</v>
      </c>
      <c r="Q907" s="10" t="s">
        <v>553</v>
      </c>
      <c r="S907" s="5" t="s">
        <v>328</v>
      </c>
    </row>
    <row r="908" spans="1:21" x14ac:dyDescent="0.2">
      <c r="A908" s="5">
        <v>750</v>
      </c>
      <c r="C908" s="11"/>
      <c r="D908" s="11"/>
      <c r="E908" s="26"/>
      <c r="F908" s="11"/>
      <c r="G908" s="11"/>
      <c r="H908" s="133" t="s">
        <v>2798</v>
      </c>
      <c r="I908" s="133" t="s">
        <v>2798</v>
      </c>
      <c r="J908" s="5">
        <v>153</v>
      </c>
      <c r="K908" s="5" t="s">
        <v>292</v>
      </c>
      <c r="L908" s="5" t="s">
        <v>2491</v>
      </c>
      <c r="M908" s="5">
        <v>25</v>
      </c>
      <c r="N908" s="5" t="s">
        <v>2492</v>
      </c>
      <c r="O908" s="5" t="s">
        <v>789</v>
      </c>
      <c r="Q908" s="10" t="s">
        <v>553</v>
      </c>
      <c r="U908" s="8" t="s">
        <v>2799</v>
      </c>
    </row>
    <row r="909" spans="1:21" x14ac:dyDescent="0.2">
      <c r="A909" s="5"/>
      <c r="B909" s="11" t="s">
        <v>2800</v>
      </c>
      <c r="C909" s="11"/>
      <c r="D909" s="11"/>
      <c r="E909" s="26"/>
      <c r="F909" s="11"/>
      <c r="G909" s="11"/>
      <c r="H909" s="133" t="s">
        <v>2801</v>
      </c>
      <c r="I909" s="133" t="s">
        <v>2801</v>
      </c>
      <c r="J909" s="5">
        <f>5</f>
        <v>5</v>
      </c>
      <c r="K909" s="5" t="s">
        <v>292</v>
      </c>
      <c r="L909" s="5" t="s">
        <v>2491</v>
      </c>
      <c r="M909" s="5">
        <v>25</v>
      </c>
      <c r="N909" s="5" t="s">
        <v>2492</v>
      </c>
      <c r="Q909" s="131" t="s">
        <v>2802</v>
      </c>
      <c r="S909" s="5" t="s">
        <v>328</v>
      </c>
      <c r="U909" s="8"/>
    </row>
    <row r="910" spans="1:21" x14ac:dyDescent="0.2">
      <c r="A910" s="5">
        <v>768</v>
      </c>
      <c r="B910" s="8" t="s">
        <v>2803</v>
      </c>
      <c r="H910" s="8" t="s">
        <v>2804</v>
      </c>
      <c r="I910" s="8" t="s">
        <v>2804</v>
      </c>
      <c r="J910" s="5">
        <v>3270</v>
      </c>
      <c r="K910" s="5" t="s">
        <v>292</v>
      </c>
      <c r="L910" s="5" t="s">
        <v>2491</v>
      </c>
      <c r="M910" s="5">
        <v>26</v>
      </c>
      <c r="N910" s="5" t="s">
        <v>2805</v>
      </c>
      <c r="O910" s="5" t="s">
        <v>789</v>
      </c>
      <c r="Q910" s="10" t="s">
        <v>2806</v>
      </c>
      <c r="S910" s="5" t="s">
        <v>328</v>
      </c>
    </row>
    <row r="911" spans="1:21" x14ac:dyDescent="0.2">
      <c r="A911" s="5">
        <v>769</v>
      </c>
      <c r="B911" s="8" t="s">
        <v>2807</v>
      </c>
      <c r="H911" s="8" t="s">
        <v>2808</v>
      </c>
      <c r="I911" s="8" t="s">
        <v>2808</v>
      </c>
      <c r="J911" s="5">
        <v>310</v>
      </c>
      <c r="K911" s="5" t="s">
        <v>292</v>
      </c>
      <c r="L911" s="5" t="s">
        <v>2491</v>
      </c>
      <c r="M911" s="5">
        <v>26</v>
      </c>
      <c r="N911" s="5" t="s">
        <v>2805</v>
      </c>
      <c r="O911" s="5" t="s">
        <v>789</v>
      </c>
      <c r="Q911" s="10" t="s">
        <v>2809</v>
      </c>
    </row>
    <row r="912" spans="1:21" x14ac:dyDescent="0.2">
      <c r="A912" s="5"/>
      <c r="B912" s="8" t="s">
        <v>2810</v>
      </c>
      <c r="H912" s="8" t="s">
        <v>2811</v>
      </c>
      <c r="I912" s="8" t="s">
        <v>2811</v>
      </c>
      <c r="J912" s="5">
        <f>2+1828-279-100-17-100-735-100-460+420+3000-76-100-100-608-200-300</f>
        <v>2075</v>
      </c>
      <c r="K912" s="5" t="s">
        <v>292</v>
      </c>
      <c r="L912" s="5" t="s">
        <v>2491</v>
      </c>
      <c r="M912" s="5">
        <v>26</v>
      </c>
      <c r="Q912" s="5" t="s">
        <v>2812</v>
      </c>
      <c r="S912" s="5" t="s">
        <v>328</v>
      </c>
    </row>
    <row r="913" spans="1:17" x14ac:dyDescent="0.2">
      <c r="A913" s="5">
        <v>771</v>
      </c>
      <c r="B913" s="8" t="s">
        <v>2813</v>
      </c>
      <c r="H913" s="8" t="s">
        <v>2814</v>
      </c>
      <c r="I913" s="8" t="s">
        <v>2814</v>
      </c>
      <c r="J913" s="5" t="s">
        <v>2815</v>
      </c>
      <c r="K913" s="5" t="s">
        <v>292</v>
      </c>
      <c r="L913" s="5" t="s">
        <v>2491</v>
      </c>
      <c r="M913" s="5">
        <v>27</v>
      </c>
      <c r="N913" s="5" t="s">
        <v>1771</v>
      </c>
      <c r="O913" s="5" t="s">
        <v>789</v>
      </c>
      <c r="Q913" s="10" t="s">
        <v>553</v>
      </c>
    </row>
    <row r="914" spans="1:17" x14ac:dyDescent="0.2">
      <c r="A914" s="5">
        <v>792</v>
      </c>
      <c r="B914" s="11" t="s">
        <v>2816</v>
      </c>
      <c r="C914" s="11"/>
      <c r="D914" s="11"/>
      <c r="E914" s="26"/>
      <c r="F914" s="11"/>
      <c r="G914" s="11"/>
      <c r="H914" s="8" t="s">
        <v>2817</v>
      </c>
      <c r="I914" s="8" t="s">
        <v>2817</v>
      </c>
      <c r="J914" s="5">
        <v>0</v>
      </c>
      <c r="K914" s="5" t="s">
        <v>292</v>
      </c>
      <c r="L914" s="5" t="s">
        <v>2491</v>
      </c>
      <c r="M914" s="5">
        <v>28</v>
      </c>
      <c r="N914" s="5" t="s">
        <v>2527</v>
      </c>
      <c r="O914" s="5" t="s">
        <v>789</v>
      </c>
      <c r="Q914" s="5" t="s">
        <v>2556</v>
      </c>
    </row>
    <row r="915" spans="1:17" x14ac:dyDescent="0.2">
      <c r="A915" s="5">
        <v>797</v>
      </c>
      <c r="B915" s="8" t="s">
        <v>2818</v>
      </c>
      <c r="H915" s="8" t="s">
        <v>2819</v>
      </c>
      <c r="I915" s="8" t="s">
        <v>2819</v>
      </c>
      <c r="J915" s="5">
        <v>20</v>
      </c>
      <c r="K915" s="5" t="s">
        <v>292</v>
      </c>
      <c r="L915" s="5" t="s">
        <v>2491</v>
      </c>
      <c r="M915" s="5">
        <v>28</v>
      </c>
      <c r="N915" s="5" t="s">
        <v>2820</v>
      </c>
      <c r="O915" s="5" t="s">
        <v>789</v>
      </c>
      <c r="Q915" s="5" t="s">
        <v>2746</v>
      </c>
    </row>
    <row r="916" spans="1:17" x14ac:dyDescent="0.2">
      <c r="A916" s="5">
        <v>798</v>
      </c>
      <c r="B916" s="11" t="s">
        <v>2821</v>
      </c>
      <c r="C916" s="11"/>
      <c r="D916" s="11"/>
      <c r="E916" s="26"/>
      <c r="F916" s="11"/>
      <c r="G916" s="11"/>
      <c r="H916" s="8" t="s">
        <v>2822</v>
      </c>
      <c r="I916" s="8" t="s">
        <v>2822</v>
      </c>
      <c r="J916" s="5">
        <v>9</v>
      </c>
      <c r="K916" s="5" t="s">
        <v>292</v>
      </c>
      <c r="L916" s="5" t="s">
        <v>2491</v>
      </c>
      <c r="M916" s="5">
        <v>28</v>
      </c>
      <c r="N916" s="5" t="s">
        <v>2823</v>
      </c>
      <c r="O916" s="5" t="s">
        <v>789</v>
      </c>
      <c r="Q916" s="5" t="s">
        <v>2824</v>
      </c>
    </row>
    <row r="917" spans="1:17" x14ac:dyDescent="0.2">
      <c r="A917" s="5">
        <v>800</v>
      </c>
      <c r="B917" s="8" t="s">
        <v>2825</v>
      </c>
      <c r="C917" s="34"/>
      <c r="H917" s="8" t="s">
        <v>2826</v>
      </c>
      <c r="I917" s="8" t="s">
        <v>2826</v>
      </c>
      <c r="J917" s="5">
        <v>0</v>
      </c>
      <c r="K917" s="5" t="s">
        <v>292</v>
      </c>
      <c r="L917" s="5" t="s">
        <v>2491</v>
      </c>
      <c r="M917" s="5">
        <v>28</v>
      </c>
      <c r="N917" s="5" t="s">
        <v>2827</v>
      </c>
      <c r="O917" s="5" t="s">
        <v>789</v>
      </c>
      <c r="Q917" s="5" t="s">
        <v>2548</v>
      </c>
    </row>
    <row r="918" spans="1:17" x14ac:dyDescent="0.2">
      <c r="A918" s="5">
        <v>801</v>
      </c>
      <c r="B918" s="8" t="s">
        <v>2828</v>
      </c>
      <c r="H918" s="8" t="s">
        <v>2829</v>
      </c>
      <c r="I918" s="8" t="s">
        <v>2829</v>
      </c>
      <c r="J918" s="5">
        <f>2000-15</f>
        <v>1985</v>
      </c>
      <c r="K918" s="5" t="s">
        <v>292</v>
      </c>
      <c r="L918" s="5" t="s">
        <v>2491</v>
      </c>
      <c r="M918" s="5">
        <v>28</v>
      </c>
      <c r="N918" s="5" t="s">
        <v>2827</v>
      </c>
      <c r="O918" s="5" t="s">
        <v>789</v>
      </c>
      <c r="Q918" s="5" t="s">
        <v>2746</v>
      </c>
    </row>
    <row r="919" spans="1:17" x14ac:dyDescent="0.2">
      <c r="A919" s="5">
        <v>802</v>
      </c>
      <c r="B919" s="8" t="s">
        <v>2830</v>
      </c>
      <c r="H919" s="8" t="s">
        <v>2830</v>
      </c>
      <c r="I919" s="8" t="s">
        <v>2830</v>
      </c>
      <c r="J919" s="5">
        <v>22</v>
      </c>
      <c r="K919" s="5" t="s">
        <v>292</v>
      </c>
      <c r="L919" s="5" t="s">
        <v>2491</v>
      </c>
      <c r="M919" s="5">
        <v>28</v>
      </c>
      <c r="N919" s="5" t="s">
        <v>2532</v>
      </c>
      <c r="O919" s="5" t="s">
        <v>789</v>
      </c>
      <c r="Q919" s="5" t="s">
        <v>2548</v>
      </c>
    </row>
    <row r="920" spans="1:17" x14ac:dyDescent="0.2">
      <c r="A920" s="5">
        <v>803</v>
      </c>
      <c r="B920" s="8" t="s">
        <v>2831</v>
      </c>
      <c r="H920" s="8" t="s">
        <v>2832</v>
      </c>
      <c r="I920" s="8" t="s">
        <v>2832</v>
      </c>
      <c r="J920" s="5">
        <v>19</v>
      </c>
      <c r="K920" s="5" t="s">
        <v>292</v>
      </c>
      <c r="L920" s="5" t="s">
        <v>2491</v>
      </c>
      <c r="M920" s="5">
        <v>28</v>
      </c>
      <c r="N920" s="5" t="s">
        <v>2527</v>
      </c>
      <c r="O920" s="5" t="s">
        <v>789</v>
      </c>
      <c r="Q920" s="5" t="s">
        <v>2824</v>
      </c>
    </row>
    <row r="921" spans="1:17" x14ac:dyDescent="0.2">
      <c r="A921" s="5">
        <v>804</v>
      </c>
      <c r="B921" s="11" t="s">
        <v>2833</v>
      </c>
      <c r="C921" s="11"/>
      <c r="D921" s="11"/>
      <c r="E921" s="26"/>
      <c r="F921" s="11"/>
      <c r="G921" s="11"/>
      <c r="H921" s="8" t="s">
        <v>2834</v>
      </c>
      <c r="I921" s="8" t="s">
        <v>2834</v>
      </c>
      <c r="J921" s="5">
        <v>0</v>
      </c>
      <c r="K921" s="5" t="s">
        <v>292</v>
      </c>
      <c r="L921" s="5" t="s">
        <v>2491</v>
      </c>
      <c r="M921" s="5">
        <v>28</v>
      </c>
      <c r="N921" s="5" t="s">
        <v>2827</v>
      </c>
      <c r="O921" s="5" t="s">
        <v>789</v>
      </c>
      <c r="Q921" s="5" t="s">
        <v>2556</v>
      </c>
    </row>
    <row r="922" spans="1:17" x14ac:dyDescent="0.2">
      <c r="A922" s="5">
        <v>796</v>
      </c>
      <c r="B922" s="8" t="s">
        <v>2835</v>
      </c>
      <c r="H922" s="8" t="s">
        <v>2836</v>
      </c>
      <c r="I922" s="8" t="s">
        <v>2836</v>
      </c>
      <c r="J922" s="5">
        <v>0</v>
      </c>
      <c r="K922" s="5" t="s">
        <v>292</v>
      </c>
      <c r="L922" s="5" t="s">
        <v>2491</v>
      </c>
      <c r="M922" s="5">
        <v>28</v>
      </c>
      <c r="N922" s="5" t="s">
        <v>1771</v>
      </c>
      <c r="O922" s="5" t="s">
        <v>789</v>
      </c>
      <c r="Q922" s="5" t="s">
        <v>2837</v>
      </c>
    </row>
    <row r="923" spans="1:17" x14ac:dyDescent="0.2">
      <c r="A923" s="5">
        <v>711</v>
      </c>
      <c r="B923" s="8" t="s">
        <v>2838</v>
      </c>
      <c r="H923" s="8" t="s">
        <v>2839</v>
      </c>
      <c r="I923" s="8" t="s">
        <v>2839</v>
      </c>
      <c r="J923" s="5">
        <v>34</v>
      </c>
      <c r="K923" s="5" t="s">
        <v>292</v>
      </c>
      <c r="L923" s="5" t="s">
        <v>2491</v>
      </c>
      <c r="M923" s="5">
        <v>29</v>
      </c>
      <c r="N923" s="5" t="s">
        <v>2492</v>
      </c>
      <c r="O923" s="5" t="s">
        <v>789</v>
      </c>
      <c r="Q923" s="5" t="s">
        <v>2840</v>
      </c>
    </row>
    <row r="924" spans="1:17" x14ac:dyDescent="0.2">
      <c r="A924" s="5">
        <v>712</v>
      </c>
      <c r="B924" s="11" t="s">
        <v>2841</v>
      </c>
      <c r="C924" s="11"/>
      <c r="D924" s="11"/>
      <c r="E924" s="26"/>
      <c r="F924" s="11"/>
      <c r="G924" s="11"/>
      <c r="H924" s="8" t="s">
        <v>2842</v>
      </c>
      <c r="I924" s="8" t="s">
        <v>2842</v>
      </c>
      <c r="J924" s="5">
        <v>26</v>
      </c>
      <c r="K924" s="5" t="s">
        <v>292</v>
      </c>
      <c r="L924" s="5" t="s">
        <v>2491</v>
      </c>
      <c r="M924" s="5">
        <v>29</v>
      </c>
      <c r="N924" s="5" t="s">
        <v>2593</v>
      </c>
      <c r="O924" s="5" t="s">
        <v>789</v>
      </c>
      <c r="Q924" s="5" t="s">
        <v>2843</v>
      </c>
    </row>
    <row r="925" spans="1:17" x14ac:dyDescent="0.2">
      <c r="A925" s="5">
        <v>713</v>
      </c>
      <c r="B925" s="8" t="s">
        <v>2838</v>
      </c>
      <c r="H925" s="8" t="s">
        <v>2839</v>
      </c>
      <c r="I925" s="8" t="s">
        <v>2839</v>
      </c>
      <c r="J925" s="5">
        <v>0</v>
      </c>
      <c r="K925" s="5" t="s">
        <v>292</v>
      </c>
      <c r="L925" s="5" t="s">
        <v>2491</v>
      </c>
      <c r="M925" s="5">
        <v>29</v>
      </c>
      <c r="N925" s="5" t="s">
        <v>2492</v>
      </c>
      <c r="O925" s="5" t="s">
        <v>789</v>
      </c>
      <c r="Q925" s="5" t="s">
        <v>2840</v>
      </c>
    </row>
    <row r="926" spans="1:17" x14ac:dyDescent="0.2">
      <c r="A926" s="5"/>
      <c r="B926" s="8" t="s">
        <v>2844</v>
      </c>
      <c r="H926" s="8" t="s">
        <v>2845</v>
      </c>
      <c r="I926" s="8" t="s">
        <v>2845</v>
      </c>
      <c r="J926" s="5">
        <f>94-28+28+6-8-4-32-32-8</f>
        <v>16</v>
      </c>
      <c r="K926" s="5" t="s">
        <v>292</v>
      </c>
      <c r="L926" s="5" t="s">
        <v>2491</v>
      </c>
      <c r="M926" s="5">
        <v>29</v>
      </c>
      <c r="N926" s="5" t="s">
        <v>1275</v>
      </c>
      <c r="Q926" s="107" t="s">
        <v>2846</v>
      </c>
    </row>
    <row r="927" spans="1:17" x14ac:dyDescent="0.2">
      <c r="A927" s="5"/>
      <c r="B927" s="8" t="s">
        <v>2847</v>
      </c>
      <c r="H927" s="8" t="s">
        <v>2845</v>
      </c>
      <c r="I927" s="8" t="s">
        <v>2845</v>
      </c>
      <c r="J927" s="5">
        <f>10</f>
        <v>10</v>
      </c>
      <c r="K927" s="5" t="s">
        <v>292</v>
      </c>
      <c r="L927" s="5" t="s">
        <v>2491</v>
      </c>
      <c r="M927" s="5">
        <v>29</v>
      </c>
      <c r="Q927" s="107"/>
    </row>
    <row r="928" spans="1:17" x14ac:dyDescent="0.2">
      <c r="A928" s="5"/>
      <c r="B928" s="8" t="s">
        <v>2848</v>
      </c>
      <c r="H928" s="8" t="s">
        <v>2848</v>
      </c>
      <c r="I928" s="8" t="s">
        <v>2848</v>
      </c>
      <c r="J928" s="5">
        <f>28-28</f>
        <v>0</v>
      </c>
      <c r="K928" s="5" t="s">
        <v>292</v>
      </c>
      <c r="L928" s="5" t="s">
        <v>2491</v>
      </c>
      <c r="M928" s="5">
        <v>29</v>
      </c>
      <c r="N928" s="5" t="s">
        <v>1275</v>
      </c>
      <c r="Q928" s="107" t="s">
        <v>2849</v>
      </c>
    </row>
    <row r="929" spans="1:19" x14ac:dyDescent="0.2">
      <c r="A929" s="5">
        <v>692</v>
      </c>
      <c r="B929" s="8" t="s">
        <v>2850</v>
      </c>
      <c r="C929" s="8" t="s">
        <v>2850</v>
      </c>
      <c r="D929" s="8" t="s">
        <v>2851</v>
      </c>
      <c r="E929" s="24">
        <v>43676</v>
      </c>
      <c r="F929" s="8" t="s">
        <v>259</v>
      </c>
      <c r="G929" s="8" t="s">
        <v>276</v>
      </c>
      <c r="H929" s="8" t="s">
        <v>2852</v>
      </c>
      <c r="I929" s="8" t="s">
        <v>2853</v>
      </c>
      <c r="J929" s="5">
        <f>10-4-3-2+12-2-2-3+2-1+10-1</f>
        <v>16</v>
      </c>
      <c r="K929" s="5" t="s">
        <v>292</v>
      </c>
      <c r="L929" s="5" t="s">
        <v>2491</v>
      </c>
      <c r="M929" s="5">
        <v>30</v>
      </c>
      <c r="N929" s="5" t="s">
        <v>2854</v>
      </c>
      <c r="O929" s="5" t="s">
        <v>789</v>
      </c>
      <c r="Q929" s="5" t="s">
        <v>2855</v>
      </c>
      <c r="S929" s="5" t="s">
        <v>328</v>
      </c>
    </row>
    <row r="930" spans="1:19" x14ac:dyDescent="0.2">
      <c r="A930" s="5">
        <v>693</v>
      </c>
      <c r="B930" s="8" t="s">
        <v>2856</v>
      </c>
      <c r="H930" s="8" t="s">
        <v>2857</v>
      </c>
      <c r="I930" s="8" t="s">
        <v>2857</v>
      </c>
      <c r="J930" s="5">
        <v>18</v>
      </c>
      <c r="K930" s="5" t="s">
        <v>292</v>
      </c>
      <c r="L930" s="5" t="s">
        <v>2491</v>
      </c>
      <c r="M930" s="5">
        <v>30</v>
      </c>
      <c r="N930" s="5" t="s">
        <v>2858</v>
      </c>
      <c r="O930" s="5" t="s">
        <v>789</v>
      </c>
      <c r="Q930" s="10" t="s">
        <v>553</v>
      </c>
    </row>
    <row r="931" spans="1:19" x14ac:dyDescent="0.2">
      <c r="A931" s="5">
        <v>682</v>
      </c>
      <c r="B931" s="8" t="s">
        <v>2859</v>
      </c>
      <c r="H931" s="8" t="s">
        <v>2860</v>
      </c>
      <c r="I931" s="8" t="s">
        <v>2860</v>
      </c>
      <c r="J931" s="5">
        <f>110+1</f>
        <v>111</v>
      </c>
      <c r="K931" s="5" t="s">
        <v>292</v>
      </c>
      <c r="L931" s="5" t="s">
        <v>2491</v>
      </c>
      <c r="M931" s="5" t="s">
        <v>2861</v>
      </c>
      <c r="N931" s="5" t="s">
        <v>2862</v>
      </c>
      <c r="O931" s="5" t="s">
        <v>789</v>
      </c>
      <c r="Q931" s="5" t="s">
        <v>2863</v>
      </c>
    </row>
    <row r="932" spans="1:19" x14ac:dyDescent="0.2">
      <c r="A932" s="5">
        <v>683</v>
      </c>
      <c r="B932" s="8" t="s">
        <v>2864</v>
      </c>
      <c r="H932" s="8" t="s">
        <v>2865</v>
      </c>
      <c r="I932" s="8" t="s">
        <v>2865</v>
      </c>
      <c r="J932" s="5">
        <f>43-1-5-4-22-2+13+42-1-42-1</f>
        <v>20</v>
      </c>
      <c r="K932" s="5" t="s">
        <v>292</v>
      </c>
      <c r="L932" s="5" t="s">
        <v>2491</v>
      </c>
      <c r="M932" s="5" t="s">
        <v>2866</v>
      </c>
      <c r="N932" s="5" t="s">
        <v>2862</v>
      </c>
      <c r="O932" s="5" t="s">
        <v>789</v>
      </c>
      <c r="Q932" s="5" t="s">
        <v>2863</v>
      </c>
    </row>
    <row r="933" spans="1:19" x14ac:dyDescent="0.2">
      <c r="A933" s="5">
        <v>344</v>
      </c>
      <c r="B933" s="8" t="s">
        <v>2864</v>
      </c>
      <c r="D933" s="8" t="s">
        <v>2867</v>
      </c>
      <c r="E933" s="24">
        <v>43676</v>
      </c>
      <c r="F933" s="8" t="s">
        <v>259</v>
      </c>
      <c r="G933" s="8" t="s">
        <v>260</v>
      </c>
      <c r="H933" s="8" t="s">
        <v>2868</v>
      </c>
      <c r="I933" s="8" t="s">
        <v>2865</v>
      </c>
      <c r="J933" s="5">
        <v>0</v>
      </c>
      <c r="K933" s="5" t="s">
        <v>292</v>
      </c>
      <c r="L933" s="5" t="s">
        <v>2491</v>
      </c>
      <c r="M933" s="5">
        <v>32</v>
      </c>
      <c r="N933" s="5" t="s">
        <v>2289</v>
      </c>
      <c r="Q933" s="5" t="s">
        <v>2869</v>
      </c>
    </row>
    <row r="934" spans="1:19" x14ac:dyDescent="0.2">
      <c r="A934" s="5">
        <v>288</v>
      </c>
      <c r="B934" s="8" t="s">
        <v>2870</v>
      </c>
      <c r="H934" s="8" t="s">
        <v>2871</v>
      </c>
      <c r="I934" s="8" t="s">
        <v>2871</v>
      </c>
      <c r="J934" s="5">
        <v>4</v>
      </c>
      <c r="K934" s="5" t="s">
        <v>292</v>
      </c>
      <c r="L934" s="5" t="s">
        <v>2491</v>
      </c>
      <c r="M934" s="5">
        <v>33</v>
      </c>
      <c r="N934" s="5" t="s">
        <v>2872</v>
      </c>
      <c r="Q934" s="5" t="s">
        <v>2873</v>
      </c>
      <c r="R934" s="6"/>
      <c r="S934" s="6"/>
    </row>
    <row r="935" spans="1:19" x14ac:dyDescent="0.2">
      <c r="A935" s="5"/>
      <c r="B935" s="8" t="s">
        <v>2874</v>
      </c>
      <c r="H935" s="108" t="s">
        <v>2875</v>
      </c>
      <c r="I935" s="108" t="s">
        <v>2875</v>
      </c>
      <c r="J935" s="5">
        <f>213-24-48-8-40-64+64-64+40-64+192-128</f>
        <v>69</v>
      </c>
      <c r="K935" s="5" t="s">
        <v>848</v>
      </c>
      <c r="L935" s="5" t="s">
        <v>2491</v>
      </c>
      <c r="M935" s="5">
        <v>33</v>
      </c>
      <c r="R935" s="6"/>
      <c r="S935" s="6"/>
    </row>
    <row r="936" spans="1:19" x14ac:dyDescent="0.2">
      <c r="A936" s="5">
        <v>1600</v>
      </c>
      <c r="B936" s="8" t="s">
        <v>2876</v>
      </c>
      <c r="C936" s="34"/>
      <c r="H936" s="8" t="s">
        <v>2877</v>
      </c>
      <c r="I936" s="8" t="s">
        <v>2877</v>
      </c>
      <c r="J936" s="5">
        <f>11-4+10+4-8-8+60-40</f>
        <v>25</v>
      </c>
      <c r="K936" s="5" t="s">
        <v>292</v>
      </c>
      <c r="L936" s="5" t="s">
        <v>2491</v>
      </c>
      <c r="M936" s="5">
        <v>33</v>
      </c>
      <c r="N936" s="5" t="s">
        <v>2878</v>
      </c>
      <c r="O936" s="5" t="s">
        <v>574</v>
      </c>
      <c r="Q936" s="5" t="s">
        <v>2879</v>
      </c>
      <c r="R936" s="6"/>
      <c r="S936" s="6"/>
    </row>
    <row r="937" spans="1:19" x14ac:dyDescent="0.2">
      <c r="A937" s="5">
        <v>1890</v>
      </c>
      <c r="B937" s="8" t="s">
        <v>2880</v>
      </c>
      <c r="H937" s="8" t="s">
        <v>2881</v>
      </c>
      <c r="I937" s="8" t="s">
        <v>2881</v>
      </c>
      <c r="J937" s="5">
        <v>6</v>
      </c>
      <c r="K937" s="5" t="s">
        <v>292</v>
      </c>
      <c r="L937" s="5" t="s">
        <v>2491</v>
      </c>
      <c r="M937" s="5">
        <v>33</v>
      </c>
      <c r="N937" s="5" t="s">
        <v>2882</v>
      </c>
      <c r="O937" s="5" t="s">
        <v>574</v>
      </c>
      <c r="Q937" s="5" t="s">
        <v>2883</v>
      </c>
    </row>
    <row r="938" spans="1:19" x14ac:dyDescent="0.2">
      <c r="A938" s="5">
        <v>1601</v>
      </c>
      <c r="B938" s="8" t="s">
        <v>2884</v>
      </c>
      <c r="C938" s="34"/>
      <c r="H938" s="8" t="s">
        <v>2885</v>
      </c>
      <c r="I938" s="8" t="s">
        <v>2886</v>
      </c>
      <c r="J938" s="5">
        <f>48-4-2+6+6-6-12-4-1-1-2-4-8-4</f>
        <v>12</v>
      </c>
      <c r="K938" s="5" t="s">
        <v>292</v>
      </c>
      <c r="L938" s="5" t="s">
        <v>2491</v>
      </c>
      <c r="M938" s="5">
        <v>33</v>
      </c>
      <c r="N938" s="5" t="s">
        <v>2878</v>
      </c>
      <c r="O938" s="5" t="s">
        <v>574</v>
      </c>
      <c r="Q938" s="5" t="s">
        <v>2887</v>
      </c>
      <c r="R938" s="6"/>
      <c r="S938" s="6"/>
    </row>
    <row r="939" spans="1:19" x14ac:dyDescent="0.2">
      <c r="A939" s="5">
        <v>1635</v>
      </c>
      <c r="B939" s="8" t="s">
        <v>2888</v>
      </c>
      <c r="H939" s="8" t="s">
        <v>2889</v>
      </c>
      <c r="I939" s="8" t="s">
        <v>2889</v>
      </c>
      <c r="J939" s="5">
        <f>10-6-2-2+10+4</f>
        <v>14</v>
      </c>
      <c r="K939" s="5" t="s">
        <v>292</v>
      </c>
      <c r="L939" s="5" t="s">
        <v>2491</v>
      </c>
      <c r="M939" s="5">
        <v>33</v>
      </c>
      <c r="N939" s="5" t="s">
        <v>2878</v>
      </c>
      <c r="O939" s="5" t="s">
        <v>574</v>
      </c>
      <c r="Q939" s="5" t="s">
        <v>2890</v>
      </c>
      <c r="R939" s="6"/>
      <c r="S939" s="6"/>
    </row>
    <row r="940" spans="1:19" x14ac:dyDescent="0.2">
      <c r="A940" s="5">
        <v>1602</v>
      </c>
      <c r="B940" s="8" t="s">
        <v>2891</v>
      </c>
      <c r="H940" s="8" t="s">
        <v>2892</v>
      </c>
      <c r="I940" s="8" t="s">
        <v>2892</v>
      </c>
      <c r="J940" s="5">
        <f>4-4</f>
        <v>0</v>
      </c>
      <c r="K940" s="5" t="s">
        <v>292</v>
      </c>
      <c r="L940" s="5" t="s">
        <v>2491</v>
      </c>
      <c r="M940" s="5">
        <v>33</v>
      </c>
      <c r="N940" s="5" t="s">
        <v>2878</v>
      </c>
      <c r="O940" s="5" t="s">
        <v>574</v>
      </c>
      <c r="Q940" s="5" t="s">
        <v>2893</v>
      </c>
      <c r="R940" s="6"/>
      <c r="S940" s="6"/>
    </row>
    <row r="941" spans="1:19" x14ac:dyDescent="0.2">
      <c r="A941" s="5">
        <v>1603</v>
      </c>
      <c r="B941" s="8" t="s">
        <v>2894</v>
      </c>
      <c r="C941" s="34"/>
      <c r="H941" s="8" t="s">
        <v>2881</v>
      </c>
      <c r="I941" s="8" t="s">
        <v>2881</v>
      </c>
      <c r="J941" s="5">
        <v>185</v>
      </c>
      <c r="K941" s="5" t="s">
        <v>292</v>
      </c>
      <c r="L941" s="5" t="s">
        <v>2491</v>
      </c>
      <c r="M941" s="5">
        <v>33</v>
      </c>
      <c r="N941" s="5" t="s">
        <v>2878</v>
      </c>
      <c r="O941" s="5" t="s">
        <v>574</v>
      </c>
      <c r="Q941" s="5" t="s">
        <v>2895</v>
      </c>
      <c r="R941" s="6"/>
      <c r="S941" s="6"/>
    </row>
    <row r="942" spans="1:19" x14ac:dyDescent="0.2">
      <c r="A942" s="5">
        <v>1604</v>
      </c>
      <c r="B942" s="8" t="s">
        <v>2896</v>
      </c>
      <c r="H942" s="8" t="s">
        <v>2897</v>
      </c>
      <c r="I942" s="8" t="s">
        <v>2897</v>
      </c>
      <c r="J942" s="5">
        <f>32-12+32-20+20-40+8+40-32</f>
        <v>28</v>
      </c>
      <c r="K942" s="5" t="s">
        <v>292</v>
      </c>
      <c r="L942" s="5" t="s">
        <v>2491</v>
      </c>
      <c r="M942" s="5">
        <v>33</v>
      </c>
      <c r="N942" s="5" t="s">
        <v>2878</v>
      </c>
      <c r="O942" s="5" t="s">
        <v>574</v>
      </c>
      <c r="Q942" s="5" t="s">
        <v>2898</v>
      </c>
      <c r="R942" s="6"/>
      <c r="S942" s="6"/>
    </row>
    <row r="943" spans="1:19" x14ac:dyDescent="0.2">
      <c r="A943" s="5">
        <v>1606</v>
      </c>
      <c r="B943" s="8" t="s">
        <v>2899</v>
      </c>
      <c r="H943" s="8" t="s">
        <v>2881</v>
      </c>
      <c r="I943" s="8" t="s">
        <v>2881</v>
      </c>
      <c r="J943" s="5">
        <f>16+70</f>
        <v>86</v>
      </c>
      <c r="K943" s="5" t="s">
        <v>292</v>
      </c>
      <c r="L943" s="5" t="s">
        <v>2491</v>
      </c>
      <c r="M943" s="5">
        <v>33</v>
      </c>
      <c r="N943" s="5" t="s">
        <v>2878</v>
      </c>
      <c r="O943" s="5" t="s">
        <v>574</v>
      </c>
      <c r="Q943" s="5" t="s">
        <v>2900</v>
      </c>
      <c r="R943" s="6"/>
      <c r="S943" s="6"/>
    </row>
    <row r="944" spans="1:19" x14ac:dyDescent="0.2">
      <c r="A944" s="5">
        <v>1605</v>
      </c>
      <c r="B944" s="8" t="s">
        <v>2901</v>
      </c>
      <c r="H944" s="8" t="s">
        <v>2902</v>
      </c>
      <c r="I944" s="8" t="s">
        <v>2902</v>
      </c>
      <c r="J944" s="5">
        <f>76+20-32</f>
        <v>64</v>
      </c>
      <c r="K944" s="5" t="s">
        <v>292</v>
      </c>
      <c r="L944" s="5" t="s">
        <v>2491</v>
      </c>
      <c r="M944" s="5">
        <v>33</v>
      </c>
      <c r="N944" s="5" t="s">
        <v>2878</v>
      </c>
      <c r="O944" s="5" t="s">
        <v>574</v>
      </c>
      <c r="Q944" s="5" t="s">
        <v>2903</v>
      </c>
      <c r="R944" s="6"/>
      <c r="S944" s="6"/>
    </row>
    <row r="945" spans="1:19" x14ac:dyDescent="0.2">
      <c r="A945" s="5">
        <v>1607</v>
      </c>
      <c r="B945" s="8" t="s">
        <v>2904</v>
      </c>
      <c r="H945" s="8" t="s">
        <v>2905</v>
      </c>
      <c r="I945" s="8" t="s">
        <v>2905</v>
      </c>
      <c r="J945" s="5">
        <f>20-1-9+20-8</f>
        <v>22</v>
      </c>
      <c r="K945" s="5" t="s">
        <v>292</v>
      </c>
      <c r="L945" s="5" t="s">
        <v>2491</v>
      </c>
      <c r="M945" s="5">
        <v>33</v>
      </c>
      <c r="N945" s="5" t="s">
        <v>2878</v>
      </c>
      <c r="O945" s="5" t="s">
        <v>574</v>
      </c>
      <c r="Q945" s="5" t="s">
        <v>2906</v>
      </c>
      <c r="R945" s="6"/>
      <c r="S945" s="6"/>
    </row>
    <row r="946" spans="1:19" x14ac:dyDescent="0.2">
      <c r="A946" s="5">
        <v>1609</v>
      </c>
      <c r="B946" s="8" t="s">
        <v>2907</v>
      </c>
      <c r="C946" s="34"/>
      <c r="H946" s="8" t="s">
        <v>2902</v>
      </c>
      <c r="I946" s="8" t="s">
        <v>2902</v>
      </c>
      <c r="J946" s="5">
        <f>391-12</f>
        <v>379</v>
      </c>
      <c r="K946" s="5" t="s">
        <v>292</v>
      </c>
      <c r="L946" s="5" t="s">
        <v>2491</v>
      </c>
      <c r="M946" s="5">
        <v>33</v>
      </c>
      <c r="N946" s="5" t="s">
        <v>2878</v>
      </c>
      <c r="O946" s="5" t="s">
        <v>574</v>
      </c>
      <c r="Q946" s="5" t="s">
        <v>2908</v>
      </c>
      <c r="R946" s="6"/>
      <c r="S946" s="6"/>
    </row>
    <row r="947" spans="1:19" x14ac:dyDescent="0.2">
      <c r="A947" s="5">
        <v>1608</v>
      </c>
      <c r="B947" s="8" t="s">
        <v>2909</v>
      </c>
      <c r="C947" s="34"/>
      <c r="H947" s="8" t="s">
        <v>2872</v>
      </c>
      <c r="I947" s="8" t="s">
        <v>2872</v>
      </c>
      <c r="J947" s="5">
        <v>0</v>
      </c>
      <c r="K947" s="5" t="s">
        <v>292</v>
      </c>
      <c r="L947" s="5" t="s">
        <v>2491</v>
      </c>
      <c r="M947" s="5">
        <v>33</v>
      </c>
      <c r="N947" s="5" t="s">
        <v>2878</v>
      </c>
      <c r="O947" s="5" t="s">
        <v>574</v>
      </c>
      <c r="Q947" s="5" t="s">
        <v>2910</v>
      </c>
      <c r="R947" s="6"/>
      <c r="S947" s="6"/>
    </row>
    <row r="948" spans="1:19" x14ac:dyDescent="0.2">
      <c r="A948" s="5">
        <v>1612</v>
      </c>
      <c r="B948" s="8" t="s">
        <v>2911</v>
      </c>
      <c r="H948" s="8" t="s">
        <v>2902</v>
      </c>
      <c r="I948" s="8" t="s">
        <v>2902</v>
      </c>
      <c r="J948" s="5">
        <v>5</v>
      </c>
      <c r="K948" s="5" t="s">
        <v>292</v>
      </c>
      <c r="L948" s="5" t="s">
        <v>2491</v>
      </c>
      <c r="M948" s="5">
        <v>33</v>
      </c>
      <c r="N948" s="5" t="s">
        <v>2878</v>
      </c>
      <c r="O948" s="5" t="s">
        <v>574</v>
      </c>
      <c r="Q948" s="10" t="s">
        <v>553</v>
      </c>
      <c r="R948" s="6"/>
      <c r="S948" s="6"/>
    </row>
    <row r="949" spans="1:19" x14ac:dyDescent="0.2">
      <c r="A949" s="5">
        <v>1628</v>
      </c>
      <c r="B949" s="8" t="s">
        <v>2912</v>
      </c>
      <c r="H949" s="8" t="s">
        <v>2872</v>
      </c>
      <c r="I949" s="8" t="s">
        <v>2872</v>
      </c>
      <c r="J949" s="5">
        <f>2</f>
        <v>2</v>
      </c>
      <c r="K949" s="5" t="s">
        <v>292</v>
      </c>
      <c r="L949" s="5" t="s">
        <v>2491</v>
      </c>
      <c r="M949" s="5">
        <v>33</v>
      </c>
      <c r="N949" s="5" t="s">
        <v>2913</v>
      </c>
      <c r="O949" s="5" t="s">
        <v>574</v>
      </c>
      <c r="Q949" s="5" t="s">
        <v>2914</v>
      </c>
      <c r="R949" s="6"/>
      <c r="S949" s="6"/>
    </row>
    <row r="950" spans="1:19" x14ac:dyDescent="0.2">
      <c r="A950" s="5">
        <v>1615</v>
      </c>
      <c r="B950" s="8" t="s">
        <v>2915</v>
      </c>
      <c r="H950" s="8" t="s">
        <v>2881</v>
      </c>
      <c r="I950" s="8" t="s">
        <v>2881</v>
      </c>
      <c r="J950" s="5">
        <v>12</v>
      </c>
      <c r="K950" s="5" t="s">
        <v>292</v>
      </c>
      <c r="L950" s="5" t="s">
        <v>2491</v>
      </c>
      <c r="M950" s="5">
        <v>33</v>
      </c>
      <c r="N950" s="5" t="s">
        <v>2878</v>
      </c>
      <c r="O950" s="5" t="s">
        <v>574</v>
      </c>
      <c r="Q950" s="5" t="s">
        <v>2916</v>
      </c>
      <c r="R950" s="6"/>
      <c r="S950" s="6" t="s">
        <v>328</v>
      </c>
    </row>
    <row r="951" spans="1:19" x14ac:dyDescent="0.2">
      <c r="A951" s="5">
        <v>1616</v>
      </c>
      <c r="B951" s="8" t="s">
        <v>2917</v>
      </c>
      <c r="H951" s="8" t="s">
        <v>2881</v>
      </c>
      <c r="I951" s="8" t="s">
        <v>2881</v>
      </c>
      <c r="J951" s="5">
        <v>3</v>
      </c>
      <c r="K951" s="5" t="s">
        <v>292</v>
      </c>
      <c r="L951" s="5" t="s">
        <v>2491</v>
      </c>
      <c r="M951" s="5">
        <v>33</v>
      </c>
      <c r="N951" s="5" t="s">
        <v>2878</v>
      </c>
      <c r="O951" s="5" t="s">
        <v>574</v>
      </c>
      <c r="Q951" s="10" t="s">
        <v>553</v>
      </c>
      <c r="R951" s="6"/>
      <c r="S951" s="6"/>
    </row>
    <row r="952" spans="1:19" x14ac:dyDescent="0.2">
      <c r="A952" s="5"/>
      <c r="B952" s="34" t="s">
        <v>2918</v>
      </c>
      <c r="D952" s="8" t="s">
        <v>2919</v>
      </c>
      <c r="E952" s="24">
        <v>43687</v>
      </c>
      <c r="F952" s="8" t="s">
        <v>259</v>
      </c>
      <c r="G952" s="8" t="s">
        <v>375</v>
      </c>
      <c r="H952" s="8" t="s">
        <v>2920</v>
      </c>
      <c r="I952" s="8" t="s">
        <v>2881</v>
      </c>
      <c r="J952" s="5">
        <f>6</f>
        <v>6</v>
      </c>
      <c r="K952" s="5" t="s">
        <v>292</v>
      </c>
      <c r="L952" s="5" t="s">
        <v>2491</v>
      </c>
      <c r="M952" s="5">
        <v>33</v>
      </c>
      <c r="N952" s="5" t="s">
        <v>2881</v>
      </c>
      <c r="O952" s="5" t="s">
        <v>520</v>
      </c>
      <c r="R952" s="6"/>
      <c r="S952" s="6"/>
    </row>
    <row r="953" spans="1:19" x14ac:dyDescent="0.2">
      <c r="A953" s="5">
        <v>1610</v>
      </c>
      <c r="B953" s="8" t="s">
        <v>2921</v>
      </c>
      <c r="H953" s="8" t="s">
        <v>2881</v>
      </c>
      <c r="I953" s="8" t="s">
        <v>2881</v>
      </c>
      <c r="J953" s="5">
        <v>3</v>
      </c>
      <c r="K953" s="5" t="s">
        <v>292</v>
      </c>
      <c r="L953" s="5" t="s">
        <v>2491</v>
      </c>
      <c r="M953" s="5">
        <v>33</v>
      </c>
      <c r="N953" s="5" t="s">
        <v>2878</v>
      </c>
      <c r="O953" s="5" t="s">
        <v>574</v>
      </c>
      <c r="R953" s="6"/>
      <c r="S953" s="6" t="s">
        <v>328</v>
      </c>
    </row>
    <row r="954" spans="1:19" x14ac:dyDescent="0.2">
      <c r="A954" s="5">
        <v>1630</v>
      </c>
      <c r="B954" s="8" t="s">
        <v>2922</v>
      </c>
      <c r="H954" s="8" t="s">
        <v>2872</v>
      </c>
      <c r="I954" s="8" t="s">
        <v>2872</v>
      </c>
      <c r="J954" s="5">
        <f>6</f>
        <v>6</v>
      </c>
      <c r="K954" s="5" t="s">
        <v>292</v>
      </c>
      <c r="L954" s="5" t="s">
        <v>2491</v>
      </c>
      <c r="M954" s="5">
        <v>33</v>
      </c>
      <c r="N954" s="5" t="s">
        <v>2913</v>
      </c>
      <c r="O954" s="5" t="s">
        <v>574</v>
      </c>
      <c r="Q954" s="5" t="s">
        <v>2923</v>
      </c>
      <c r="R954" s="6"/>
      <c r="S954" s="6"/>
    </row>
    <row r="955" spans="1:19" x14ac:dyDescent="0.2">
      <c r="A955" s="5"/>
      <c r="B955" s="8" t="s">
        <v>210</v>
      </c>
      <c r="I955" s="8" t="s">
        <v>2924</v>
      </c>
      <c r="J955" s="5">
        <f>78</f>
        <v>78</v>
      </c>
      <c r="K955" s="5" t="s">
        <v>292</v>
      </c>
      <c r="L955" s="5" t="s">
        <v>2491</v>
      </c>
      <c r="M955" s="5">
        <v>33</v>
      </c>
      <c r="R955" s="6"/>
      <c r="S955" s="6"/>
    </row>
    <row r="956" spans="1:19" x14ac:dyDescent="0.2">
      <c r="A956" s="5">
        <v>1613</v>
      </c>
      <c r="B956" s="8" t="s">
        <v>2925</v>
      </c>
      <c r="C956" s="34"/>
      <c r="H956" s="8" t="s">
        <v>2925</v>
      </c>
      <c r="I956" s="8" t="s">
        <v>2925</v>
      </c>
      <c r="J956" s="5">
        <v>8</v>
      </c>
      <c r="K956" s="5" t="s">
        <v>292</v>
      </c>
      <c r="L956" s="5" t="s">
        <v>2491</v>
      </c>
      <c r="M956" s="5">
        <v>33</v>
      </c>
      <c r="N956" s="5" t="s">
        <v>2878</v>
      </c>
      <c r="O956" s="5" t="s">
        <v>574</v>
      </c>
      <c r="Q956" s="10" t="s">
        <v>553</v>
      </c>
      <c r="R956" s="6"/>
      <c r="S956" s="6" t="s">
        <v>328</v>
      </c>
    </row>
    <row r="957" spans="1:19" x14ac:dyDescent="0.2">
      <c r="A957" s="5">
        <v>1614</v>
      </c>
      <c r="B957" s="8" t="s">
        <v>2926</v>
      </c>
      <c r="H957" s="8" t="s">
        <v>2927</v>
      </c>
      <c r="I957" s="8" t="s">
        <v>2927</v>
      </c>
      <c r="J957" s="5">
        <v>3</v>
      </c>
      <c r="K957" s="5" t="s">
        <v>292</v>
      </c>
      <c r="L957" s="5" t="s">
        <v>2491</v>
      </c>
      <c r="M957" s="5">
        <v>33</v>
      </c>
      <c r="N957" s="5" t="s">
        <v>2878</v>
      </c>
      <c r="O957" s="5" t="s">
        <v>574</v>
      </c>
      <c r="Q957" s="10" t="s">
        <v>553</v>
      </c>
      <c r="R957" s="6"/>
      <c r="S957" s="6"/>
    </row>
    <row r="958" spans="1:19" x14ac:dyDescent="0.2">
      <c r="A958" s="5"/>
      <c r="B958" s="8" t="s">
        <v>2928</v>
      </c>
      <c r="I958" s="8" t="s">
        <v>2929</v>
      </c>
      <c r="J958" s="5">
        <f>5</f>
        <v>5</v>
      </c>
      <c r="K958" s="5" t="s">
        <v>292</v>
      </c>
      <c r="L958" s="5" t="s">
        <v>2491</v>
      </c>
      <c r="M958" s="5">
        <v>33</v>
      </c>
      <c r="N958" s="5" t="s">
        <v>2878</v>
      </c>
      <c r="Q958" s="207" t="s">
        <v>2930</v>
      </c>
      <c r="R958" s="6"/>
      <c r="S958" s="6"/>
    </row>
    <row r="959" spans="1:19" x14ac:dyDescent="0.2">
      <c r="A959" s="5"/>
      <c r="B959" s="8" t="s">
        <v>2931</v>
      </c>
      <c r="I959" s="8" t="s">
        <v>2932</v>
      </c>
      <c r="J959" s="5">
        <f>5</f>
        <v>5</v>
      </c>
      <c r="K959" s="5" t="s">
        <v>292</v>
      </c>
      <c r="L959" s="5" t="s">
        <v>2491</v>
      </c>
      <c r="M959" s="5">
        <v>33</v>
      </c>
      <c r="N959" s="5" t="s">
        <v>2878</v>
      </c>
      <c r="Q959" s="207" t="s">
        <v>2930</v>
      </c>
      <c r="R959" s="6"/>
      <c r="S959" s="6"/>
    </row>
    <row r="960" spans="1:19" x14ac:dyDescent="0.2">
      <c r="A960" s="5"/>
      <c r="B960" s="8" t="s">
        <v>2933</v>
      </c>
      <c r="I960" s="8" t="s">
        <v>2934</v>
      </c>
      <c r="J960" s="5">
        <f>5</f>
        <v>5</v>
      </c>
      <c r="K960" s="5" t="s">
        <v>292</v>
      </c>
      <c r="L960" s="5" t="s">
        <v>2491</v>
      </c>
      <c r="M960" s="5">
        <v>33</v>
      </c>
      <c r="N960" s="5" t="s">
        <v>2878</v>
      </c>
      <c r="Q960" s="207" t="s">
        <v>2930</v>
      </c>
      <c r="R960" s="6"/>
      <c r="S960" s="6"/>
    </row>
    <row r="961" spans="1:21" x14ac:dyDescent="0.2">
      <c r="A961" s="5">
        <v>1586</v>
      </c>
      <c r="B961" s="34" t="s">
        <v>2935</v>
      </c>
      <c r="C961" s="34"/>
      <c r="D961" s="8" t="s">
        <v>269</v>
      </c>
      <c r="E961" s="24">
        <v>43676</v>
      </c>
      <c r="F961" s="8" t="s">
        <v>259</v>
      </c>
      <c r="G961" s="8" t="s">
        <v>260</v>
      </c>
      <c r="H961" s="8" t="s">
        <v>2936</v>
      </c>
      <c r="I961" s="8" t="s">
        <v>2937</v>
      </c>
      <c r="J961" s="5">
        <v>41</v>
      </c>
      <c r="K961" s="5" t="s">
        <v>292</v>
      </c>
      <c r="L961" s="5" t="s">
        <v>2491</v>
      </c>
      <c r="M961" s="5">
        <v>34</v>
      </c>
      <c r="N961" s="5" t="s">
        <v>2938</v>
      </c>
      <c r="O961" s="5" t="s">
        <v>574</v>
      </c>
      <c r="Q961" s="5" t="s">
        <v>2939</v>
      </c>
      <c r="R961" s="6"/>
      <c r="S961" s="6" t="s">
        <v>328</v>
      </c>
    </row>
    <row r="962" spans="1:21" x14ac:dyDescent="0.2">
      <c r="A962" s="5">
        <v>1587</v>
      </c>
      <c r="B962" s="8" t="s">
        <v>2940</v>
      </c>
      <c r="C962" s="8" t="s">
        <v>2940</v>
      </c>
      <c r="D962" s="8" t="s">
        <v>2941</v>
      </c>
      <c r="E962" s="24">
        <v>43676</v>
      </c>
      <c r="F962" s="8" t="s">
        <v>259</v>
      </c>
      <c r="G962" s="8" t="s">
        <v>260</v>
      </c>
      <c r="H962" s="8" t="s">
        <v>2942</v>
      </c>
      <c r="I962" s="8" t="s">
        <v>2943</v>
      </c>
      <c r="J962" s="5">
        <v>3</v>
      </c>
      <c r="K962" s="5" t="s">
        <v>292</v>
      </c>
      <c r="L962" s="5" t="s">
        <v>2491</v>
      </c>
      <c r="M962" s="5">
        <v>34</v>
      </c>
      <c r="N962" s="5" t="s">
        <v>2938</v>
      </c>
      <c r="O962" s="5" t="s">
        <v>574</v>
      </c>
      <c r="Q962" s="10" t="s">
        <v>553</v>
      </c>
      <c r="R962" s="6"/>
      <c r="S962" s="6" t="s">
        <v>328</v>
      </c>
      <c r="U962" t="s">
        <v>321</v>
      </c>
    </row>
    <row r="963" spans="1:21" x14ac:dyDescent="0.2">
      <c r="A963" s="5">
        <v>1588</v>
      </c>
      <c r="B963" s="8" t="s">
        <v>2944</v>
      </c>
      <c r="D963" s="8" t="s">
        <v>269</v>
      </c>
      <c r="E963" s="24">
        <v>43676</v>
      </c>
      <c r="F963" s="8" t="s">
        <v>259</v>
      </c>
      <c r="G963" s="8" t="s">
        <v>260</v>
      </c>
      <c r="H963" s="8" t="s">
        <v>2945</v>
      </c>
      <c r="I963" s="8" t="s">
        <v>2946</v>
      </c>
      <c r="J963" s="5">
        <v>20</v>
      </c>
      <c r="K963" s="5" t="s">
        <v>292</v>
      </c>
      <c r="L963" s="5" t="s">
        <v>2491</v>
      </c>
      <c r="M963" s="5">
        <v>34</v>
      </c>
      <c r="N963" s="5" t="s">
        <v>2938</v>
      </c>
      <c r="O963" s="5" t="s">
        <v>574</v>
      </c>
      <c r="Q963" s="10" t="s">
        <v>553</v>
      </c>
      <c r="R963" s="6"/>
      <c r="S963" s="6" t="s">
        <v>328</v>
      </c>
    </row>
    <row r="964" spans="1:21" x14ac:dyDescent="0.2">
      <c r="A964" s="5">
        <v>1589</v>
      </c>
      <c r="B964" s="34" t="s">
        <v>2947</v>
      </c>
      <c r="D964" s="8" t="s">
        <v>269</v>
      </c>
      <c r="E964" s="24">
        <v>43676</v>
      </c>
      <c r="F964" s="8" t="s">
        <v>259</v>
      </c>
      <c r="G964" s="8" t="s">
        <v>260</v>
      </c>
      <c r="H964" s="8" t="s">
        <v>2948</v>
      </c>
      <c r="I964" s="8" t="s">
        <v>2949</v>
      </c>
      <c r="J964" s="5">
        <v>25</v>
      </c>
      <c r="K964" s="5" t="s">
        <v>292</v>
      </c>
      <c r="L964" s="5" t="s">
        <v>2491</v>
      </c>
      <c r="M964" s="5">
        <v>34</v>
      </c>
      <c r="N964" s="5" t="s">
        <v>2938</v>
      </c>
      <c r="O964" s="5" t="s">
        <v>574</v>
      </c>
      <c r="Q964" s="10" t="s">
        <v>553</v>
      </c>
      <c r="R964" s="6"/>
      <c r="S964" s="6" t="s">
        <v>328</v>
      </c>
    </row>
    <row r="965" spans="1:21" x14ac:dyDescent="0.2">
      <c r="A965" s="5">
        <v>1590</v>
      </c>
      <c r="B965" s="8" t="s">
        <v>2950</v>
      </c>
      <c r="C965" s="8" t="s">
        <v>2951</v>
      </c>
      <c r="D965" s="8" t="s">
        <v>2941</v>
      </c>
      <c r="E965" s="24">
        <v>43676</v>
      </c>
      <c r="F965" s="8" t="s">
        <v>259</v>
      </c>
      <c r="G965" s="8" t="s">
        <v>260</v>
      </c>
      <c r="H965" s="8" t="s">
        <v>2952</v>
      </c>
      <c r="I965" s="8" t="s">
        <v>2943</v>
      </c>
      <c r="J965" s="5">
        <v>24</v>
      </c>
      <c r="K965" s="5" t="s">
        <v>292</v>
      </c>
      <c r="L965" s="5" t="s">
        <v>2491</v>
      </c>
      <c r="M965" s="5">
        <v>34</v>
      </c>
      <c r="N965" s="5" t="s">
        <v>2938</v>
      </c>
      <c r="O965" s="5" t="s">
        <v>574</v>
      </c>
      <c r="Q965" s="10" t="s">
        <v>553</v>
      </c>
      <c r="R965" s="6"/>
      <c r="S965" s="6" t="s">
        <v>328</v>
      </c>
    </row>
    <row r="966" spans="1:21" x14ac:dyDescent="0.2">
      <c r="A966" s="5">
        <v>1591</v>
      </c>
      <c r="B966" s="34" t="s">
        <v>2953</v>
      </c>
      <c r="D966" s="8" t="s">
        <v>513</v>
      </c>
      <c r="E966" s="24">
        <v>43676</v>
      </c>
      <c r="F966" s="8" t="s">
        <v>259</v>
      </c>
      <c r="G966" s="8" t="s">
        <v>260</v>
      </c>
      <c r="H966" s="8" t="s">
        <v>2954</v>
      </c>
      <c r="I966" s="8" t="s">
        <v>2955</v>
      </c>
      <c r="J966" s="5">
        <v>14</v>
      </c>
      <c r="K966" s="5" t="s">
        <v>292</v>
      </c>
      <c r="L966" s="5" t="s">
        <v>2491</v>
      </c>
      <c r="M966" s="5">
        <v>34</v>
      </c>
      <c r="N966" s="5" t="s">
        <v>2938</v>
      </c>
      <c r="O966" s="5" t="s">
        <v>574</v>
      </c>
      <c r="Q966" s="10" t="s">
        <v>553</v>
      </c>
      <c r="R966" s="6"/>
      <c r="S966" s="6" t="s">
        <v>328</v>
      </c>
    </row>
    <row r="967" spans="1:21" x14ac:dyDescent="0.2">
      <c r="A967" s="5">
        <v>1592</v>
      </c>
      <c r="B967" s="8" t="s">
        <v>2956</v>
      </c>
      <c r="H967" s="8" t="s">
        <v>343</v>
      </c>
      <c r="I967" s="8" t="s">
        <v>2957</v>
      </c>
      <c r="J967" s="5">
        <v>1</v>
      </c>
      <c r="K967" s="5" t="s">
        <v>292</v>
      </c>
      <c r="L967" s="5" t="s">
        <v>2491</v>
      </c>
      <c r="M967" s="5">
        <v>34</v>
      </c>
      <c r="N967" s="5" t="s">
        <v>2938</v>
      </c>
      <c r="O967" s="5" t="s">
        <v>574</v>
      </c>
      <c r="Q967" s="10" t="s">
        <v>553</v>
      </c>
      <c r="R967" s="6"/>
      <c r="S967" s="6"/>
    </row>
    <row r="968" spans="1:21" x14ac:dyDescent="0.2">
      <c r="A968" s="5">
        <v>1578</v>
      </c>
      <c r="B968" s="34" t="s">
        <v>2958</v>
      </c>
      <c r="D968" s="8" t="s">
        <v>2959</v>
      </c>
      <c r="E968" s="24">
        <v>43676</v>
      </c>
      <c r="F968" s="8" t="s">
        <v>259</v>
      </c>
      <c r="G968" s="8" t="s">
        <v>260</v>
      </c>
      <c r="H968" s="8" t="s">
        <v>2960</v>
      </c>
      <c r="I968" s="8" t="s">
        <v>2961</v>
      </c>
      <c r="J968" s="5">
        <v>1</v>
      </c>
      <c r="K968" s="5" t="s">
        <v>292</v>
      </c>
      <c r="L968" s="5" t="s">
        <v>2491</v>
      </c>
      <c r="M968" s="5">
        <v>35</v>
      </c>
      <c r="N968" s="5" t="s">
        <v>2962</v>
      </c>
      <c r="O968" s="5" t="s">
        <v>574</v>
      </c>
      <c r="Q968" s="5" t="s">
        <v>2963</v>
      </c>
      <c r="R968" s="6"/>
      <c r="S968" s="6"/>
    </row>
    <row r="969" spans="1:21" x14ac:dyDescent="0.2">
      <c r="A969" s="5">
        <v>1579</v>
      </c>
      <c r="B969" s="34" t="s">
        <v>2964</v>
      </c>
      <c r="H969" s="8" t="s">
        <v>2965</v>
      </c>
      <c r="I969" s="8" t="s">
        <v>2965</v>
      </c>
      <c r="J969" s="5">
        <v>10</v>
      </c>
      <c r="K969" s="5" t="s">
        <v>292</v>
      </c>
      <c r="L969" s="5" t="s">
        <v>2491</v>
      </c>
      <c r="M969" s="5">
        <v>35</v>
      </c>
      <c r="N969" s="5" t="s">
        <v>2966</v>
      </c>
      <c r="O969" s="5" t="s">
        <v>574</v>
      </c>
      <c r="Q969" s="5" t="s">
        <v>2967</v>
      </c>
      <c r="R969" s="6"/>
      <c r="S969" s="6" t="s">
        <v>1139</v>
      </c>
    </row>
    <row r="970" spans="1:21" x14ac:dyDescent="0.2">
      <c r="A970" s="5">
        <v>1580</v>
      </c>
      <c r="B970" s="8" t="s">
        <v>2968</v>
      </c>
      <c r="H970" s="8" t="s">
        <v>2969</v>
      </c>
      <c r="I970" s="8" t="s">
        <v>2969</v>
      </c>
      <c r="J970" s="5">
        <v>2</v>
      </c>
      <c r="K970" s="5" t="s">
        <v>292</v>
      </c>
      <c r="L970" s="5" t="s">
        <v>2491</v>
      </c>
      <c r="M970" s="5">
        <v>35</v>
      </c>
      <c r="N970" s="5" t="s">
        <v>2962</v>
      </c>
      <c r="O970" s="5" t="s">
        <v>574</v>
      </c>
      <c r="Q970" s="35" t="s">
        <v>553</v>
      </c>
    </row>
    <row r="971" spans="1:21" x14ac:dyDescent="0.2">
      <c r="A971" s="5">
        <v>373</v>
      </c>
      <c r="B971" s="8" t="s">
        <v>2970</v>
      </c>
      <c r="H971" s="8" t="s">
        <v>2971</v>
      </c>
      <c r="I971" s="8" t="s">
        <v>2971</v>
      </c>
      <c r="J971" s="5">
        <f>6-3-3+4-1-3+4</f>
        <v>4</v>
      </c>
      <c r="K971" s="5" t="s">
        <v>292</v>
      </c>
      <c r="L971" s="5" t="s">
        <v>2491</v>
      </c>
      <c r="M971" s="5">
        <v>36</v>
      </c>
      <c r="N971" s="5" t="s">
        <v>2972</v>
      </c>
      <c r="Q971" s="5" t="s">
        <v>2973</v>
      </c>
    </row>
    <row r="972" spans="1:21" x14ac:dyDescent="0.2">
      <c r="A972" s="5">
        <v>709</v>
      </c>
      <c r="B972" s="8" t="s">
        <v>2974</v>
      </c>
      <c r="H972" s="8" t="s">
        <v>2975</v>
      </c>
      <c r="I972" s="8" t="s">
        <v>2975</v>
      </c>
      <c r="J972" s="5">
        <v>0</v>
      </c>
      <c r="K972" s="5" t="s">
        <v>292</v>
      </c>
      <c r="L972" s="5" t="s">
        <v>2491</v>
      </c>
      <c r="M972" s="5">
        <v>36</v>
      </c>
      <c r="N972" s="5" t="s">
        <v>2976</v>
      </c>
      <c r="O972" s="5" t="s">
        <v>789</v>
      </c>
      <c r="Q972" s="5" t="s">
        <v>2977</v>
      </c>
      <c r="S972" s="5" t="s">
        <v>328</v>
      </c>
    </row>
    <row r="973" spans="1:21" x14ac:dyDescent="0.2">
      <c r="A973" s="5">
        <v>710</v>
      </c>
      <c r="B973" s="8" t="s">
        <v>2978</v>
      </c>
      <c r="H973" s="8" t="s">
        <v>2979</v>
      </c>
      <c r="I973" s="18" t="s">
        <v>2979</v>
      </c>
      <c r="J973" s="5">
        <v>1</v>
      </c>
      <c r="K973" s="5" t="s">
        <v>292</v>
      </c>
      <c r="L973" s="5" t="s">
        <v>2491</v>
      </c>
      <c r="M973" s="5">
        <v>36</v>
      </c>
      <c r="N973" s="5" t="s">
        <v>2976</v>
      </c>
      <c r="O973" s="5" t="s">
        <v>789</v>
      </c>
      <c r="Q973" s="7" t="s">
        <v>2980</v>
      </c>
    </row>
    <row r="974" spans="1:21" x14ac:dyDescent="0.2">
      <c r="A974" s="5"/>
      <c r="B974" s="11" t="s">
        <v>2981</v>
      </c>
      <c r="H974" s="8" t="s">
        <v>2982</v>
      </c>
      <c r="I974" s="18" t="s">
        <v>2983</v>
      </c>
      <c r="J974" s="5">
        <f>20</f>
        <v>20</v>
      </c>
      <c r="K974" s="5" t="s">
        <v>292</v>
      </c>
      <c r="L974" s="5" t="s">
        <v>2491</v>
      </c>
      <c r="M974" s="5">
        <v>36</v>
      </c>
      <c r="Q974" s="7"/>
    </row>
    <row r="975" spans="1:21" x14ac:dyDescent="0.2">
      <c r="A975" s="5"/>
      <c r="B975" s="5" t="s">
        <v>2984</v>
      </c>
      <c r="H975" s="8" t="s">
        <v>2985</v>
      </c>
      <c r="I975" s="5" t="s">
        <v>2986</v>
      </c>
      <c r="J975" s="5">
        <f>5-1-1-1-1</f>
        <v>1</v>
      </c>
      <c r="K975" s="5" t="s">
        <v>292</v>
      </c>
      <c r="L975" s="5" t="s">
        <v>2491</v>
      </c>
      <c r="M975" s="5">
        <v>36</v>
      </c>
      <c r="N975" s="5" t="s">
        <v>2976</v>
      </c>
      <c r="Q975" s="7" t="s">
        <v>2987</v>
      </c>
    </row>
    <row r="976" spans="1:21" x14ac:dyDescent="0.2">
      <c r="A976" s="5">
        <v>694</v>
      </c>
      <c r="B976" s="11" t="s">
        <v>2988</v>
      </c>
      <c r="C976" s="11"/>
      <c r="D976" s="11"/>
      <c r="E976" s="26"/>
      <c r="F976" s="11"/>
      <c r="G976" s="11"/>
      <c r="H976" s="8" t="s">
        <v>2989</v>
      </c>
      <c r="I976" s="8" t="s">
        <v>2989</v>
      </c>
      <c r="J976" s="5">
        <v>0</v>
      </c>
      <c r="K976" s="5" t="s">
        <v>292</v>
      </c>
      <c r="L976" s="5" t="s">
        <v>2491</v>
      </c>
      <c r="M976" s="5">
        <v>37</v>
      </c>
      <c r="N976" s="5" t="s">
        <v>2858</v>
      </c>
      <c r="O976" s="5" t="s">
        <v>789</v>
      </c>
      <c r="Q976" s="5" t="s">
        <v>2990</v>
      </c>
    </row>
    <row r="977" spans="1:21" x14ac:dyDescent="0.2">
      <c r="A977" s="5"/>
      <c r="B977" s="8" t="s">
        <v>2991</v>
      </c>
      <c r="C977" s="11"/>
      <c r="D977" s="11"/>
      <c r="E977" s="26"/>
      <c r="F977" s="11"/>
      <c r="G977" s="11"/>
      <c r="H977" s="8" t="s">
        <v>2992</v>
      </c>
      <c r="I977" s="8" t="s">
        <v>2992</v>
      </c>
      <c r="J977" s="5">
        <f>8+36-1-4-3-3-3-3-12+28-7+1-2-2-4-22+41+13-3-3+16-3-1-8-8-1-1</f>
        <v>49</v>
      </c>
      <c r="K977" s="5" t="s">
        <v>292</v>
      </c>
      <c r="L977" s="5" t="s">
        <v>2491</v>
      </c>
      <c r="M977" s="5">
        <v>37</v>
      </c>
      <c r="N977" s="5" t="s">
        <v>2858</v>
      </c>
      <c r="Q977" s="107" t="s">
        <v>2993</v>
      </c>
    </row>
    <row r="978" spans="1:21" x14ac:dyDescent="0.2">
      <c r="A978" s="5">
        <v>735</v>
      </c>
      <c r="B978" s="8" t="s">
        <v>2994</v>
      </c>
      <c r="H978" s="8" t="s">
        <v>2994</v>
      </c>
      <c r="I978" s="8" t="s">
        <v>2994</v>
      </c>
      <c r="J978" s="5">
        <v>6</v>
      </c>
      <c r="K978" s="5" t="s">
        <v>292</v>
      </c>
      <c r="L978" s="5" t="s">
        <v>2491</v>
      </c>
      <c r="M978" s="5">
        <v>37</v>
      </c>
      <c r="N978" s="5" t="s">
        <v>2995</v>
      </c>
      <c r="O978" s="5" t="s">
        <v>789</v>
      </c>
      <c r="Q978" s="5" t="s">
        <v>2996</v>
      </c>
    </row>
    <row r="979" spans="1:21" x14ac:dyDescent="0.2">
      <c r="A979" s="5"/>
      <c r="B979" s="8" t="s">
        <v>2997</v>
      </c>
      <c r="H979" s="8" t="s">
        <v>2998</v>
      </c>
      <c r="I979" s="8" t="s">
        <v>2998</v>
      </c>
      <c r="J979" s="5">
        <f>0+29</f>
        <v>29</v>
      </c>
      <c r="K979" s="5" t="s">
        <v>292</v>
      </c>
      <c r="L979" s="5" t="s">
        <v>2491</v>
      </c>
      <c r="M979" s="5">
        <v>37</v>
      </c>
      <c r="N979" s="5" t="s">
        <v>2995</v>
      </c>
      <c r="Q979" s="107" t="s">
        <v>2999</v>
      </c>
    </row>
    <row r="980" spans="1:21" x14ac:dyDescent="0.2">
      <c r="A980" s="5"/>
      <c r="B980" s="8" t="s">
        <v>3000</v>
      </c>
      <c r="H980" s="8" t="s">
        <v>3001</v>
      </c>
      <c r="I980" s="8" t="s">
        <v>3001</v>
      </c>
      <c r="J980" s="5">
        <f>3+22+19</f>
        <v>44</v>
      </c>
      <c r="K980" s="5" t="s">
        <v>292</v>
      </c>
      <c r="L980" s="5" t="s">
        <v>2491</v>
      </c>
      <c r="M980" s="5">
        <v>37</v>
      </c>
      <c r="N980" s="5" t="s">
        <v>2995</v>
      </c>
      <c r="Q980" s="108" t="s">
        <v>3002</v>
      </c>
    </row>
    <row r="981" spans="1:21" x14ac:dyDescent="0.2">
      <c r="A981" s="5">
        <v>345</v>
      </c>
      <c r="B981" s="8" t="s">
        <v>2859</v>
      </c>
      <c r="H981" s="8" t="s">
        <v>2860</v>
      </c>
      <c r="I981" s="8" t="s">
        <v>2860</v>
      </c>
      <c r="J981" s="5">
        <v>0</v>
      </c>
      <c r="K981" s="5" t="s">
        <v>292</v>
      </c>
      <c r="L981" s="5" t="s">
        <v>2491</v>
      </c>
      <c r="M981" s="5">
        <v>38</v>
      </c>
      <c r="N981" s="5" t="s">
        <v>2289</v>
      </c>
      <c r="Q981" s="5" t="s">
        <v>3003</v>
      </c>
    </row>
    <row r="982" spans="1:21" x14ac:dyDescent="0.2">
      <c r="A982" s="5"/>
      <c r="B982" s="8" t="s">
        <v>2859</v>
      </c>
      <c r="H982" s="8" t="s">
        <v>2865</v>
      </c>
      <c r="I982" s="8" t="s">
        <v>2865</v>
      </c>
      <c r="J982" s="5">
        <v>0</v>
      </c>
      <c r="K982" s="5" t="s">
        <v>292</v>
      </c>
      <c r="L982" s="5" t="s">
        <v>2491</v>
      </c>
      <c r="M982" s="5">
        <v>38</v>
      </c>
      <c r="N982" s="5" t="s">
        <v>2862</v>
      </c>
    </row>
    <row r="983" spans="1:21" x14ac:dyDescent="0.2">
      <c r="A983" s="5"/>
      <c r="B983" s="8" t="s">
        <v>2864</v>
      </c>
      <c r="H983" s="8" t="s">
        <v>2865</v>
      </c>
      <c r="I983" s="8" t="s">
        <v>2865</v>
      </c>
      <c r="J983" s="5">
        <v>0</v>
      </c>
      <c r="K983" s="5" t="s">
        <v>292</v>
      </c>
      <c r="L983" s="5" t="s">
        <v>2491</v>
      </c>
      <c r="M983" s="5">
        <v>39</v>
      </c>
      <c r="N983" s="5" t="s">
        <v>2862</v>
      </c>
    </row>
    <row r="984" spans="1:21" x14ac:dyDescent="0.2">
      <c r="A984" s="5"/>
      <c r="B984" s="8" t="s">
        <v>2864</v>
      </c>
      <c r="H984" s="8" t="s">
        <v>2865</v>
      </c>
      <c r="I984" s="8" t="s">
        <v>2865</v>
      </c>
      <c r="J984" s="5">
        <v>0</v>
      </c>
      <c r="K984" s="5" t="s">
        <v>292</v>
      </c>
      <c r="L984" s="5" t="s">
        <v>2491</v>
      </c>
      <c r="M984" s="5">
        <v>39</v>
      </c>
      <c r="N984" s="5" t="s">
        <v>2289</v>
      </c>
      <c r="R984" s="6"/>
      <c r="S984" s="6"/>
    </row>
    <row r="985" spans="1:21" x14ac:dyDescent="0.2">
      <c r="A985" s="5">
        <v>1638</v>
      </c>
      <c r="B985" s="8" t="s">
        <v>3004</v>
      </c>
      <c r="H985" s="8" t="s">
        <v>3005</v>
      </c>
      <c r="I985" s="8" t="s">
        <v>3005</v>
      </c>
      <c r="J985" s="5">
        <f>103-2-4-24-24-24-16+16-14-8+100-8-30-48-3</f>
        <v>14</v>
      </c>
      <c r="K985" s="5" t="s">
        <v>292</v>
      </c>
      <c r="L985" s="5" t="s">
        <v>2491</v>
      </c>
      <c r="M985" s="5">
        <v>40</v>
      </c>
      <c r="N985" s="5" t="s">
        <v>3006</v>
      </c>
      <c r="O985" s="5" t="s">
        <v>574</v>
      </c>
      <c r="Q985" s="5" t="s">
        <v>3007</v>
      </c>
      <c r="R985" s="6"/>
      <c r="S985" s="6"/>
    </row>
    <row r="986" spans="1:21" x14ac:dyDescent="0.2">
      <c r="A986" s="5">
        <v>1639</v>
      </c>
      <c r="B986" s="8">
        <v>550411</v>
      </c>
      <c r="H986" s="8" t="s">
        <v>3008</v>
      </c>
      <c r="I986" s="8" t="s">
        <v>3009</v>
      </c>
      <c r="J986" s="5">
        <f>64-8-48-4-1+100-32-16-5-28-5+300-128-64-36-22+32-10+32-8</f>
        <v>113</v>
      </c>
      <c r="K986" s="5" t="s">
        <v>292</v>
      </c>
      <c r="L986" s="5" t="s">
        <v>2491</v>
      </c>
      <c r="M986" s="5">
        <v>40</v>
      </c>
      <c r="N986" s="5" t="s">
        <v>3006</v>
      </c>
      <c r="O986" s="5" t="s">
        <v>574</v>
      </c>
      <c r="Q986" s="5" t="s">
        <v>3010</v>
      </c>
      <c r="R986" s="6"/>
      <c r="S986" s="6"/>
      <c r="U986" s="8"/>
    </row>
    <row r="987" spans="1:21" x14ac:dyDescent="0.2">
      <c r="A987" s="5">
        <v>1640</v>
      </c>
      <c r="B987" s="8">
        <v>550405</v>
      </c>
      <c r="H987" s="8" t="s">
        <v>3011</v>
      </c>
      <c r="I987" s="8" t="s">
        <v>3011</v>
      </c>
      <c r="J987" s="5">
        <f>108-16-16+7+16-16-36</f>
        <v>47</v>
      </c>
      <c r="K987" s="5" t="s">
        <v>292</v>
      </c>
      <c r="L987" s="5" t="s">
        <v>2491</v>
      </c>
      <c r="M987" s="5">
        <v>40</v>
      </c>
      <c r="N987" s="5" t="s">
        <v>3006</v>
      </c>
      <c r="O987" s="5" t="s">
        <v>574</v>
      </c>
      <c r="Q987" s="5" t="s">
        <v>3012</v>
      </c>
      <c r="R987" s="6"/>
      <c r="S987" s="6"/>
    </row>
    <row r="988" spans="1:21" x14ac:dyDescent="0.2">
      <c r="A988" s="5">
        <v>1641</v>
      </c>
      <c r="B988" s="8">
        <v>550407</v>
      </c>
      <c r="H988" s="8" t="s">
        <v>3013</v>
      </c>
      <c r="I988" s="8" t="s">
        <v>3013</v>
      </c>
      <c r="J988" s="5">
        <v>0</v>
      </c>
      <c r="K988" s="5" t="s">
        <v>292</v>
      </c>
      <c r="L988" s="5" t="s">
        <v>2491</v>
      </c>
      <c r="M988" s="5">
        <v>40</v>
      </c>
      <c r="N988" s="5" t="s">
        <v>3006</v>
      </c>
      <c r="O988" s="5" t="s">
        <v>574</v>
      </c>
      <c r="Q988" s="5" t="s">
        <v>3014</v>
      </c>
      <c r="R988" s="6"/>
      <c r="S988" s="6"/>
    </row>
    <row r="989" spans="1:21" x14ac:dyDescent="0.2">
      <c r="A989" s="5"/>
      <c r="B989" s="8" t="s">
        <v>3015</v>
      </c>
      <c r="H989" s="8" t="s">
        <v>3016</v>
      </c>
      <c r="I989" s="8" t="s">
        <v>3016</v>
      </c>
      <c r="J989" s="5">
        <f>20+10+36-36+15</f>
        <v>45</v>
      </c>
      <c r="K989" s="5" t="s">
        <v>292</v>
      </c>
      <c r="L989" s="5" t="s">
        <v>2491</v>
      </c>
      <c r="M989" s="5">
        <v>40</v>
      </c>
      <c r="N989" s="5" t="s">
        <v>3006</v>
      </c>
      <c r="Q989" s="107" t="s">
        <v>3017</v>
      </c>
      <c r="R989" s="6"/>
      <c r="S989" s="6"/>
    </row>
    <row r="990" spans="1:21" x14ac:dyDescent="0.2">
      <c r="A990" s="5"/>
      <c r="B990" s="8" t="s">
        <v>3018</v>
      </c>
      <c r="H990" s="8" t="s">
        <v>3016</v>
      </c>
      <c r="I990" s="8" t="s">
        <v>3016</v>
      </c>
      <c r="J990" s="5">
        <f>100-32+32-20-8</f>
        <v>72</v>
      </c>
      <c r="K990" s="5" t="s">
        <v>292</v>
      </c>
      <c r="L990" s="5" t="s">
        <v>2491</v>
      </c>
      <c r="M990" s="5">
        <v>40</v>
      </c>
      <c r="N990" s="5" t="s">
        <v>3006</v>
      </c>
      <c r="Q990" s="107" t="s">
        <v>3019</v>
      </c>
      <c r="R990" s="6"/>
      <c r="S990" s="6"/>
    </row>
    <row r="991" spans="1:21" x14ac:dyDescent="0.2">
      <c r="A991" s="5">
        <v>1642</v>
      </c>
      <c r="B991" s="8">
        <v>550409</v>
      </c>
      <c r="H991" s="8" t="s">
        <v>3020</v>
      </c>
      <c r="I991" s="8" t="s">
        <v>3020</v>
      </c>
      <c r="J991" s="5">
        <v>2</v>
      </c>
      <c r="K991" s="5" t="s">
        <v>292</v>
      </c>
      <c r="L991" s="5" t="s">
        <v>2491</v>
      </c>
      <c r="M991" s="5">
        <v>40</v>
      </c>
      <c r="N991" s="5" t="s">
        <v>3006</v>
      </c>
      <c r="O991" s="5" t="s">
        <v>574</v>
      </c>
      <c r="Q991" s="5" t="s">
        <v>3021</v>
      </c>
      <c r="R991" s="6"/>
      <c r="S991" s="6" t="s">
        <v>328</v>
      </c>
    </row>
    <row r="992" spans="1:21" x14ac:dyDescent="0.2">
      <c r="A992" s="5">
        <v>1643</v>
      </c>
      <c r="B992" s="8" t="s">
        <v>3022</v>
      </c>
      <c r="H992" s="8" t="s">
        <v>3023</v>
      </c>
      <c r="I992" s="8" t="s">
        <v>3023</v>
      </c>
      <c r="J992" s="5">
        <v>515</v>
      </c>
      <c r="K992" s="5" t="s">
        <v>292</v>
      </c>
      <c r="L992" s="5" t="s">
        <v>2491</v>
      </c>
      <c r="M992" s="5">
        <v>40</v>
      </c>
      <c r="N992" s="5" t="s">
        <v>3006</v>
      </c>
      <c r="O992" s="5" t="s">
        <v>574</v>
      </c>
      <c r="Q992" s="10" t="s">
        <v>553</v>
      </c>
      <c r="R992" s="6"/>
      <c r="S992" s="6" t="s">
        <v>328</v>
      </c>
    </row>
    <row r="993" spans="1:21" x14ac:dyDescent="0.2">
      <c r="A993" s="5">
        <v>1644</v>
      </c>
      <c r="B993" s="8" t="s">
        <v>3024</v>
      </c>
      <c r="H993" s="8" t="s">
        <v>3025</v>
      </c>
      <c r="I993" s="8" t="s">
        <v>3025</v>
      </c>
      <c r="J993" s="5">
        <v>12</v>
      </c>
      <c r="K993" s="5" t="s">
        <v>292</v>
      </c>
      <c r="L993" s="5" t="s">
        <v>2491</v>
      </c>
      <c r="M993" s="5">
        <v>40</v>
      </c>
      <c r="N993" s="5" t="s">
        <v>3006</v>
      </c>
      <c r="O993" s="5" t="s">
        <v>574</v>
      </c>
      <c r="Q993" s="10" t="s">
        <v>553</v>
      </c>
      <c r="R993" s="6"/>
      <c r="S993" s="6"/>
    </row>
    <row r="994" spans="1:21" x14ac:dyDescent="0.2">
      <c r="A994" s="5">
        <v>1645</v>
      </c>
      <c r="B994" s="8">
        <v>550402</v>
      </c>
      <c r="H994" s="8" t="s">
        <v>3026</v>
      </c>
      <c r="I994" s="8" t="s">
        <v>3026</v>
      </c>
      <c r="J994" s="5">
        <f>20-6</f>
        <v>14</v>
      </c>
      <c r="K994" s="5" t="s">
        <v>292</v>
      </c>
      <c r="L994" s="5" t="s">
        <v>2491</v>
      </c>
      <c r="M994" s="5">
        <v>40</v>
      </c>
      <c r="N994" s="5" t="s">
        <v>3006</v>
      </c>
      <c r="O994" s="5" t="s">
        <v>574</v>
      </c>
      <c r="Q994" s="5" t="s">
        <v>3027</v>
      </c>
      <c r="R994" s="6"/>
      <c r="S994" s="6"/>
    </row>
    <row r="995" spans="1:21" x14ac:dyDescent="0.2">
      <c r="A995" s="5">
        <v>1646</v>
      </c>
      <c r="B995" s="8">
        <v>550406</v>
      </c>
      <c r="H995" s="8" t="s">
        <v>3028</v>
      </c>
      <c r="I995" s="8" t="s">
        <v>3028</v>
      </c>
      <c r="J995" s="5">
        <f>235-5</f>
        <v>230</v>
      </c>
      <c r="K995" s="5" t="s">
        <v>292</v>
      </c>
      <c r="L995" s="5" t="s">
        <v>2491</v>
      </c>
      <c r="M995" s="5">
        <v>40</v>
      </c>
      <c r="N995" s="5" t="s">
        <v>3029</v>
      </c>
      <c r="O995" s="5" t="s">
        <v>574</v>
      </c>
      <c r="Q995" s="5" t="s">
        <v>3030</v>
      </c>
      <c r="R995" s="6"/>
      <c r="S995" s="6"/>
    </row>
    <row r="996" spans="1:21" x14ac:dyDescent="0.2">
      <c r="A996" s="5">
        <v>1647</v>
      </c>
      <c r="B996" s="8">
        <v>550410</v>
      </c>
      <c r="H996" s="8" t="s">
        <v>3031</v>
      </c>
      <c r="I996" s="8" t="s">
        <v>3031</v>
      </c>
      <c r="J996" s="5">
        <f>178-4</f>
        <v>174</v>
      </c>
      <c r="K996" s="5" t="s">
        <v>292</v>
      </c>
      <c r="L996" s="5" t="s">
        <v>2491</v>
      </c>
      <c r="M996" s="5">
        <v>40</v>
      </c>
      <c r="N996" s="5" t="s">
        <v>3029</v>
      </c>
      <c r="O996" s="5" t="s">
        <v>574</v>
      </c>
      <c r="Q996" s="5" t="s">
        <v>3030</v>
      </c>
      <c r="R996" s="6"/>
      <c r="S996" s="6"/>
    </row>
    <row r="997" spans="1:21" x14ac:dyDescent="0.2">
      <c r="A997" s="5">
        <v>1648</v>
      </c>
      <c r="B997" s="8">
        <v>550403</v>
      </c>
      <c r="H997" s="8" t="s">
        <v>3032</v>
      </c>
      <c r="I997" s="8" t="s">
        <v>3032</v>
      </c>
      <c r="J997" s="5">
        <f>143-4-3-10-24-3-96-3</f>
        <v>0</v>
      </c>
      <c r="K997" s="5" t="s">
        <v>292</v>
      </c>
      <c r="L997" s="5" t="s">
        <v>2491</v>
      </c>
      <c r="M997" s="5">
        <v>40</v>
      </c>
      <c r="N997" s="5" t="s">
        <v>3029</v>
      </c>
      <c r="O997" s="5" t="s">
        <v>574</v>
      </c>
      <c r="Q997" s="5" t="s">
        <v>3033</v>
      </c>
      <c r="R997" s="6"/>
      <c r="S997" s="6"/>
    </row>
    <row r="998" spans="1:21" x14ac:dyDescent="0.2">
      <c r="A998" s="5"/>
      <c r="B998" s="8" t="s">
        <v>3034</v>
      </c>
      <c r="H998" s="8" t="s">
        <v>3035</v>
      </c>
      <c r="I998" s="8" t="s">
        <v>3032</v>
      </c>
      <c r="J998" s="5">
        <f>163-22-3-112-4-16</f>
        <v>6</v>
      </c>
      <c r="K998" s="5" t="s">
        <v>292</v>
      </c>
      <c r="L998" s="5" t="s">
        <v>2491</v>
      </c>
      <c r="M998" s="5">
        <v>40</v>
      </c>
      <c r="N998" s="5" t="s">
        <v>3029</v>
      </c>
      <c r="Q998" s="107" t="s">
        <v>3036</v>
      </c>
      <c r="R998" s="6"/>
      <c r="S998" s="6"/>
    </row>
    <row r="999" spans="1:21" x14ac:dyDescent="0.2">
      <c r="A999" s="5">
        <v>1649</v>
      </c>
      <c r="B999" s="8" t="s">
        <v>3037</v>
      </c>
      <c r="H999" s="8" t="s">
        <v>3038</v>
      </c>
      <c r="I999" s="8" t="s">
        <v>3038</v>
      </c>
      <c r="J999" s="5">
        <f>0+4+200-96+200-48+24-1-128-64-8+10-5</f>
        <v>88</v>
      </c>
      <c r="K999" s="5" t="s">
        <v>292</v>
      </c>
      <c r="L999" s="5" t="s">
        <v>2491</v>
      </c>
      <c r="M999" s="5">
        <v>40</v>
      </c>
      <c r="N999" s="5" t="s">
        <v>3029</v>
      </c>
      <c r="O999" s="5" t="s">
        <v>574</v>
      </c>
      <c r="Q999" s="5" t="s">
        <v>3039</v>
      </c>
      <c r="R999" s="6"/>
      <c r="S999" s="6" t="s">
        <v>1139</v>
      </c>
      <c r="U999" s="8" t="s">
        <v>3040</v>
      </c>
    </row>
    <row r="1000" spans="1:21" x14ac:dyDescent="0.2">
      <c r="A1000" s="5">
        <v>1650</v>
      </c>
      <c r="B1000" s="8" t="s">
        <v>3041</v>
      </c>
      <c r="H1000" s="8" t="s">
        <v>3042</v>
      </c>
      <c r="I1000" s="8" t="s">
        <v>3042</v>
      </c>
      <c r="J1000" s="5">
        <v>958</v>
      </c>
      <c r="K1000" s="5" t="s">
        <v>292</v>
      </c>
      <c r="L1000" s="5" t="s">
        <v>2491</v>
      </c>
      <c r="M1000" s="5">
        <v>40</v>
      </c>
      <c r="N1000" s="5" t="s">
        <v>3029</v>
      </c>
      <c r="O1000" s="5" t="s">
        <v>574</v>
      </c>
      <c r="Q1000" s="10" t="s">
        <v>553</v>
      </c>
    </row>
    <row r="1001" spans="1:21" x14ac:dyDescent="0.2">
      <c r="A1001" s="5">
        <v>2339</v>
      </c>
      <c r="B1001" s="8" t="s">
        <v>3043</v>
      </c>
      <c r="H1001" s="8" t="s">
        <v>3044</v>
      </c>
      <c r="I1001" s="8" t="s">
        <v>3044</v>
      </c>
      <c r="J1001" s="5">
        <f>96-4</f>
        <v>92</v>
      </c>
      <c r="K1001" s="5" t="s">
        <v>292</v>
      </c>
      <c r="L1001" s="5" t="s">
        <v>2491</v>
      </c>
      <c r="M1001" s="5">
        <v>40</v>
      </c>
      <c r="N1001" s="5" t="s">
        <v>34</v>
      </c>
      <c r="O1001" s="5" t="s">
        <v>574</v>
      </c>
      <c r="Q1001" s="5" t="s">
        <v>3045</v>
      </c>
      <c r="R1001" s="6"/>
      <c r="S1001" s="6"/>
    </row>
    <row r="1002" spans="1:21" x14ac:dyDescent="0.2">
      <c r="A1002" s="5">
        <v>1593</v>
      </c>
      <c r="B1002" s="8" t="s">
        <v>3046</v>
      </c>
      <c r="H1002" s="8" t="s">
        <v>1120</v>
      </c>
      <c r="I1002" s="8" t="s">
        <v>1120</v>
      </c>
      <c r="J1002" s="5">
        <v>3</v>
      </c>
      <c r="K1002" s="5" t="s">
        <v>292</v>
      </c>
      <c r="L1002" s="5" t="s">
        <v>2491</v>
      </c>
      <c r="M1002" s="5">
        <v>41</v>
      </c>
      <c r="N1002" s="5" t="s">
        <v>3047</v>
      </c>
      <c r="O1002" s="5" t="s">
        <v>574</v>
      </c>
      <c r="Q1002" s="5" t="s">
        <v>3048</v>
      </c>
      <c r="R1002" s="6"/>
      <c r="S1002" s="6" t="s">
        <v>328</v>
      </c>
    </row>
    <row r="1003" spans="1:21" x14ac:dyDescent="0.2">
      <c r="A1003" s="5">
        <v>1594</v>
      </c>
      <c r="B1003" s="8" t="s">
        <v>3049</v>
      </c>
      <c r="H1003" s="8" t="s">
        <v>1120</v>
      </c>
      <c r="I1003" s="8" t="s">
        <v>1120</v>
      </c>
      <c r="J1003" s="5">
        <v>3</v>
      </c>
      <c r="K1003" s="5" t="s">
        <v>292</v>
      </c>
      <c r="L1003" s="5" t="s">
        <v>2491</v>
      </c>
      <c r="M1003" s="5">
        <v>41</v>
      </c>
      <c r="N1003" s="5" t="s">
        <v>3047</v>
      </c>
      <c r="O1003" s="5" t="s">
        <v>574</v>
      </c>
      <c r="Q1003" s="10" t="s">
        <v>553</v>
      </c>
      <c r="R1003" s="6"/>
      <c r="S1003" s="6"/>
    </row>
    <row r="1004" spans="1:21" x14ac:dyDescent="0.2">
      <c r="A1004" s="5">
        <v>1595</v>
      </c>
      <c r="B1004" s="8" t="s">
        <v>2757</v>
      </c>
      <c r="H1004" s="8" t="s">
        <v>3050</v>
      </c>
      <c r="I1004" s="8" t="s">
        <v>3050</v>
      </c>
      <c r="J1004" s="5">
        <v>0</v>
      </c>
      <c r="K1004" s="5" t="s">
        <v>292</v>
      </c>
      <c r="L1004" s="5" t="s">
        <v>2491</v>
      </c>
      <c r="M1004" s="5">
        <v>41</v>
      </c>
      <c r="N1004" s="5" t="s">
        <v>3051</v>
      </c>
      <c r="O1004" s="5" t="s">
        <v>574</v>
      </c>
      <c r="Q1004" s="5" t="s">
        <v>2758</v>
      </c>
      <c r="R1004" s="6"/>
      <c r="S1004" s="6" t="s">
        <v>328</v>
      </c>
    </row>
    <row r="1005" spans="1:21" x14ac:dyDescent="0.2">
      <c r="A1005" s="5">
        <v>1596</v>
      </c>
      <c r="B1005" s="8" t="s">
        <v>3052</v>
      </c>
      <c r="H1005" s="8" t="s">
        <v>1120</v>
      </c>
      <c r="I1005" s="8" t="s">
        <v>1120</v>
      </c>
      <c r="J1005" s="5">
        <v>1</v>
      </c>
      <c r="K1005" s="5" t="s">
        <v>292</v>
      </c>
      <c r="L1005" s="5" t="s">
        <v>2491</v>
      </c>
      <c r="M1005" s="5">
        <v>41</v>
      </c>
      <c r="N1005" s="5" t="s">
        <v>3047</v>
      </c>
      <c r="O1005" s="5" t="s">
        <v>574</v>
      </c>
      <c r="Q1005" s="10" t="s">
        <v>553</v>
      </c>
      <c r="R1005" s="6"/>
      <c r="S1005" s="6" t="s">
        <v>328</v>
      </c>
    </row>
    <row r="1006" spans="1:21" x14ac:dyDescent="0.2">
      <c r="A1006" s="5">
        <v>1576</v>
      </c>
      <c r="B1006" s="8" t="s">
        <v>3053</v>
      </c>
      <c r="H1006" s="8" t="s">
        <v>2969</v>
      </c>
      <c r="I1006" s="8" t="s">
        <v>2969</v>
      </c>
      <c r="J1006" s="5">
        <v>10</v>
      </c>
      <c r="K1006" s="5" t="s">
        <v>292</v>
      </c>
      <c r="L1006" s="5" t="s">
        <v>2491</v>
      </c>
      <c r="M1006" s="5">
        <v>42</v>
      </c>
      <c r="N1006" s="5" t="s">
        <v>2962</v>
      </c>
      <c r="O1006" s="5" t="s">
        <v>574</v>
      </c>
      <c r="Q1006" s="10" t="s">
        <v>553</v>
      </c>
      <c r="R1006" s="6"/>
      <c r="S1006" s="6" t="s">
        <v>328</v>
      </c>
    </row>
    <row r="1007" spans="1:21" x14ac:dyDescent="0.2">
      <c r="A1007" s="5">
        <v>1577</v>
      </c>
      <c r="B1007" s="8" t="s">
        <v>3054</v>
      </c>
      <c r="H1007" s="8" t="s">
        <v>3055</v>
      </c>
      <c r="I1007" s="8" t="s">
        <v>3055</v>
      </c>
      <c r="J1007" s="5">
        <f>68</f>
        <v>68</v>
      </c>
      <c r="K1007" s="5" t="s">
        <v>292</v>
      </c>
      <c r="L1007" s="5" t="s">
        <v>2491</v>
      </c>
      <c r="M1007" s="5">
        <v>42</v>
      </c>
      <c r="N1007" s="5" t="s">
        <v>2962</v>
      </c>
      <c r="O1007" s="5" t="s">
        <v>574</v>
      </c>
      <c r="Q1007" s="10" t="s">
        <v>553</v>
      </c>
      <c r="S1007" s="5" t="s">
        <v>328</v>
      </c>
    </row>
    <row r="1008" spans="1:21" x14ac:dyDescent="0.2">
      <c r="A1008" s="5">
        <v>702</v>
      </c>
      <c r="B1008" s="8" t="s">
        <v>3056</v>
      </c>
      <c r="H1008" s="8" t="s">
        <v>3057</v>
      </c>
      <c r="I1008" s="8" t="s">
        <v>3057</v>
      </c>
      <c r="J1008" s="5">
        <v>12</v>
      </c>
      <c r="K1008" s="5" t="s">
        <v>292</v>
      </c>
      <c r="L1008" s="5" t="s">
        <v>2491</v>
      </c>
      <c r="M1008" s="5">
        <v>43</v>
      </c>
      <c r="N1008" s="5" t="s">
        <v>3058</v>
      </c>
      <c r="O1008" s="5" t="s">
        <v>789</v>
      </c>
      <c r="Q1008" s="10" t="s">
        <v>553</v>
      </c>
      <c r="S1008" s="5" t="s">
        <v>328</v>
      </c>
    </row>
    <row r="1009" spans="1:19" x14ac:dyDescent="0.2">
      <c r="A1009" s="5">
        <v>703</v>
      </c>
      <c r="B1009" s="8" t="s">
        <v>3059</v>
      </c>
      <c r="H1009" s="8" t="s">
        <v>3060</v>
      </c>
      <c r="I1009" s="8" t="s">
        <v>3060</v>
      </c>
      <c r="J1009" s="5">
        <v>0</v>
      </c>
      <c r="K1009" s="5" t="s">
        <v>292</v>
      </c>
      <c r="L1009" s="5" t="s">
        <v>2491</v>
      </c>
      <c r="M1009" s="5">
        <v>43</v>
      </c>
      <c r="N1009" s="5" t="s">
        <v>3061</v>
      </c>
      <c r="O1009" s="5" t="s">
        <v>789</v>
      </c>
      <c r="Q1009" s="10" t="s">
        <v>553</v>
      </c>
    </row>
    <row r="1010" spans="1:19" x14ac:dyDescent="0.2">
      <c r="A1010" s="5"/>
      <c r="B1010" s="8" t="s">
        <v>3062</v>
      </c>
      <c r="H1010" s="8" t="s">
        <v>3063</v>
      </c>
      <c r="I1010" s="8" t="s">
        <v>3063</v>
      </c>
      <c r="J1010" s="5">
        <f>10-10</f>
        <v>0</v>
      </c>
      <c r="K1010" s="5" t="s">
        <v>292</v>
      </c>
      <c r="L1010" s="5" t="s">
        <v>2491</v>
      </c>
      <c r="M1010" s="5">
        <v>43</v>
      </c>
      <c r="N1010" s="5" t="s">
        <v>3064</v>
      </c>
      <c r="Q1010" s="10" t="s">
        <v>3065</v>
      </c>
    </row>
    <row r="1011" spans="1:19" x14ac:dyDescent="0.2">
      <c r="A1011" s="5">
        <v>695</v>
      </c>
      <c r="B1011" s="11" t="s">
        <v>3066</v>
      </c>
      <c r="C1011" s="11"/>
      <c r="D1011" s="11"/>
      <c r="E1011" s="26"/>
      <c r="F1011" s="11"/>
      <c r="G1011" s="11"/>
      <c r="H1011" s="8" t="s">
        <v>3067</v>
      </c>
      <c r="I1011" s="8" t="s">
        <v>3067</v>
      </c>
      <c r="J1011" s="5">
        <v>350</v>
      </c>
      <c r="K1011" s="5" t="s">
        <v>292</v>
      </c>
      <c r="L1011" s="5" t="s">
        <v>2491</v>
      </c>
      <c r="M1011" s="5">
        <v>44</v>
      </c>
      <c r="N1011" s="5" t="s">
        <v>2995</v>
      </c>
      <c r="O1011" s="5" t="s">
        <v>789</v>
      </c>
      <c r="Q1011" s="5" t="s">
        <v>3068</v>
      </c>
      <c r="S1011" s="5" t="s">
        <v>328</v>
      </c>
    </row>
    <row r="1012" spans="1:19" x14ac:dyDescent="0.2">
      <c r="A1012" s="5">
        <v>696</v>
      </c>
      <c r="B1012" s="8" t="s">
        <v>3069</v>
      </c>
      <c r="H1012" s="8" t="s">
        <v>3070</v>
      </c>
      <c r="I1012" s="8" t="s">
        <v>3070</v>
      </c>
      <c r="J1012" s="5">
        <f>634-1</f>
        <v>633</v>
      </c>
      <c r="K1012" s="5" t="s">
        <v>292</v>
      </c>
      <c r="L1012" s="5" t="s">
        <v>2491</v>
      </c>
      <c r="M1012" s="5">
        <v>44</v>
      </c>
      <c r="N1012" s="5" t="s">
        <v>3071</v>
      </c>
      <c r="O1012" s="5" t="s">
        <v>789</v>
      </c>
      <c r="Q1012" s="10" t="s">
        <v>553</v>
      </c>
    </row>
    <row r="1013" spans="1:19" x14ac:dyDescent="0.2">
      <c r="A1013" s="5">
        <v>697</v>
      </c>
      <c r="B1013" s="11" t="s">
        <v>3072</v>
      </c>
      <c r="C1013" s="11"/>
      <c r="D1013" s="11"/>
      <c r="E1013" s="26"/>
      <c r="F1013" s="11"/>
      <c r="G1013" s="11"/>
      <c r="H1013" s="8" t="s">
        <v>3073</v>
      </c>
      <c r="I1013" s="8" t="s">
        <v>3073</v>
      </c>
      <c r="J1013" s="5">
        <v>150</v>
      </c>
      <c r="K1013" s="5" t="s">
        <v>292</v>
      </c>
      <c r="L1013" s="5" t="s">
        <v>2491</v>
      </c>
      <c r="M1013" s="5">
        <v>44</v>
      </c>
      <c r="N1013" s="5" t="s">
        <v>2995</v>
      </c>
      <c r="O1013" s="5" t="s">
        <v>789</v>
      </c>
      <c r="Q1013" s="5" t="s">
        <v>3068</v>
      </c>
      <c r="S1013" s="5" t="s">
        <v>1139</v>
      </c>
    </row>
    <row r="1014" spans="1:19" x14ac:dyDescent="0.2">
      <c r="A1014" s="5">
        <v>698</v>
      </c>
      <c r="B1014" s="8" t="s">
        <v>3074</v>
      </c>
      <c r="H1014" s="8" t="s">
        <v>3075</v>
      </c>
      <c r="I1014" s="8" t="s">
        <v>3075</v>
      </c>
      <c r="J1014" s="5">
        <v>430</v>
      </c>
      <c r="K1014" s="5" t="s">
        <v>292</v>
      </c>
      <c r="L1014" s="5" t="s">
        <v>2491</v>
      </c>
      <c r="M1014" s="5">
        <v>44</v>
      </c>
      <c r="N1014" s="5" t="s">
        <v>2995</v>
      </c>
      <c r="O1014" s="5" t="s">
        <v>789</v>
      </c>
      <c r="Q1014" s="10" t="s">
        <v>553</v>
      </c>
      <c r="S1014" s="5" t="s">
        <v>328</v>
      </c>
    </row>
    <row r="1015" spans="1:19" x14ac:dyDescent="0.2">
      <c r="A1015" s="5">
        <v>699</v>
      </c>
      <c r="B1015" s="8" t="s">
        <v>3076</v>
      </c>
      <c r="H1015" s="8" t="s">
        <v>3077</v>
      </c>
      <c r="I1015" s="8" t="s">
        <v>3077</v>
      </c>
      <c r="J1015" s="5">
        <v>97</v>
      </c>
      <c r="K1015" s="5" t="s">
        <v>292</v>
      </c>
      <c r="L1015" s="5" t="s">
        <v>2491</v>
      </c>
      <c r="M1015" s="5">
        <v>44</v>
      </c>
      <c r="N1015" s="5" t="s">
        <v>2995</v>
      </c>
      <c r="O1015" s="5" t="s">
        <v>789</v>
      </c>
      <c r="Q1015" s="10" t="s">
        <v>553</v>
      </c>
    </row>
    <row r="1016" spans="1:19" x14ac:dyDescent="0.2">
      <c r="A1016" s="5">
        <v>700</v>
      </c>
      <c r="B1016" s="11" t="s">
        <v>3078</v>
      </c>
      <c r="C1016" s="11"/>
      <c r="D1016" s="11"/>
      <c r="E1016" s="26"/>
      <c r="F1016" s="11"/>
      <c r="G1016" s="11"/>
      <c r="H1016" s="8" t="s">
        <v>3079</v>
      </c>
      <c r="I1016" s="8" t="s">
        <v>3079</v>
      </c>
      <c r="J1016" s="5">
        <f>52-8-8</f>
        <v>36</v>
      </c>
      <c r="K1016" s="5" t="s">
        <v>292</v>
      </c>
      <c r="L1016" s="5" t="s">
        <v>2491</v>
      </c>
      <c r="M1016" s="5">
        <v>44</v>
      </c>
      <c r="N1016" s="5" t="s">
        <v>2995</v>
      </c>
      <c r="O1016" s="5" t="s">
        <v>789</v>
      </c>
      <c r="Q1016" s="5" t="s">
        <v>3068</v>
      </c>
    </row>
    <row r="1017" spans="1:19" x14ac:dyDescent="0.2">
      <c r="A1017" s="5">
        <v>701</v>
      </c>
      <c r="B1017" s="11">
        <v>660522</v>
      </c>
      <c r="C1017" s="11"/>
      <c r="D1017" s="11"/>
      <c r="E1017" s="26"/>
      <c r="F1017" s="11"/>
      <c r="G1017" s="11"/>
      <c r="H1017" s="8" t="s">
        <v>3080</v>
      </c>
      <c r="I1017" s="8" t="s">
        <v>3080</v>
      </c>
      <c r="J1017" s="5">
        <v>0</v>
      </c>
      <c r="K1017" s="5" t="s">
        <v>292</v>
      </c>
      <c r="L1017" s="5" t="s">
        <v>2491</v>
      </c>
      <c r="M1017" s="5">
        <v>44</v>
      </c>
      <c r="N1017" s="5" t="s">
        <v>2995</v>
      </c>
      <c r="O1017" s="5" t="s">
        <v>789</v>
      </c>
      <c r="Q1017" s="5" t="s">
        <v>1599</v>
      </c>
    </row>
    <row r="1018" spans="1:19" x14ac:dyDescent="0.2">
      <c r="A1018" s="5">
        <v>701</v>
      </c>
      <c r="B1018" s="11">
        <v>660531</v>
      </c>
      <c r="C1018" s="11"/>
      <c r="D1018" s="11"/>
      <c r="E1018" s="26"/>
      <c r="F1018" s="11"/>
      <c r="G1018" s="11"/>
      <c r="H1018" s="8" t="s">
        <v>3081</v>
      </c>
      <c r="I1018" s="8" t="s">
        <v>3081</v>
      </c>
      <c r="J1018" s="5">
        <v>0</v>
      </c>
      <c r="K1018" s="5" t="s">
        <v>292</v>
      </c>
      <c r="L1018" s="5" t="s">
        <v>2491</v>
      </c>
      <c r="M1018" s="5">
        <v>44</v>
      </c>
      <c r="N1018" s="5" t="s">
        <v>2995</v>
      </c>
      <c r="O1018" s="5" t="s">
        <v>789</v>
      </c>
      <c r="Q1018" s="5" t="s">
        <v>1599</v>
      </c>
    </row>
    <row r="1019" spans="1:19" x14ac:dyDescent="0.2">
      <c r="A1019" s="5">
        <v>701</v>
      </c>
      <c r="B1019" s="11" t="s">
        <v>3082</v>
      </c>
      <c r="C1019" s="11"/>
      <c r="D1019" s="11"/>
      <c r="E1019" s="26"/>
      <c r="F1019" s="11"/>
      <c r="G1019" s="11"/>
      <c r="H1019" s="8" t="s">
        <v>3083</v>
      </c>
      <c r="I1019" s="8" t="s">
        <v>3084</v>
      </c>
      <c r="J1019" s="5">
        <v>167</v>
      </c>
      <c r="K1019" s="5" t="s">
        <v>292</v>
      </c>
      <c r="L1019" s="5" t="s">
        <v>2491</v>
      </c>
      <c r="M1019" s="5">
        <v>44</v>
      </c>
      <c r="N1019" s="5" t="s">
        <v>2995</v>
      </c>
      <c r="O1019" s="5" t="s">
        <v>789</v>
      </c>
      <c r="Q1019" s="5" t="s">
        <v>1599</v>
      </c>
    </row>
    <row r="1020" spans="1:19" x14ac:dyDescent="0.2">
      <c r="A1020" s="5">
        <v>684</v>
      </c>
      <c r="B1020" s="8" t="s">
        <v>3085</v>
      </c>
      <c r="H1020" s="8" t="s">
        <v>3086</v>
      </c>
      <c r="I1020" s="8" t="s">
        <v>3086</v>
      </c>
      <c r="J1020" s="5">
        <v>2</v>
      </c>
      <c r="K1020" s="5" t="s">
        <v>292</v>
      </c>
      <c r="L1020" s="5" t="s">
        <v>2491</v>
      </c>
      <c r="M1020" s="5">
        <v>45</v>
      </c>
      <c r="N1020" s="5" t="s">
        <v>2862</v>
      </c>
      <c r="O1020" s="5" t="s">
        <v>789</v>
      </c>
      <c r="Q1020" s="5" t="s">
        <v>3087</v>
      </c>
    </row>
    <row r="1021" spans="1:19" x14ac:dyDescent="0.2">
      <c r="A1021" s="5">
        <v>685</v>
      </c>
      <c r="B1021" s="8" t="s">
        <v>3088</v>
      </c>
      <c r="H1021" s="8" t="s">
        <v>3089</v>
      </c>
      <c r="I1021" s="8" t="s">
        <v>3089</v>
      </c>
      <c r="J1021" s="5">
        <v>0</v>
      </c>
      <c r="K1021" s="5" t="s">
        <v>292</v>
      </c>
      <c r="L1021" s="5" t="s">
        <v>2491</v>
      </c>
      <c r="M1021" s="5">
        <v>45</v>
      </c>
      <c r="N1021" s="5" t="s">
        <v>2862</v>
      </c>
      <c r="O1021" s="5" t="s">
        <v>789</v>
      </c>
      <c r="Q1021" s="5" t="s">
        <v>3090</v>
      </c>
    </row>
    <row r="1022" spans="1:19" x14ac:dyDescent="0.2">
      <c r="A1022" s="5">
        <v>686</v>
      </c>
      <c r="B1022" s="8" t="s">
        <v>3091</v>
      </c>
      <c r="H1022" s="8" t="s">
        <v>3089</v>
      </c>
      <c r="I1022" s="8" t="s">
        <v>3089</v>
      </c>
      <c r="J1022" s="5">
        <v>1</v>
      </c>
      <c r="K1022" s="5" t="s">
        <v>292</v>
      </c>
      <c r="L1022" s="5" t="s">
        <v>2491</v>
      </c>
      <c r="M1022" s="5">
        <v>45</v>
      </c>
      <c r="N1022" s="5" t="s">
        <v>2862</v>
      </c>
      <c r="O1022" s="5" t="s">
        <v>789</v>
      </c>
      <c r="Q1022" s="5" t="s">
        <v>3092</v>
      </c>
      <c r="S1022" s="5" t="s">
        <v>328</v>
      </c>
    </row>
    <row r="1023" spans="1:19" x14ac:dyDescent="0.2">
      <c r="A1023" s="5">
        <v>687</v>
      </c>
      <c r="B1023" s="8" t="s">
        <v>3093</v>
      </c>
      <c r="H1023" s="8" t="s">
        <v>3094</v>
      </c>
      <c r="I1023" s="8" t="s">
        <v>3094</v>
      </c>
      <c r="J1023" s="5">
        <v>0</v>
      </c>
      <c r="K1023" s="5" t="s">
        <v>292</v>
      </c>
      <c r="L1023" s="5" t="s">
        <v>2491</v>
      </c>
      <c r="M1023" s="5">
        <v>45</v>
      </c>
      <c r="N1023" s="5" t="s">
        <v>2862</v>
      </c>
      <c r="O1023" s="5" t="s">
        <v>789</v>
      </c>
      <c r="Q1023" s="10" t="s">
        <v>553</v>
      </c>
      <c r="S1023" s="5" t="s">
        <v>328</v>
      </c>
    </row>
    <row r="1024" spans="1:19" x14ac:dyDescent="0.2">
      <c r="A1024" s="5">
        <v>688</v>
      </c>
      <c r="B1024" s="11" t="s">
        <v>3095</v>
      </c>
      <c r="C1024" s="11"/>
      <c r="D1024" s="11"/>
      <c r="E1024" s="26"/>
      <c r="F1024" s="11"/>
      <c r="G1024" s="11"/>
      <c r="H1024" s="8" t="s">
        <v>3096</v>
      </c>
      <c r="I1024" s="8" t="s">
        <v>3096</v>
      </c>
      <c r="J1024" s="5">
        <v>13</v>
      </c>
      <c r="K1024" s="5" t="s">
        <v>292</v>
      </c>
      <c r="L1024" s="5" t="s">
        <v>2491</v>
      </c>
      <c r="M1024" s="5">
        <v>45</v>
      </c>
      <c r="N1024" s="5" t="s">
        <v>3097</v>
      </c>
      <c r="O1024" s="5" t="s">
        <v>789</v>
      </c>
      <c r="Q1024" s="10" t="s">
        <v>553</v>
      </c>
    </row>
    <row r="1025" spans="1:19" x14ac:dyDescent="0.2">
      <c r="A1025" s="5"/>
      <c r="B1025" s="11" t="s">
        <v>192</v>
      </c>
      <c r="C1025" s="11"/>
      <c r="D1025" s="11"/>
      <c r="E1025" s="26"/>
      <c r="F1025" s="11"/>
      <c r="G1025" s="11"/>
      <c r="H1025" s="8" t="s">
        <v>191</v>
      </c>
      <c r="I1025" s="8" t="s">
        <v>191</v>
      </c>
      <c r="J1025" s="5">
        <f>6-6+6</f>
        <v>6</v>
      </c>
      <c r="K1025" s="5" t="s">
        <v>292</v>
      </c>
      <c r="L1025" s="5" t="s">
        <v>2491</v>
      </c>
      <c r="M1025" s="5">
        <v>45</v>
      </c>
      <c r="N1025" s="5" t="s">
        <v>2862</v>
      </c>
      <c r="Q1025" s="107" t="s">
        <v>1006</v>
      </c>
    </row>
    <row r="1026" spans="1:19" x14ac:dyDescent="0.2">
      <c r="A1026" s="5">
        <v>673</v>
      </c>
      <c r="B1026" s="8" t="s">
        <v>3098</v>
      </c>
      <c r="H1026" s="8" t="s">
        <v>3099</v>
      </c>
      <c r="I1026" s="8" t="s">
        <v>3099</v>
      </c>
      <c r="J1026" s="5">
        <v>76</v>
      </c>
      <c r="K1026" s="5" t="s">
        <v>292</v>
      </c>
      <c r="L1026" s="5" t="s">
        <v>2491</v>
      </c>
      <c r="M1026" s="5">
        <v>46</v>
      </c>
      <c r="N1026" s="5" t="s">
        <v>3100</v>
      </c>
      <c r="O1026" s="5" t="s">
        <v>789</v>
      </c>
      <c r="Q1026" s="10" t="s">
        <v>553</v>
      </c>
    </row>
    <row r="1027" spans="1:19" x14ac:dyDescent="0.2">
      <c r="A1027" s="5">
        <v>674</v>
      </c>
      <c r="B1027" s="8" t="s">
        <v>3101</v>
      </c>
      <c r="H1027" s="8" t="s">
        <v>3102</v>
      </c>
      <c r="I1027" s="8" t="s">
        <v>3102</v>
      </c>
      <c r="J1027" s="5">
        <f>60+191</f>
        <v>251</v>
      </c>
      <c r="K1027" s="5" t="s">
        <v>292</v>
      </c>
      <c r="L1027" s="5" t="s">
        <v>2491</v>
      </c>
      <c r="M1027" s="5">
        <v>46</v>
      </c>
      <c r="N1027" s="5" t="s">
        <v>3100</v>
      </c>
      <c r="O1027" s="5" t="s">
        <v>789</v>
      </c>
      <c r="Q1027" s="10" t="s">
        <v>553</v>
      </c>
    </row>
    <row r="1028" spans="1:19" x14ac:dyDescent="0.2">
      <c r="A1028" s="5">
        <v>675</v>
      </c>
      <c r="B1028" s="8" t="s">
        <v>3103</v>
      </c>
      <c r="H1028" s="8" t="s">
        <v>3104</v>
      </c>
      <c r="I1028" s="8" t="s">
        <v>3104</v>
      </c>
      <c r="J1028" s="5">
        <v>239</v>
      </c>
      <c r="K1028" s="5" t="s">
        <v>292</v>
      </c>
      <c r="L1028" s="5" t="s">
        <v>2491</v>
      </c>
      <c r="M1028" s="5">
        <v>46</v>
      </c>
      <c r="N1028" s="5" t="s">
        <v>3100</v>
      </c>
      <c r="O1028" s="5" t="s">
        <v>789</v>
      </c>
      <c r="Q1028" s="5" t="s">
        <v>2311</v>
      </c>
    </row>
    <row r="1029" spans="1:19" x14ac:dyDescent="0.2">
      <c r="A1029" s="5">
        <v>676</v>
      </c>
      <c r="B1029" s="8" t="s">
        <v>3105</v>
      </c>
      <c r="H1029" s="8" t="s">
        <v>3106</v>
      </c>
      <c r="I1029" s="8" t="s">
        <v>3107</v>
      </c>
      <c r="J1029" s="5">
        <f>80-1-5</f>
        <v>74</v>
      </c>
      <c r="K1029" s="5" t="s">
        <v>292</v>
      </c>
      <c r="L1029" s="5" t="s">
        <v>2491</v>
      </c>
      <c r="M1029" s="5">
        <v>46</v>
      </c>
      <c r="N1029" s="5" t="s">
        <v>3100</v>
      </c>
      <c r="O1029" s="5" t="s">
        <v>789</v>
      </c>
      <c r="Q1029" s="5" t="s">
        <v>3108</v>
      </c>
    </row>
    <row r="1030" spans="1:19" x14ac:dyDescent="0.2">
      <c r="A1030" s="5"/>
      <c r="B1030" s="8" t="s">
        <v>3109</v>
      </c>
      <c r="I1030" s="8" t="s">
        <v>3110</v>
      </c>
      <c r="J1030" s="5">
        <f>22-16-2</f>
        <v>4</v>
      </c>
      <c r="K1030" s="5" t="s">
        <v>292</v>
      </c>
      <c r="L1030" s="5" t="s">
        <v>2491</v>
      </c>
      <c r="M1030" s="5">
        <v>46</v>
      </c>
    </row>
    <row r="1031" spans="1:19" x14ac:dyDescent="0.2">
      <c r="A1031" s="5">
        <v>677</v>
      </c>
      <c r="B1031" s="8" t="s">
        <v>3111</v>
      </c>
      <c r="H1031" s="8" t="s">
        <v>3099</v>
      </c>
      <c r="I1031" s="8" t="s">
        <v>3099</v>
      </c>
      <c r="J1031" s="5">
        <v>149</v>
      </c>
      <c r="K1031" s="5" t="s">
        <v>292</v>
      </c>
      <c r="L1031" s="5" t="s">
        <v>2491</v>
      </c>
      <c r="M1031" s="5">
        <v>46</v>
      </c>
      <c r="N1031" s="5" t="s">
        <v>3100</v>
      </c>
      <c r="O1031" s="5" t="s">
        <v>789</v>
      </c>
      <c r="Q1031" s="10" t="s">
        <v>553</v>
      </c>
    </row>
    <row r="1032" spans="1:19" x14ac:dyDescent="0.2">
      <c r="A1032" s="5">
        <v>678</v>
      </c>
      <c r="B1032" s="8" t="s">
        <v>3112</v>
      </c>
      <c r="H1032" s="8" t="s">
        <v>3099</v>
      </c>
      <c r="I1032" s="8" t="s">
        <v>3099</v>
      </c>
      <c r="J1032" s="5">
        <v>595</v>
      </c>
      <c r="K1032" s="5" t="s">
        <v>292</v>
      </c>
      <c r="L1032" s="5" t="s">
        <v>2491</v>
      </c>
      <c r="M1032" s="5">
        <v>46</v>
      </c>
      <c r="N1032" s="5" t="s">
        <v>3100</v>
      </c>
      <c r="O1032" s="5" t="s">
        <v>789</v>
      </c>
      <c r="Q1032" s="10" t="s">
        <v>553</v>
      </c>
    </row>
    <row r="1033" spans="1:19" x14ac:dyDescent="0.2">
      <c r="A1033" s="5">
        <v>679</v>
      </c>
      <c r="B1033" s="8" t="s">
        <v>3113</v>
      </c>
      <c r="H1033" s="8" t="s">
        <v>3099</v>
      </c>
      <c r="I1033" s="8" t="s">
        <v>3099</v>
      </c>
      <c r="J1033" s="5">
        <v>148</v>
      </c>
      <c r="K1033" s="5" t="s">
        <v>292</v>
      </c>
      <c r="L1033" s="5" t="s">
        <v>2491</v>
      </c>
      <c r="M1033" s="5">
        <v>46</v>
      </c>
      <c r="N1033" s="5" t="s">
        <v>3100</v>
      </c>
      <c r="O1033" s="5" t="s">
        <v>789</v>
      </c>
      <c r="Q1033" s="5" t="s">
        <v>3114</v>
      </c>
    </row>
    <row r="1034" spans="1:19" x14ac:dyDescent="0.2">
      <c r="A1034" s="5">
        <v>680</v>
      </c>
      <c r="B1034" s="8" t="s">
        <v>3115</v>
      </c>
      <c r="H1034" s="8" t="s">
        <v>3099</v>
      </c>
      <c r="I1034" s="8" t="s">
        <v>3099</v>
      </c>
      <c r="J1034" s="5">
        <v>10</v>
      </c>
      <c r="K1034" s="5" t="s">
        <v>292</v>
      </c>
      <c r="L1034" s="5" t="s">
        <v>2491</v>
      </c>
      <c r="M1034" s="5">
        <v>46</v>
      </c>
      <c r="N1034" s="5" t="s">
        <v>3100</v>
      </c>
      <c r="O1034" s="5" t="s">
        <v>789</v>
      </c>
      <c r="Q1034" s="10" t="s">
        <v>553</v>
      </c>
    </row>
    <row r="1035" spans="1:19" x14ac:dyDescent="0.2">
      <c r="A1035" s="5">
        <v>681</v>
      </c>
      <c r="B1035" s="8" t="s">
        <v>3116</v>
      </c>
      <c r="H1035" s="8" t="s">
        <v>3117</v>
      </c>
      <c r="I1035" s="8" t="s">
        <v>3099</v>
      </c>
      <c r="J1035" s="5">
        <v>7</v>
      </c>
      <c r="K1035" s="5" t="s">
        <v>292</v>
      </c>
      <c r="L1035" s="5" t="s">
        <v>2491</v>
      </c>
      <c r="M1035" s="5">
        <v>46</v>
      </c>
      <c r="N1035" s="5" t="s">
        <v>3100</v>
      </c>
      <c r="O1035" s="5" t="s">
        <v>789</v>
      </c>
      <c r="Q1035" s="5" t="s">
        <v>3118</v>
      </c>
    </row>
    <row r="1036" spans="1:19" x14ac:dyDescent="0.2">
      <c r="A1036" s="5">
        <v>1620</v>
      </c>
      <c r="B1036" s="8">
        <v>6003</v>
      </c>
      <c r="H1036" s="8" t="s">
        <v>2872</v>
      </c>
      <c r="I1036" s="8" t="s">
        <v>2872</v>
      </c>
      <c r="J1036" s="5">
        <v>0</v>
      </c>
      <c r="K1036" s="5" t="s">
        <v>292</v>
      </c>
      <c r="L1036" s="5" t="s">
        <v>2491</v>
      </c>
      <c r="M1036" s="5">
        <v>47</v>
      </c>
      <c r="N1036" s="5" t="s">
        <v>2913</v>
      </c>
      <c r="O1036" s="5" t="s">
        <v>574</v>
      </c>
      <c r="Q1036" s="5" t="s">
        <v>3119</v>
      </c>
      <c r="R1036" s="6"/>
      <c r="S1036" s="6"/>
    </row>
    <row r="1037" spans="1:19" x14ac:dyDescent="0.2">
      <c r="A1037" s="5">
        <v>1625</v>
      </c>
      <c r="B1037" s="8" t="s">
        <v>202</v>
      </c>
      <c r="H1037" s="8" t="s">
        <v>3120</v>
      </c>
      <c r="I1037" s="8" t="s">
        <v>3120</v>
      </c>
      <c r="J1037" s="5">
        <f>103+242-8+8-40-4-32+8-16-32-29</f>
        <v>200</v>
      </c>
      <c r="K1037" s="5" t="s">
        <v>292</v>
      </c>
      <c r="L1037" s="5" t="s">
        <v>2491</v>
      </c>
      <c r="M1037" s="5">
        <v>47</v>
      </c>
      <c r="N1037" s="5" t="s">
        <v>2913</v>
      </c>
      <c r="O1037" s="5" t="s">
        <v>574</v>
      </c>
      <c r="Q1037" s="5" t="s">
        <v>3121</v>
      </c>
      <c r="R1037" s="6"/>
      <c r="S1037" s="6"/>
    </row>
    <row r="1038" spans="1:19" x14ac:dyDescent="0.2">
      <c r="A1038" s="5">
        <v>1621</v>
      </c>
      <c r="B1038" s="8" t="s">
        <v>3122</v>
      </c>
      <c r="H1038" s="8" t="s">
        <v>2875</v>
      </c>
      <c r="I1038" s="8" t="s">
        <v>2875</v>
      </c>
      <c r="J1038" s="5">
        <f>110</f>
        <v>110</v>
      </c>
      <c r="K1038" s="5" t="s">
        <v>292</v>
      </c>
      <c r="L1038" s="5" t="s">
        <v>2491</v>
      </c>
      <c r="M1038" s="5">
        <v>47</v>
      </c>
      <c r="N1038" s="5" t="s">
        <v>2913</v>
      </c>
      <c r="O1038" s="5" t="s">
        <v>574</v>
      </c>
      <c r="Q1038" s="5" t="s">
        <v>3123</v>
      </c>
      <c r="R1038" s="6"/>
      <c r="S1038" s="6"/>
    </row>
    <row r="1039" spans="1:19" x14ac:dyDescent="0.2">
      <c r="A1039" s="5">
        <v>1627</v>
      </c>
      <c r="B1039" s="8" t="s">
        <v>204</v>
      </c>
      <c r="H1039" s="108" t="s">
        <v>3124</v>
      </c>
      <c r="I1039" s="108" t="s">
        <v>3124</v>
      </c>
      <c r="J1039" s="5">
        <f>252-128+4-4</f>
        <v>124</v>
      </c>
      <c r="K1039" s="5" t="s">
        <v>292</v>
      </c>
      <c r="L1039" s="5" t="s">
        <v>2491</v>
      </c>
      <c r="M1039" s="5">
        <v>47</v>
      </c>
      <c r="N1039" s="5" t="s">
        <v>2913</v>
      </c>
      <c r="O1039" s="5" t="s">
        <v>574</v>
      </c>
      <c r="Q1039" s="5" t="s">
        <v>3125</v>
      </c>
      <c r="R1039" s="6"/>
      <c r="S1039" s="6"/>
    </row>
    <row r="1040" spans="1:19" x14ac:dyDescent="0.2">
      <c r="A1040" s="5"/>
      <c r="B1040" s="130" t="s">
        <v>3126</v>
      </c>
      <c r="H1040" s="8" t="s">
        <v>3127</v>
      </c>
      <c r="I1040" s="8" t="s">
        <v>3127</v>
      </c>
      <c r="J1040" s="5">
        <f>50-8+108-2-4-4-24-4-24-2+2-14</f>
        <v>74</v>
      </c>
      <c r="K1040" s="5" t="s">
        <v>292</v>
      </c>
      <c r="L1040" s="5" t="s">
        <v>2491</v>
      </c>
      <c r="M1040" s="5">
        <v>47</v>
      </c>
      <c r="N1040" s="5" t="s">
        <v>3128</v>
      </c>
      <c r="Q1040" s="107" t="s">
        <v>3129</v>
      </c>
      <c r="R1040" s="6"/>
      <c r="S1040" s="6"/>
    </row>
    <row r="1041" spans="1:19" x14ac:dyDescent="0.2">
      <c r="A1041" s="5"/>
      <c r="B1041" s="8">
        <v>61804</v>
      </c>
      <c r="H1041" s="8" t="s">
        <v>3130</v>
      </c>
      <c r="I1041" s="8" t="s">
        <v>3130</v>
      </c>
      <c r="J1041" s="5">
        <f>68+44-6+22-16+12-4-2</f>
        <v>118</v>
      </c>
      <c r="K1041" s="5" t="s">
        <v>292</v>
      </c>
      <c r="L1041" s="5" t="s">
        <v>2491</v>
      </c>
      <c r="M1041" s="5">
        <v>47</v>
      </c>
      <c r="N1041" s="5" t="s">
        <v>2913</v>
      </c>
      <c r="Q1041" s="77" t="s">
        <v>1006</v>
      </c>
      <c r="R1041" s="6"/>
      <c r="S1041" s="6"/>
    </row>
    <row r="1042" spans="1:19" x14ac:dyDescent="0.2">
      <c r="A1042" s="5">
        <v>1619</v>
      </c>
      <c r="B1042" s="8" t="s">
        <v>3131</v>
      </c>
      <c r="H1042" s="8" t="s">
        <v>190</v>
      </c>
      <c r="I1042" s="8" t="s">
        <v>190</v>
      </c>
      <c r="J1042" s="5">
        <v>4</v>
      </c>
      <c r="K1042" s="5" t="s">
        <v>292</v>
      </c>
      <c r="L1042" s="5" t="s">
        <v>2491</v>
      </c>
      <c r="M1042" s="5">
        <v>47</v>
      </c>
      <c r="N1042" s="5" t="s">
        <v>2913</v>
      </c>
      <c r="O1042" s="5" t="s">
        <v>574</v>
      </c>
      <c r="Q1042" s="5" t="s">
        <v>3132</v>
      </c>
      <c r="R1042" s="6"/>
      <c r="S1042" s="6"/>
    </row>
    <row r="1043" spans="1:19" x14ac:dyDescent="0.2">
      <c r="A1043" s="5"/>
      <c r="B1043" s="8" t="s">
        <v>3133</v>
      </c>
      <c r="I1043" s="8" t="s">
        <v>3134</v>
      </c>
      <c r="J1043" s="5">
        <f>2</f>
        <v>2</v>
      </c>
      <c r="K1043" s="5" t="s">
        <v>292</v>
      </c>
      <c r="L1043" s="5" t="s">
        <v>2491</v>
      </c>
      <c r="M1043" s="5">
        <v>47</v>
      </c>
      <c r="R1043" s="6"/>
      <c r="S1043" s="6"/>
    </row>
    <row r="1044" spans="1:19" x14ac:dyDescent="0.2">
      <c r="A1044" s="5"/>
      <c r="B1044" s="8" t="s">
        <v>3135</v>
      </c>
      <c r="I1044" s="8" t="s">
        <v>3136</v>
      </c>
      <c r="J1044" s="5">
        <f>2</f>
        <v>2</v>
      </c>
      <c r="K1044" s="5" t="s">
        <v>292</v>
      </c>
      <c r="L1044" s="5" t="s">
        <v>2491</v>
      </c>
      <c r="M1044" s="5">
        <v>47</v>
      </c>
      <c r="R1044" s="6"/>
      <c r="S1044" s="6"/>
    </row>
    <row r="1045" spans="1:19" x14ac:dyDescent="0.2">
      <c r="A1045" s="5">
        <v>1626</v>
      </c>
      <c r="B1045" s="8" t="s">
        <v>3137</v>
      </c>
      <c r="H1045" s="8" t="s">
        <v>3138</v>
      </c>
      <c r="I1045" s="8" t="s">
        <v>3138</v>
      </c>
      <c r="J1045" s="5">
        <f>6-4</f>
        <v>2</v>
      </c>
      <c r="K1045" s="5" t="s">
        <v>292</v>
      </c>
      <c r="L1045" s="5" t="s">
        <v>2491</v>
      </c>
      <c r="M1045" s="5">
        <v>47</v>
      </c>
      <c r="N1045" s="5" t="s">
        <v>2913</v>
      </c>
      <c r="O1045" s="5" t="s">
        <v>574</v>
      </c>
      <c r="Q1045" s="5" t="s">
        <v>3139</v>
      </c>
      <c r="R1045" s="6"/>
      <c r="S1045" s="6"/>
    </row>
    <row r="1046" spans="1:19" x14ac:dyDescent="0.2">
      <c r="A1046" s="5">
        <v>1634</v>
      </c>
      <c r="B1046" s="8" t="s">
        <v>3140</v>
      </c>
      <c r="H1046" s="8" t="s">
        <v>3141</v>
      </c>
      <c r="I1046" s="8" t="s">
        <v>3141</v>
      </c>
      <c r="J1046" s="5">
        <f>0</f>
        <v>0</v>
      </c>
      <c r="K1046" s="5" t="s">
        <v>292</v>
      </c>
      <c r="L1046" s="5" t="s">
        <v>2491</v>
      </c>
      <c r="M1046" s="5">
        <v>47</v>
      </c>
      <c r="N1046" s="5" t="s">
        <v>2878</v>
      </c>
      <c r="O1046" s="5" t="s">
        <v>574</v>
      </c>
      <c r="Q1046" s="5" t="s">
        <v>3139</v>
      </c>
      <c r="R1046" s="6"/>
      <c r="S1046" s="6"/>
    </row>
    <row r="1047" spans="1:19" x14ac:dyDescent="0.2">
      <c r="A1047" s="5">
        <v>1623</v>
      </c>
      <c r="B1047" s="8" t="s">
        <v>3142</v>
      </c>
      <c r="H1047" s="8" t="s">
        <v>2872</v>
      </c>
      <c r="I1047" s="8" t="s">
        <v>2872</v>
      </c>
      <c r="J1047" s="5">
        <v>12</v>
      </c>
      <c r="K1047" s="5" t="s">
        <v>292</v>
      </c>
      <c r="L1047" s="5" t="s">
        <v>2491</v>
      </c>
      <c r="M1047" s="5">
        <v>47</v>
      </c>
      <c r="N1047" s="5" t="s">
        <v>2913</v>
      </c>
      <c r="O1047" s="5" t="s">
        <v>574</v>
      </c>
      <c r="Q1047" s="5" t="s">
        <v>3143</v>
      </c>
      <c r="R1047" s="6"/>
      <c r="S1047" s="6"/>
    </row>
    <row r="1048" spans="1:19" x14ac:dyDescent="0.2">
      <c r="A1048" s="5"/>
      <c r="B1048" s="8" t="s">
        <v>3144</v>
      </c>
      <c r="H1048" s="8" t="s">
        <v>3145</v>
      </c>
      <c r="I1048" s="8" t="s">
        <v>3145</v>
      </c>
      <c r="J1048" s="5">
        <f>2</f>
        <v>2</v>
      </c>
      <c r="K1048" s="5" t="s">
        <v>292</v>
      </c>
      <c r="L1048" s="5" t="s">
        <v>2491</v>
      </c>
      <c r="M1048" s="5">
        <v>47</v>
      </c>
      <c r="N1048" s="5" t="s">
        <v>3128</v>
      </c>
      <c r="Q1048" s="107" t="s">
        <v>3146</v>
      </c>
      <c r="R1048" s="6"/>
      <c r="S1048" s="6"/>
    </row>
    <row r="1049" spans="1:19" x14ac:dyDescent="0.2">
      <c r="A1049" s="5">
        <v>1624</v>
      </c>
      <c r="B1049" s="8" t="s">
        <v>3147</v>
      </c>
      <c r="H1049" s="8" t="s">
        <v>2872</v>
      </c>
      <c r="I1049" s="8" t="s">
        <v>2872</v>
      </c>
      <c r="J1049" s="5">
        <v>344</v>
      </c>
      <c r="K1049" s="5" t="s">
        <v>292</v>
      </c>
      <c r="L1049" s="5" t="s">
        <v>2491</v>
      </c>
      <c r="M1049" s="5">
        <v>47</v>
      </c>
      <c r="N1049" s="5" t="s">
        <v>2913</v>
      </c>
      <c r="O1049" s="5" t="s">
        <v>574</v>
      </c>
      <c r="Q1049" s="5" t="s">
        <v>3148</v>
      </c>
      <c r="R1049" s="6"/>
      <c r="S1049" s="6"/>
    </row>
    <row r="1050" spans="1:19" x14ac:dyDescent="0.2">
      <c r="A1050" s="5">
        <v>1629</v>
      </c>
      <c r="B1050" s="8" t="s">
        <v>3149</v>
      </c>
      <c r="H1050" s="8" t="s">
        <v>3150</v>
      </c>
      <c r="I1050" s="8" t="s">
        <v>2872</v>
      </c>
      <c r="J1050" s="5">
        <f>280</f>
        <v>280</v>
      </c>
      <c r="K1050" s="5" t="s">
        <v>292</v>
      </c>
      <c r="L1050" s="5" t="s">
        <v>2491</v>
      </c>
      <c r="M1050" s="5">
        <v>47</v>
      </c>
      <c r="N1050" s="5" t="s">
        <v>2913</v>
      </c>
      <c r="O1050" s="5" t="s">
        <v>574</v>
      </c>
      <c r="Q1050" s="5" t="s">
        <v>3151</v>
      </c>
      <c r="R1050" s="6"/>
      <c r="S1050" s="6"/>
    </row>
    <row r="1051" spans="1:19" x14ac:dyDescent="0.2">
      <c r="A1051" s="5">
        <v>1622</v>
      </c>
      <c r="B1051" s="108" t="s">
        <v>3152</v>
      </c>
      <c r="H1051" s="8" t="s">
        <v>3153</v>
      </c>
      <c r="I1051" s="8" t="s">
        <v>3153</v>
      </c>
      <c r="J1051" s="5">
        <f>116-2-8-4-6-2-4-2-18-1+24</f>
        <v>93</v>
      </c>
      <c r="K1051" s="5" t="s">
        <v>292</v>
      </c>
      <c r="L1051" s="5" t="s">
        <v>2491</v>
      </c>
      <c r="M1051" s="5">
        <v>47</v>
      </c>
      <c r="N1051" s="5" t="s">
        <v>2913</v>
      </c>
      <c r="O1051" s="5" t="s">
        <v>574</v>
      </c>
      <c r="Q1051" s="5" t="s">
        <v>3154</v>
      </c>
      <c r="R1051" s="6"/>
      <c r="S1051" s="6"/>
    </row>
    <row r="1052" spans="1:19" x14ac:dyDescent="0.2">
      <c r="A1052" s="5">
        <v>341</v>
      </c>
      <c r="B1052" s="8" t="s">
        <v>3155</v>
      </c>
      <c r="H1052" s="8" t="s">
        <v>3156</v>
      </c>
      <c r="I1052" s="8" t="s">
        <v>3156</v>
      </c>
      <c r="J1052" s="5">
        <f>1-1</f>
        <v>0</v>
      </c>
      <c r="K1052" s="5" t="s">
        <v>848</v>
      </c>
      <c r="L1052" s="5" t="s">
        <v>2491</v>
      </c>
      <c r="M1052" s="5">
        <v>47</v>
      </c>
      <c r="N1052" s="5" t="s">
        <v>2872</v>
      </c>
      <c r="Q1052" s="5" t="s">
        <v>3157</v>
      </c>
      <c r="R1052" s="6"/>
      <c r="S1052" s="6"/>
    </row>
    <row r="1053" spans="1:19" x14ac:dyDescent="0.2">
      <c r="A1053" s="5">
        <v>1637</v>
      </c>
      <c r="B1053" s="8" t="s">
        <v>3155</v>
      </c>
      <c r="H1053" s="8" t="s">
        <v>3156</v>
      </c>
      <c r="I1053" s="8" t="s">
        <v>3156</v>
      </c>
      <c r="J1053" s="5">
        <v>0</v>
      </c>
      <c r="K1053" s="5" t="s">
        <v>292</v>
      </c>
      <c r="L1053" s="5" t="s">
        <v>2491</v>
      </c>
      <c r="M1053" s="5">
        <v>47</v>
      </c>
      <c r="N1053" s="5" t="s">
        <v>2913</v>
      </c>
      <c r="O1053" s="5" t="s">
        <v>574</v>
      </c>
      <c r="Q1053" s="77" t="s">
        <v>3158</v>
      </c>
      <c r="R1053" s="6"/>
      <c r="S1053" s="6"/>
    </row>
    <row r="1054" spans="1:19" x14ac:dyDescent="0.2">
      <c r="A1054" s="5"/>
      <c r="B1054" s="8" t="s">
        <v>3159</v>
      </c>
      <c r="H1054" s="8" t="s">
        <v>3156</v>
      </c>
      <c r="I1054" s="8" t="s">
        <v>3156</v>
      </c>
      <c r="J1054" s="5">
        <f>9</f>
        <v>9</v>
      </c>
      <c r="K1054" s="5" t="s">
        <v>292</v>
      </c>
      <c r="L1054" s="5" t="s">
        <v>2491</v>
      </c>
      <c r="M1054" s="5">
        <v>47</v>
      </c>
      <c r="N1054" s="5" t="s">
        <v>2913</v>
      </c>
      <c r="Q1054" s="131"/>
      <c r="R1054" s="6"/>
      <c r="S1054" s="6" t="s">
        <v>328</v>
      </c>
    </row>
    <row r="1055" spans="1:19" x14ac:dyDescent="0.2">
      <c r="A1055" s="5">
        <v>1631</v>
      </c>
      <c r="B1055" s="8" t="s">
        <v>3160</v>
      </c>
      <c r="H1055" s="8" t="s">
        <v>3156</v>
      </c>
      <c r="I1055" s="8" t="s">
        <v>3156</v>
      </c>
      <c r="J1055" s="5">
        <f>16</f>
        <v>16</v>
      </c>
      <c r="K1055" s="5" t="s">
        <v>292</v>
      </c>
      <c r="L1055" s="5" t="s">
        <v>2491</v>
      </c>
      <c r="M1055" s="5">
        <v>47</v>
      </c>
      <c r="N1055" s="5" t="s">
        <v>2878</v>
      </c>
      <c r="O1055" s="5" t="s">
        <v>574</v>
      </c>
      <c r="Q1055" s="5" t="s">
        <v>3161</v>
      </c>
      <c r="R1055" s="6"/>
      <c r="S1055" s="6"/>
    </row>
    <row r="1056" spans="1:19" x14ac:dyDescent="0.2">
      <c r="A1056" s="5">
        <v>1632</v>
      </c>
      <c r="B1056" s="8" t="s">
        <v>98</v>
      </c>
      <c r="H1056" s="8" t="s">
        <v>3162</v>
      </c>
      <c r="I1056" s="8" t="s">
        <v>3162</v>
      </c>
      <c r="J1056" s="5">
        <f>37-1-1-8+10</f>
        <v>37</v>
      </c>
      <c r="K1056" s="5" t="s">
        <v>292</v>
      </c>
      <c r="L1056" s="5" t="s">
        <v>2491</v>
      </c>
      <c r="M1056" s="5">
        <v>47</v>
      </c>
      <c r="N1056" s="5" t="s">
        <v>2878</v>
      </c>
      <c r="O1056" s="5" t="s">
        <v>574</v>
      </c>
      <c r="Q1056" s="5" t="s">
        <v>3125</v>
      </c>
      <c r="R1056" s="6"/>
      <c r="S1056" s="6"/>
    </row>
    <row r="1057" spans="1:19" x14ac:dyDescent="0.2">
      <c r="A1057" s="5">
        <v>1633</v>
      </c>
      <c r="B1057" s="8" t="s">
        <v>3163</v>
      </c>
      <c r="H1057" s="8" t="s">
        <v>3164</v>
      </c>
      <c r="I1057" s="8" t="s">
        <v>3164</v>
      </c>
      <c r="J1057" s="5">
        <f>47-1</f>
        <v>46</v>
      </c>
      <c r="K1057" s="5" t="s">
        <v>292</v>
      </c>
      <c r="L1057" s="5" t="s">
        <v>2491</v>
      </c>
      <c r="M1057" s="5">
        <v>47</v>
      </c>
      <c r="N1057" s="5" t="s">
        <v>2878</v>
      </c>
      <c r="O1057" s="5" t="s">
        <v>574</v>
      </c>
      <c r="Q1057" s="5" t="s">
        <v>3165</v>
      </c>
      <c r="R1057" s="6"/>
      <c r="S1057" s="6"/>
    </row>
    <row r="1058" spans="1:19" x14ac:dyDescent="0.2">
      <c r="A1058" s="5"/>
      <c r="B1058" s="8" t="s">
        <v>3166</v>
      </c>
      <c r="H1058" s="8" t="s">
        <v>97</v>
      </c>
      <c r="I1058" s="8" t="s">
        <v>97</v>
      </c>
      <c r="J1058" s="5">
        <f>68-16</f>
        <v>52</v>
      </c>
      <c r="K1058" s="5" t="s">
        <v>292</v>
      </c>
      <c r="L1058" s="5" t="s">
        <v>2491</v>
      </c>
      <c r="M1058" s="5">
        <v>47</v>
      </c>
      <c r="N1058" s="5" t="s">
        <v>2913</v>
      </c>
      <c r="Q1058" s="107" t="s">
        <v>3167</v>
      </c>
      <c r="R1058" s="6"/>
      <c r="S1058" s="6"/>
    </row>
    <row r="1059" spans="1:19" x14ac:dyDescent="0.2">
      <c r="A1059" s="5">
        <v>2341</v>
      </c>
      <c r="B1059" s="8" t="s">
        <v>3168</v>
      </c>
      <c r="H1059" s="8" t="s">
        <v>3169</v>
      </c>
      <c r="I1059" s="8" t="s">
        <v>3169</v>
      </c>
      <c r="J1059" s="5">
        <f>0+4</f>
        <v>4</v>
      </c>
      <c r="K1059" s="5" t="s">
        <v>292</v>
      </c>
      <c r="L1059" s="5" t="s">
        <v>2491</v>
      </c>
      <c r="M1059" s="5">
        <v>47</v>
      </c>
      <c r="N1059" s="5" t="s">
        <v>2872</v>
      </c>
      <c r="O1059" s="5" t="s">
        <v>520</v>
      </c>
      <c r="Q1059" s="5" t="s">
        <v>3170</v>
      </c>
    </row>
    <row r="1060" spans="1:19" x14ac:dyDescent="0.2">
      <c r="A1060" s="5"/>
      <c r="B1060" s="8" t="s">
        <v>3171</v>
      </c>
      <c r="I1060" s="8" t="s">
        <v>190</v>
      </c>
      <c r="J1060" s="5">
        <f>16</f>
        <v>16</v>
      </c>
      <c r="K1060" s="5" t="s">
        <v>292</v>
      </c>
      <c r="L1060" s="5" t="s">
        <v>2491</v>
      </c>
      <c r="M1060" s="5">
        <v>47</v>
      </c>
    </row>
    <row r="1061" spans="1:19" x14ac:dyDescent="0.2">
      <c r="A1061" s="5"/>
      <c r="B1061" s="8" t="s">
        <v>3172</v>
      </c>
      <c r="I1061" s="8" t="s">
        <v>3173</v>
      </c>
      <c r="J1061" s="5">
        <f>2</f>
        <v>2</v>
      </c>
      <c r="K1061" s="5" t="s">
        <v>292</v>
      </c>
      <c r="L1061" s="5" t="s">
        <v>2491</v>
      </c>
      <c r="M1061" s="5">
        <v>47</v>
      </c>
    </row>
    <row r="1062" spans="1:19" x14ac:dyDescent="0.2">
      <c r="A1062" s="5"/>
      <c r="B1062" s="8" t="s">
        <v>3174</v>
      </c>
      <c r="I1062" s="8" t="s">
        <v>3175</v>
      </c>
      <c r="J1062" s="5">
        <f>19</f>
        <v>19</v>
      </c>
      <c r="K1062" s="5" t="s">
        <v>292</v>
      </c>
      <c r="L1062" s="5" t="s">
        <v>2491</v>
      </c>
      <c r="M1062" s="5">
        <v>47</v>
      </c>
    </row>
    <row r="1063" spans="1:19" x14ac:dyDescent="0.2">
      <c r="A1063" s="5">
        <v>1618</v>
      </c>
      <c r="B1063" s="8" t="s">
        <v>3176</v>
      </c>
      <c r="H1063" s="8" t="s">
        <v>3177</v>
      </c>
      <c r="I1063" s="8" t="s">
        <v>3178</v>
      </c>
      <c r="J1063" s="5">
        <f>28+24-2</f>
        <v>50</v>
      </c>
      <c r="K1063" s="5" t="s">
        <v>292</v>
      </c>
      <c r="L1063" s="5" t="s">
        <v>2491</v>
      </c>
      <c r="M1063" s="5">
        <v>47</v>
      </c>
      <c r="N1063" s="5" t="s">
        <v>3128</v>
      </c>
      <c r="O1063" s="5" t="s">
        <v>574</v>
      </c>
      <c r="Q1063" s="5" t="s">
        <v>3179</v>
      </c>
      <c r="R1063" s="6"/>
      <c r="S1063" s="6"/>
    </row>
    <row r="1064" spans="1:19" x14ac:dyDescent="0.2">
      <c r="A1064" s="5"/>
      <c r="B1064" s="8" t="s">
        <v>234</v>
      </c>
      <c r="H1064" s="8" t="s">
        <v>3180</v>
      </c>
      <c r="I1064" s="8" t="s">
        <v>3178</v>
      </c>
      <c r="J1064" s="5">
        <f>190-5-12-15+12-24-66+24-1+74-1-10-17+16-7-2-40-1-1+48-24-100-8</f>
        <v>30</v>
      </c>
      <c r="K1064" s="5" t="s">
        <v>292</v>
      </c>
      <c r="L1064" s="5" t="s">
        <v>2491</v>
      </c>
      <c r="M1064" s="5">
        <v>47</v>
      </c>
      <c r="N1064" s="5" t="s">
        <v>3128</v>
      </c>
      <c r="R1064" s="6"/>
      <c r="S1064" s="6"/>
    </row>
    <row r="1065" spans="1:19" x14ac:dyDescent="0.2">
      <c r="A1065" s="5">
        <v>1636</v>
      </c>
      <c r="B1065" s="8" t="s">
        <v>239</v>
      </c>
      <c r="H1065" s="8" t="s">
        <v>3181</v>
      </c>
      <c r="I1065" s="8" t="s">
        <v>3178</v>
      </c>
      <c r="J1065" s="5">
        <f>289+2-7-2-8-1-1+1+7-1-6+44</f>
        <v>317</v>
      </c>
      <c r="K1065" s="5" t="s">
        <v>292</v>
      </c>
      <c r="L1065" s="5" t="s">
        <v>2491</v>
      </c>
      <c r="M1065" s="5">
        <v>47</v>
      </c>
      <c r="N1065" s="5" t="s">
        <v>3128</v>
      </c>
      <c r="O1065" s="5" t="s">
        <v>574</v>
      </c>
      <c r="Q1065" s="5" t="s">
        <v>3182</v>
      </c>
      <c r="R1065" s="6"/>
      <c r="S1065" s="6"/>
    </row>
    <row r="1066" spans="1:19" x14ac:dyDescent="0.2">
      <c r="A1066" s="5">
        <v>1617</v>
      </c>
      <c r="B1066" s="8" t="s">
        <v>3183</v>
      </c>
      <c r="H1066" s="8" t="s">
        <v>3178</v>
      </c>
      <c r="I1066" s="8" t="s">
        <v>3184</v>
      </c>
      <c r="J1066" s="5">
        <f>13-13+13+50</f>
        <v>63</v>
      </c>
      <c r="K1066" s="5" t="s">
        <v>292</v>
      </c>
      <c r="L1066" s="5" t="s">
        <v>2491</v>
      </c>
      <c r="M1066" s="5">
        <v>47</v>
      </c>
      <c r="N1066" s="5" t="s">
        <v>2878</v>
      </c>
      <c r="O1066" s="5" t="s">
        <v>574</v>
      </c>
      <c r="Q1066" s="5" t="s">
        <v>3185</v>
      </c>
      <c r="R1066" s="6"/>
      <c r="S1066" s="6"/>
    </row>
    <row r="1067" spans="1:19" x14ac:dyDescent="0.2">
      <c r="A1067" s="5"/>
      <c r="B1067" s="8" t="s">
        <v>3186</v>
      </c>
      <c r="I1067" s="8" t="s">
        <v>3187</v>
      </c>
      <c r="J1067" s="5">
        <f>10</f>
        <v>10</v>
      </c>
      <c r="K1067" s="5" t="s">
        <v>292</v>
      </c>
      <c r="L1067" s="5" t="s">
        <v>2491</v>
      </c>
      <c r="M1067" s="5">
        <v>47</v>
      </c>
      <c r="R1067" s="6"/>
      <c r="S1067" s="6"/>
    </row>
    <row r="1068" spans="1:19" x14ac:dyDescent="0.2">
      <c r="A1068" s="5"/>
      <c r="B1068" s="8" t="s">
        <v>3188</v>
      </c>
      <c r="I1068" s="8" t="s">
        <v>3189</v>
      </c>
      <c r="J1068" s="5">
        <f>1</f>
        <v>1</v>
      </c>
      <c r="K1068" s="5" t="s">
        <v>292</v>
      </c>
      <c r="L1068" s="5" t="s">
        <v>2491</v>
      </c>
      <c r="M1068" s="5">
        <v>47</v>
      </c>
      <c r="R1068" s="6"/>
      <c r="S1068" s="6"/>
    </row>
    <row r="1069" spans="1:19" x14ac:dyDescent="0.2">
      <c r="A1069" s="5"/>
      <c r="B1069" s="8" t="s">
        <v>3190</v>
      </c>
      <c r="I1069" s="8" t="s">
        <v>3191</v>
      </c>
      <c r="J1069" s="5">
        <f>4</f>
        <v>4</v>
      </c>
      <c r="K1069" s="5" t="s">
        <v>292</v>
      </c>
      <c r="L1069" s="5" t="s">
        <v>2491</v>
      </c>
      <c r="M1069" s="5">
        <v>47</v>
      </c>
      <c r="R1069" s="6"/>
      <c r="S1069" s="6"/>
    </row>
    <row r="1070" spans="1:19" x14ac:dyDescent="0.2">
      <c r="A1070" s="5">
        <v>1582</v>
      </c>
      <c r="B1070" s="8" t="s">
        <v>3192</v>
      </c>
      <c r="H1070" s="8" t="s">
        <v>2969</v>
      </c>
      <c r="I1070" s="8" t="s">
        <v>3193</v>
      </c>
      <c r="J1070" s="5">
        <f>6</f>
        <v>6</v>
      </c>
      <c r="K1070" s="5" t="s">
        <v>292</v>
      </c>
      <c r="L1070" s="5" t="s">
        <v>2491</v>
      </c>
      <c r="M1070" s="5">
        <v>48</v>
      </c>
      <c r="N1070" s="5" t="s">
        <v>2962</v>
      </c>
      <c r="O1070" s="5" t="s">
        <v>574</v>
      </c>
      <c r="Q1070" s="10" t="s">
        <v>553</v>
      </c>
      <c r="R1070" s="6"/>
      <c r="S1070" s="6" t="s">
        <v>328</v>
      </c>
    </row>
    <row r="1071" spans="1:19" x14ac:dyDescent="0.2">
      <c r="A1071" s="5">
        <v>1583</v>
      </c>
      <c r="B1071" s="8" t="s">
        <v>3194</v>
      </c>
      <c r="H1071" s="8" t="s">
        <v>2969</v>
      </c>
      <c r="I1071" s="8" t="s">
        <v>2969</v>
      </c>
      <c r="J1071" s="5">
        <f>2</f>
        <v>2</v>
      </c>
      <c r="K1071" s="5" t="s">
        <v>292</v>
      </c>
      <c r="L1071" s="5" t="s">
        <v>2491</v>
      </c>
      <c r="M1071" s="5">
        <v>48</v>
      </c>
      <c r="N1071" s="5" t="s">
        <v>2962</v>
      </c>
      <c r="O1071" s="5" t="s">
        <v>574</v>
      </c>
      <c r="Q1071" s="10" t="s">
        <v>553</v>
      </c>
      <c r="R1071" s="6"/>
      <c r="S1071" s="6" t="s">
        <v>328</v>
      </c>
    </row>
    <row r="1072" spans="1:19" x14ac:dyDescent="0.2">
      <c r="A1072" s="5">
        <v>1584</v>
      </c>
      <c r="B1072" s="8" t="s">
        <v>3195</v>
      </c>
      <c r="H1072" s="8" t="s">
        <v>3196</v>
      </c>
      <c r="I1072" s="8" t="s">
        <v>3196</v>
      </c>
      <c r="J1072" s="5">
        <f>2</f>
        <v>2</v>
      </c>
      <c r="K1072" s="5" t="s">
        <v>292</v>
      </c>
      <c r="L1072" s="5" t="s">
        <v>2491</v>
      </c>
      <c r="M1072" s="5">
        <v>48</v>
      </c>
      <c r="N1072" s="5" t="s">
        <v>2962</v>
      </c>
      <c r="O1072" s="5" t="s">
        <v>574</v>
      </c>
      <c r="Q1072" s="10" t="s">
        <v>553</v>
      </c>
      <c r="R1072" s="6"/>
      <c r="S1072" s="6" t="s">
        <v>328</v>
      </c>
    </row>
    <row r="1073" spans="1:19" x14ac:dyDescent="0.2">
      <c r="A1073" s="5">
        <v>1585</v>
      </c>
      <c r="B1073" s="8" t="s">
        <v>3197</v>
      </c>
      <c r="H1073" s="8" t="s">
        <v>3198</v>
      </c>
      <c r="I1073" s="8" t="s">
        <v>3193</v>
      </c>
      <c r="J1073" s="5">
        <f>11</f>
        <v>11</v>
      </c>
      <c r="K1073" s="5" t="s">
        <v>292</v>
      </c>
      <c r="L1073" s="5" t="s">
        <v>2491</v>
      </c>
      <c r="M1073" s="5">
        <v>48</v>
      </c>
      <c r="N1073" s="5" t="s">
        <v>2962</v>
      </c>
      <c r="O1073" s="5" t="s">
        <v>574</v>
      </c>
      <c r="Q1073" s="10" t="s">
        <v>553</v>
      </c>
      <c r="R1073" s="6"/>
      <c r="S1073" s="6"/>
    </row>
    <row r="1074" spans="1:19" x14ac:dyDescent="0.2">
      <c r="A1074" s="5"/>
      <c r="B1074" s="8" t="s">
        <v>3199</v>
      </c>
      <c r="H1074" s="8" t="s">
        <v>3200</v>
      </c>
      <c r="I1074" s="8" t="s">
        <v>3200</v>
      </c>
      <c r="J1074" s="5">
        <f>5-3+1</f>
        <v>3</v>
      </c>
      <c r="K1074" s="5" t="s">
        <v>292</v>
      </c>
      <c r="L1074" s="5" t="s">
        <v>2491</v>
      </c>
      <c r="M1074" s="5">
        <v>48</v>
      </c>
      <c r="N1074" s="5" t="s">
        <v>2962</v>
      </c>
      <c r="Q1074" s="107" t="s">
        <v>3201</v>
      </c>
      <c r="R1074" s="6"/>
      <c r="S1074" s="6"/>
    </row>
    <row r="1075" spans="1:19" x14ac:dyDescent="0.2">
      <c r="A1075" s="5"/>
      <c r="B1075" s="8" t="s">
        <v>3202</v>
      </c>
      <c r="H1075" s="8" t="s">
        <v>3200</v>
      </c>
      <c r="I1075" s="8" t="s">
        <v>2969</v>
      </c>
      <c r="J1075" s="5">
        <f>25</f>
        <v>25</v>
      </c>
      <c r="K1075" s="5" t="s">
        <v>292</v>
      </c>
      <c r="L1075" s="5" t="s">
        <v>2491</v>
      </c>
      <c r="M1075" s="5">
        <v>48</v>
      </c>
      <c r="Q1075" s="107"/>
      <c r="R1075" s="6"/>
      <c r="S1075" s="6"/>
    </row>
    <row r="1076" spans="1:19" x14ac:dyDescent="0.2">
      <c r="A1076" s="5"/>
      <c r="B1076" s="8" t="s">
        <v>214</v>
      </c>
      <c r="H1076" s="8" t="s">
        <v>213</v>
      </c>
      <c r="I1076" s="8" t="s">
        <v>213</v>
      </c>
      <c r="J1076" s="5">
        <f>2-2+3-1-2</f>
        <v>0</v>
      </c>
      <c r="K1076" s="5" t="s">
        <v>292</v>
      </c>
      <c r="L1076" s="5" t="s">
        <v>2491</v>
      </c>
      <c r="M1076" s="5">
        <v>48</v>
      </c>
      <c r="N1076" s="5" t="s">
        <v>2962</v>
      </c>
      <c r="Q1076" s="107" t="s">
        <v>1006</v>
      </c>
      <c r="R1076" s="6"/>
      <c r="S1076" s="6" t="s">
        <v>328</v>
      </c>
    </row>
    <row r="1077" spans="1:19" x14ac:dyDescent="0.2">
      <c r="A1077" s="5">
        <v>1563</v>
      </c>
      <c r="B1077" s="8" t="s">
        <v>3203</v>
      </c>
      <c r="H1077" s="8" t="s">
        <v>3204</v>
      </c>
      <c r="I1077" s="8" t="s">
        <v>3204</v>
      </c>
      <c r="J1077" s="5">
        <v>2</v>
      </c>
      <c r="K1077" s="5" t="s">
        <v>292</v>
      </c>
      <c r="L1077" s="5" t="s">
        <v>2491</v>
      </c>
      <c r="M1077" s="5">
        <v>49</v>
      </c>
      <c r="N1077" s="5" t="s">
        <v>3205</v>
      </c>
      <c r="O1077" s="5" t="s">
        <v>574</v>
      </c>
      <c r="Q1077" s="10" t="s">
        <v>553</v>
      </c>
      <c r="R1077" s="6"/>
      <c r="S1077" s="6"/>
    </row>
    <row r="1078" spans="1:19" x14ac:dyDescent="0.2">
      <c r="A1078" s="5">
        <v>1564</v>
      </c>
      <c r="B1078" s="8" t="s">
        <v>3206</v>
      </c>
      <c r="H1078" s="8" t="s">
        <v>3207</v>
      </c>
      <c r="I1078" s="8" t="s">
        <v>3207</v>
      </c>
      <c r="J1078" s="5">
        <v>5</v>
      </c>
      <c r="K1078" s="5" t="s">
        <v>292</v>
      </c>
      <c r="L1078" s="5" t="s">
        <v>2491</v>
      </c>
      <c r="M1078" s="5">
        <v>49</v>
      </c>
      <c r="N1078" s="5" t="s">
        <v>2962</v>
      </c>
      <c r="O1078" s="5" t="s">
        <v>574</v>
      </c>
      <c r="Q1078" s="5" t="s">
        <v>3208</v>
      </c>
      <c r="R1078" s="6"/>
      <c r="S1078" s="6"/>
    </row>
    <row r="1079" spans="1:19" x14ac:dyDescent="0.2">
      <c r="A1079" s="5">
        <v>1565</v>
      </c>
      <c r="B1079" s="8" t="s">
        <v>3209</v>
      </c>
      <c r="H1079" s="8" t="s">
        <v>3210</v>
      </c>
      <c r="I1079" s="8" t="s">
        <v>3211</v>
      </c>
      <c r="J1079" s="5">
        <v>13</v>
      </c>
      <c r="K1079" s="5" t="s">
        <v>292</v>
      </c>
      <c r="L1079" s="5" t="s">
        <v>2491</v>
      </c>
      <c r="M1079" s="5">
        <v>49</v>
      </c>
      <c r="N1079" s="5" t="s">
        <v>3047</v>
      </c>
      <c r="O1079" s="5" t="s">
        <v>574</v>
      </c>
      <c r="Q1079" s="5" t="s">
        <v>3208</v>
      </c>
      <c r="R1079" s="6"/>
      <c r="S1079" s="6" t="s">
        <v>328</v>
      </c>
    </row>
    <row r="1080" spans="1:19" x14ac:dyDescent="0.2">
      <c r="A1080" s="5">
        <v>1566</v>
      </c>
      <c r="B1080" s="8" t="s">
        <v>3212</v>
      </c>
      <c r="H1080" s="8" t="s">
        <v>1118</v>
      </c>
      <c r="I1080" s="8" t="s">
        <v>3213</v>
      </c>
      <c r="J1080" s="5">
        <v>8</v>
      </c>
      <c r="K1080" s="5" t="s">
        <v>292</v>
      </c>
      <c r="L1080" s="5" t="s">
        <v>2491</v>
      </c>
      <c r="M1080" s="5">
        <v>49</v>
      </c>
      <c r="N1080" s="5" t="s">
        <v>3047</v>
      </c>
      <c r="O1080" s="5" t="s">
        <v>574</v>
      </c>
      <c r="Q1080" s="10" t="s">
        <v>553</v>
      </c>
      <c r="R1080" s="6"/>
      <c r="S1080" s="6" t="s">
        <v>328</v>
      </c>
    </row>
    <row r="1081" spans="1:19" x14ac:dyDescent="0.2">
      <c r="A1081" s="5">
        <v>1575</v>
      </c>
      <c r="B1081" s="8" t="s">
        <v>3214</v>
      </c>
      <c r="C1081" s="8" t="s">
        <v>3215</v>
      </c>
      <c r="D1081" s="8" t="s">
        <v>3216</v>
      </c>
      <c r="E1081" s="24">
        <v>43687</v>
      </c>
      <c r="F1081" s="8" t="s">
        <v>259</v>
      </c>
      <c r="G1081" s="8" t="s">
        <v>260</v>
      </c>
      <c r="H1081" s="8" t="s">
        <v>3217</v>
      </c>
      <c r="I1081" s="8" t="s">
        <v>3218</v>
      </c>
      <c r="J1081" s="5">
        <v>11</v>
      </c>
      <c r="K1081" s="5" t="s">
        <v>292</v>
      </c>
      <c r="L1081" s="5" t="s">
        <v>2491</v>
      </c>
      <c r="M1081" s="5">
        <v>49</v>
      </c>
      <c r="N1081" s="5" t="s">
        <v>3219</v>
      </c>
      <c r="O1081" s="5" t="s">
        <v>574</v>
      </c>
      <c r="Q1081" s="10" t="s">
        <v>553</v>
      </c>
      <c r="R1081" s="6"/>
      <c r="S1081" s="6"/>
    </row>
    <row r="1082" spans="1:19" x14ac:dyDescent="0.2">
      <c r="A1082" s="5"/>
      <c r="B1082" s="8" t="s">
        <v>3220</v>
      </c>
      <c r="H1082" s="8" t="s">
        <v>3221</v>
      </c>
      <c r="I1082" s="8" t="s">
        <v>3221</v>
      </c>
      <c r="J1082" s="5">
        <f>40-6-22-8-1-3+72-1</f>
        <v>71</v>
      </c>
      <c r="K1082" s="5" t="s">
        <v>292</v>
      </c>
      <c r="L1082" s="5" t="s">
        <v>2491</v>
      </c>
      <c r="M1082" s="5">
        <v>49</v>
      </c>
      <c r="N1082" s="5" t="s">
        <v>3219</v>
      </c>
      <c r="Q1082" s="10" t="s">
        <v>3222</v>
      </c>
    </row>
    <row r="1083" spans="1:19" x14ac:dyDescent="0.2">
      <c r="A1083" s="5">
        <v>704</v>
      </c>
      <c r="B1083" s="8" t="s">
        <v>3223</v>
      </c>
      <c r="H1083" s="8" t="s">
        <v>3224</v>
      </c>
      <c r="I1083" s="8" t="s">
        <v>3224</v>
      </c>
      <c r="J1083" s="5">
        <v>27</v>
      </c>
      <c r="K1083" s="5" t="s">
        <v>292</v>
      </c>
      <c r="L1083" s="5" t="s">
        <v>2491</v>
      </c>
      <c r="M1083" s="5">
        <v>50</v>
      </c>
      <c r="N1083" s="5" t="s">
        <v>3058</v>
      </c>
      <c r="O1083" s="5" t="s">
        <v>789</v>
      </c>
      <c r="Q1083" s="5" t="s">
        <v>3225</v>
      </c>
    </row>
    <row r="1084" spans="1:19" x14ac:dyDescent="0.2">
      <c r="A1084" s="5">
        <v>705</v>
      </c>
      <c r="B1084" s="8" t="s">
        <v>3226</v>
      </c>
      <c r="H1084" s="8" t="s">
        <v>3227</v>
      </c>
      <c r="I1084" s="8" t="s">
        <v>3227</v>
      </c>
      <c r="J1084" s="5">
        <v>4</v>
      </c>
      <c r="K1084" s="5" t="s">
        <v>292</v>
      </c>
      <c r="L1084" s="5" t="s">
        <v>2491</v>
      </c>
      <c r="M1084" s="5">
        <v>50</v>
      </c>
      <c r="N1084" s="5" t="s">
        <v>3058</v>
      </c>
      <c r="O1084" s="5" t="s">
        <v>789</v>
      </c>
      <c r="Q1084" s="5" t="s">
        <v>3228</v>
      </c>
    </row>
    <row r="1085" spans="1:19" x14ac:dyDescent="0.2">
      <c r="A1085" s="5"/>
      <c r="B1085" s="8" t="s">
        <v>3229</v>
      </c>
      <c r="H1085" s="8" t="s">
        <v>3230</v>
      </c>
      <c r="I1085" s="8" t="s">
        <v>3230</v>
      </c>
      <c r="J1085" s="5">
        <f>80+5-25</f>
        <v>60</v>
      </c>
      <c r="K1085" s="5" t="s">
        <v>292</v>
      </c>
      <c r="L1085" s="5" t="s">
        <v>2491</v>
      </c>
      <c r="M1085" s="5">
        <v>50</v>
      </c>
      <c r="N1085" s="5" t="s">
        <v>3058</v>
      </c>
      <c r="Q1085" s="107" t="s">
        <v>3231</v>
      </c>
      <c r="S1085" s="5" t="s">
        <v>328</v>
      </c>
    </row>
    <row r="1086" spans="1:19" x14ac:dyDescent="0.2">
      <c r="A1086" s="5">
        <v>706</v>
      </c>
      <c r="B1086" s="11" t="s">
        <v>3232</v>
      </c>
      <c r="C1086" s="11"/>
      <c r="D1086" s="11"/>
      <c r="E1086" s="26"/>
      <c r="F1086" s="11"/>
      <c r="G1086" s="11"/>
      <c r="H1086" s="8" t="s">
        <v>3233</v>
      </c>
      <c r="I1086" s="8" t="s">
        <v>3233</v>
      </c>
      <c r="J1086" s="5">
        <v>20</v>
      </c>
      <c r="K1086" s="5" t="s">
        <v>292</v>
      </c>
      <c r="L1086" s="5" t="s">
        <v>2491</v>
      </c>
      <c r="M1086" s="5">
        <v>51</v>
      </c>
      <c r="N1086" s="5" t="s">
        <v>3234</v>
      </c>
      <c r="O1086" s="5" t="s">
        <v>789</v>
      </c>
      <c r="Q1086" s="10" t="s">
        <v>553</v>
      </c>
      <c r="S1086" s="5" t="s">
        <v>328</v>
      </c>
    </row>
    <row r="1087" spans="1:19" x14ac:dyDescent="0.2">
      <c r="A1087" s="5">
        <v>708</v>
      </c>
      <c r="B1087" s="8" t="s">
        <v>3235</v>
      </c>
      <c r="H1087" s="8" t="s">
        <v>43</v>
      </c>
      <c r="I1087" s="8" t="s">
        <v>3236</v>
      </c>
      <c r="J1087" s="5">
        <v>2</v>
      </c>
      <c r="K1087" s="5" t="s">
        <v>292</v>
      </c>
      <c r="L1087" s="5" t="s">
        <v>2491</v>
      </c>
      <c r="M1087" s="5">
        <v>51</v>
      </c>
      <c r="N1087" s="5" t="s">
        <v>3237</v>
      </c>
      <c r="O1087" s="5" t="s">
        <v>789</v>
      </c>
      <c r="Q1087" s="10" t="s">
        <v>553</v>
      </c>
    </row>
    <row r="1088" spans="1:19" x14ac:dyDescent="0.2">
      <c r="A1088" s="5">
        <v>301</v>
      </c>
      <c r="B1088" s="8" t="s">
        <v>3238</v>
      </c>
      <c r="C1088" s="8" t="s">
        <v>3239</v>
      </c>
      <c r="D1088" s="8" t="s">
        <v>3240</v>
      </c>
      <c r="E1088" s="24">
        <v>43670</v>
      </c>
      <c r="F1088" s="8" t="s">
        <v>259</v>
      </c>
      <c r="G1088" s="8" t="s">
        <v>375</v>
      </c>
      <c r="H1088" s="8" t="s">
        <v>3241</v>
      </c>
      <c r="I1088" s="8" t="s">
        <v>3242</v>
      </c>
      <c r="J1088" s="5">
        <f>2-2</f>
        <v>0</v>
      </c>
      <c r="K1088" s="5" t="s">
        <v>292</v>
      </c>
      <c r="L1088" s="5" t="s">
        <v>2491</v>
      </c>
      <c r="M1088" s="5">
        <v>52</v>
      </c>
      <c r="N1088" s="5" t="s">
        <v>3243</v>
      </c>
      <c r="O1088" s="5" t="s">
        <v>266</v>
      </c>
      <c r="Q1088" s="5" t="s">
        <v>3244</v>
      </c>
      <c r="S1088" s="5" t="s">
        <v>328</v>
      </c>
    </row>
    <row r="1089" spans="1:19" x14ac:dyDescent="0.2">
      <c r="A1089" s="5">
        <v>689</v>
      </c>
      <c r="B1089" s="8" t="s">
        <v>3245</v>
      </c>
      <c r="H1089" s="8" t="s">
        <v>3246</v>
      </c>
      <c r="I1089" s="8" t="s">
        <v>3246</v>
      </c>
      <c r="J1089" s="5">
        <f>13-2</f>
        <v>11</v>
      </c>
      <c r="K1089" s="5" t="s">
        <v>292</v>
      </c>
      <c r="L1089" s="5" t="s">
        <v>2491</v>
      </c>
      <c r="M1089" s="5">
        <v>52</v>
      </c>
      <c r="N1089" s="5" t="s">
        <v>3097</v>
      </c>
      <c r="O1089" s="5" t="s">
        <v>789</v>
      </c>
      <c r="Q1089" s="10" t="s">
        <v>553</v>
      </c>
    </row>
    <row r="1090" spans="1:19" x14ac:dyDescent="0.2">
      <c r="A1090" s="5">
        <v>690</v>
      </c>
      <c r="B1090" s="8" t="s">
        <v>3247</v>
      </c>
      <c r="H1090" s="8" t="s">
        <v>3248</v>
      </c>
      <c r="I1090" s="8" t="s">
        <v>3248</v>
      </c>
      <c r="J1090" s="5">
        <f>2-1-1</f>
        <v>0</v>
      </c>
      <c r="K1090" s="5" t="s">
        <v>292</v>
      </c>
      <c r="L1090" s="5" t="s">
        <v>2491</v>
      </c>
      <c r="M1090" s="5">
        <v>52</v>
      </c>
      <c r="N1090" s="5" t="s">
        <v>3249</v>
      </c>
      <c r="O1090" s="5" t="s">
        <v>789</v>
      </c>
      <c r="Q1090" s="5" t="s">
        <v>3250</v>
      </c>
      <c r="R1090" s="6"/>
      <c r="S1090" s="6"/>
    </row>
    <row r="1091" spans="1:19" x14ac:dyDescent="0.2">
      <c r="A1091" s="5">
        <v>2074</v>
      </c>
      <c r="B1091" s="8" t="s">
        <v>577</v>
      </c>
      <c r="H1091" s="8" t="s">
        <v>578</v>
      </c>
      <c r="I1091" s="8" t="s">
        <v>578</v>
      </c>
      <c r="J1091" s="5">
        <v>88</v>
      </c>
      <c r="K1091" s="5" t="s">
        <v>292</v>
      </c>
      <c r="L1091" s="5" t="s">
        <v>2491</v>
      </c>
      <c r="M1091" s="5">
        <v>53</v>
      </c>
      <c r="N1091" s="5" t="s">
        <v>573</v>
      </c>
      <c r="O1091" s="5" t="s">
        <v>574</v>
      </c>
      <c r="Q1091" s="5" t="s">
        <v>3251</v>
      </c>
      <c r="R1091" s="6"/>
      <c r="S1091" s="6"/>
    </row>
    <row r="1092" spans="1:19" x14ac:dyDescent="0.2">
      <c r="A1092" s="5"/>
      <c r="B1092" s="8" t="s">
        <v>3252</v>
      </c>
      <c r="H1092" s="8" t="s">
        <v>3253</v>
      </c>
      <c r="I1092" s="8" t="s">
        <v>3253</v>
      </c>
      <c r="J1092" s="5">
        <v>44</v>
      </c>
      <c r="K1092" s="5" t="s">
        <v>292</v>
      </c>
      <c r="L1092" s="5" t="s">
        <v>2491</v>
      </c>
      <c r="M1092" s="5">
        <v>53</v>
      </c>
      <c r="N1092" s="5" t="s">
        <v>573</v>
      </c>
      <c r="O1092" s="5" t="s">
        <v>574</v>
      </c>
      <c r="Q1092" s="33"/>
      <c r="R1092" s="6"/>
      <c r="S1092" s="6"/>
    </row>
    <row r="1093" spans="1:19" x14ac:dyDescent="0.2">
      <c r="A1093" s="5">
        <v>1597</v>
      </c>
      <c r="B1093" s="8" t="s">
        <v>3254</v>
      </c>
      <c r="H1093" s="8" t="s">
        <v>3255</v>
      </c>
      <c r="I1093" s="8" t="s">
        <v>3255</v>
      </c>
      <c r="J1093" s="5">
        <f>100-100</f>
        <v>0</v>
      </c>
      <c r="K1093" s="5" t="s">
        <v>292</v>
      </c>
      <c r="L1093" s="5" t="s">
        <v>2491</v>
      </c>
      <c r="M1093" s="5">
        <v>54</v>
      </c>
      <c r="N1093" s="5" t="s">
        <v>573</v>
      </c>
      <c r="O1093" s="5" t="s">
        <v>574</v>
      </c>
      <c r="Q1093" s="5" t="s">
        <v>3256</v>
      </c>
      <c r="R1093" s="6"/>
      <c r="S1093" s="6"/>
    </row>
    <row r="1094" spans="1:19" x14ac:dyDescent="0.2">
      <c r="A1094" s="5"/>
      <c r="B1094" s="8" t="s">
        <v>3257</v>
      </c>
      <c r="H1094" s="8" t="s">
        <v>3258</v>
      </c>
      <c r="I1094" s="8" t="s">
        <v>3258</v>
      </c>
      <c r="J1094" s="5">
        <f>79-20-2-7-4-1-5-8-1-3-2-1-10-15+15</f>
        <v>15</v>
      </c>
      <c r="K1094" s="5" t="s">
        <v>292</v>
      </c>
      <c r="L1094" s="5" t="s">
        <v>2491</v>
      </c>
      <c r="M1094" s="5">
        <v>54</v>
      </c>
      <c r="N1094" s="5" t="s">
        <v>573</v>
      </c>
      <c r="Q1094" s="107" t="s">
        <v>3259</v>
      </c>
      <c r="R1094" s="6"/>
      <c r="S1094" s="6"/>
    </row>
    <row r="1095" spans="1:19" x14ac:dyDescent="0.2">
      <c r="A1095" s="5">
        <v>1598</v>
      </c>
      <c r="B1095" s="8" t="s">
        <v>571</v>
      </c>
      <c r="H1095" s="8" t="s">
        <v>572</v>
      </c>
      <c r="I1095" s="8" t="s">
        <v>572</v>
      </c>
      <c r="J1095" s="5">
        <f>19+100-50-1-1-1-5-1-4-1-1-2-3-1-13-9-8</f>
        <v>18</v>
      </c>
      <c r="K1095" s="5" t="s">
        <v>292</v>
      </c>
      <c r="L1095" s="5" t="s">
        <v>2491</v>
      </c>
      <c r="M1095" s="5">
        <v>54</v>
      </c>
      <c r="N1095" s="5" t="s">
        <v>573</v>
      </c>
      <c r="O1095" s="5" t="s">
        <v>574</v>
      </c>
      <c r="Q1095" s="5" t="s">
        <v>576</v>
      </c>
      <c r="R1095" s="6"/>
      <c r="S1095" s="6" t="s">
        <v>328</v>
      </c>
    </row>
    <row r="1096" spans="1:19" x14ac:dyDescent="0.2">
      <c r="A1096" s="5">
        <v>1599</v>
      </c>
      <c r="B1096" s="8" t="s">
        <v>3254</v>
      </c>
      <c r="H1096" s="8" t="s">
        <v>3260</v>
      </c>
      <c r="I1096" s="8" t="s">
        <v>3260</v>
      </c>
      <c r="J1096" s="5">
        <f>28</f>
        <v>28</v>
      </c>
      <c r="K1096" s="5" t="s">
        <v>292</v>
      </c>
      <c r="L1096" s="5" t="s">
        <v>2491</v>
      </c>
      <c r="M1096" s="5">
        <v>54</v>
      </c>
      <c r="N1096" s="5" t="s">
        <v>2878</v>
      </c>
      <c r="O1096" s="5" t="s">
        <v>574</v>
      </c>
      <c r="Q1096" s="10" t="s">
        <v>553</v>
      </c>
      <c r="R1096" s="6"/>
      <c r="S1096" s="6"/>
    </row>
    <row r="1097" spans="1:19" x14ac:dyDescent="0.2">
      <c r="A1097" s="5">
        <v>2076</v>
      </c>
      <c r="B1097" s="8" t="s">
        <v>3261</v>
      </c>
      <c r="H1097" s="8" t="s">
        <v>3262</v>
      </c>
      <c r="I1097" s="8" t="s">
        <v>3263</v>
      </c>
      <c r="J1097" s="5">
        <v>231</v>
      </c>
      <c r="K1097" s="5" t="s">
        <v>292</v>
      </c>
      <c r="L1097" s="5" t="s">
        <v>2491</v>
      </c>
      <c r="M1097" s="5">
        <v>55</v>
      </c>
      <c r="N1097" s="5" t="s">
        <v>3264</v>
      </c>
      <c r="O1097" s="5" t="s">
        <v>574</v>
      </c>
      <c r="Q1097" s="5" t="s">
        <v>3265</v>
      </c>
      <c r="R1097" s="6"/>
      <c r="S1097" s="6"/>
    </row>
    <row r="1098" spans="1:19" x14ac:dyDescent="0.2">
      <c r="A1098" s="5">
        <v>2077</v>
      </c>
      <c r="B1098" s="8" t="s">
        <v>3266</v>
      </c>
      <c r="H1098" s="8" t="s">
        <v>3262</v>
      </c>
      <c r="I1098" s="8" t="s">
        <v>3267</v>
      </c>
      <c r="J1098" s="5">
        <v>237</v>
      </c>
      <c r="K1098" s="5" t="s">
        <v>292</v>
      </c>
      <c r="L1098" s="5" t="s">
        <v>2491</v>
      </c>
      <c r="M1098" s="5">
        <v>55</v>
      </c>
      <c r="N1098" s="5" t="s">
        <v>3264</v>
      </c>
      <c r="O1098" s="5" t="s">
        <v>574</v>
      </c>
      <c r="Q1098" s="5" t="s">
        <v>3265</v>
      </c>
      <c r="R1098" s="6"/>
      <c r="S1098" s="6"/>
    </row>
    <row r="1099" spans="1:19" x14ac:dyDescent="0.2">
      <c r="A1099" s="5">
        <v>2078</v>
      </c>
      <c r="B1099" s="8" t="s">
        <v>3268</v>
      </c>
      <c r="C1099" s="8">
        <v>137</v>
      </c>
      <c r="D1099" s="8" t="s">
        <v>3269</v>
      </c>
      <c r="E1099" s="24">
        <v>43687</v>
      </c>
      <c r="F1099" s="8" t="s">
        <v>259</v>
      </c>
      <c r="G1099" s="8" t="s">
        <v>260</v>
      </c>
      <c r="H1099" s="8" t="s">
        <v>3270</v>
      </c>
      <c r="I1099" s="8" t="s">
        <v>3271</v>
      </c>
      <c r="J1099" s="5">
        <v>40</v>
      </c>
      <c r="K1099" s="5" t="s">
        <v>292</v>
      </c>
      <c r="L1099" s="5" t="s">
        <v>2491</v>
      </c>
      <c r="M1099" s="5">
        <v>55</v>
      </c>
      <c r="N1099" s="5" t="s">
        <v>3272</v>
      </c>
      <c r="O1099" s="5" t="s">
        <v>574</v>
      </c>
      <c r="Q1099" s="5" t="s">
        <v>1293</v>
      </c>
      <c r="R1099" s="6"/>
      <c r="S1099" s="6"/>
    </row>
    <row r="1100" spans="1:19" x14ac:dyDescent="0.2">
      <c r="A1100" s="5">
        <v>2079</v>
      </c>
      <c r="B1100" s="8" t="s">
        <v>3273</v>
      </c>
      <c r="D1100" s="8" t="s">
        <v>323</v>
      </c>
      <c r="E1100" s="24">
        <v>43687</v>
      </c>
      <c r="F1100" s="8" t="s">
        <v>259</v>
      </c>
      <c r="G1100" s="8" t="s">
        <v>260</v>
      </c>
      <c r="H1100" s="8" t="s">
        <v>3274</v>
      </c>
      <c r="I1100" s="8" t="s">
        <v>3275</v>
      </c>
      <c r="J1100" s="5">
        <v>3</v>
      </c>
      <c r="K1100" s="5" t="s">
        <v>292</v>
      </c>
      <c r="L1100" s="5" t="s">
        <v>2491</v>
      </c>
      <c r="M1100" s="5">
        <v>55</v>
      </c>
      <c r="N1100" s="5" t="s">
        <v>2938</v>
      </c>
      <c r="O1100" s="5" t="s">
        <v>574</v>
      </c>
      <c r="Q1100" s="5" t="s">
        <v>3276</v>
      </c>
      <c r="R1100" s="6"/>
      <c r="S1100" s="6"/>
    </row>
    <row r="1101" spans="1:19" x14ac:dyDescent="0.2">
      <c r="A1101" s="5">
        <v>2080</v>
      </c>
      <c r="B1101" s="8" t="s">
        <v>3277</v>
      </c>
      <c r="D1101" s="8" t="s">
        <v>269</v>
      </c>
      <c r="E1101" s="24">
        <v>43687</v>
      </c>
      <c r="F1101" s="8" t="s">
        <v>259</v>
      </c>
      <c r="G1101" s="8" t="s">
        <v>260</v>
      </c>
      <c r="H1101" s="8" t="s">
        <v>3278</v>
      </c>
      <c r="I1101" s="8" t="s">
        <v>3279</v>
      </c>
      <c r="J1101" s="5">
        <v>0</v>
      </c>
      <c r="K1101" s="5" t="s">
        <v>292</v>
      </c>
      <c r="L1101" s="5" t="s">
        <v>2491</v>
      </c>
      <c r="M1101" s="5">
        <v>55</v>
      </c>
      <c r="N1101" s="5" t="s">
        <v>2938</v>
      </c>
      <c r="O1101" s="5" t="s">
        <v>574</v>
      </c>
      <c r="Q1101" s="5" t="s">
        <v>3280</v>
      </c>
      <c r="R1101" s="6"/>
      <c r="S1101" s="6"/>
    </row>
    <row r="1102" spans="1:19" x14ac:dyDescent="0.2">
      <c r="A1102" s="5">
        <v>2081</v>
      </c>
      <c r="B1102" s="8" t="s">
        <v>3281</v>
      </c>
      <c r="D1102" s="8" t="s">
        <v>3282</v>
      </c>
      <c r="E1102" s="24">
        <v>43687</v>
      </c>
      <c r="F1102" s="8" t="s">
        <v>259</v>
      </c>
      <c r="G1102" s="8" t="s">
        <v>260</v>
      </c>
      <c r="H1102" s="8" t="s">
        <v>3283</v>
      </c>
      <c r="I1102" s="8" t="s">
        <v>3284</v>
      </c>
      <c r="J1102" s="5">
        <v>1</v>
      </c>
      <c r="K1102" s="5" t="s">
        <v>292</v>
      </c>
      <c r="L1102" s="5" t="s">
        <v>2491</v>
      </c>
      <c r="M1102" s="5">
        <v>55</v>
      </c>
      <c r="N1102" s="5" t="s">
        <v>2938</v>
      </c>
      <c r="O1102" s="5" t="s">
        <v>574</v>
      </c>
      <c r="Q1102" s="33" t="s">
        <v>3285</v>
      </c>
      <c r="R1102" s="6"/>
      <c r="S1102" s="6"/>
    </row>
    <row r="1103" spans="1:19" x14ac:dyDescent="0.2">
      <c r="A1103" s="5"/>
      <c r="B1103" s="8" t="s">
        <v>3286</v>
      </c>
      <c r="H1103" s="8" t="s">
        <v>3287</v>
      </c>
      <c r="I1103" s="8" t="s">
        <v>3287</v>
      </c>
      <c r="J1103" s="5">
        <f>9-1-1-1-6+8-2</f>
        <v>6</v>
      </c>
      <c r="K1103" s="5" t="s">
        <v>292</v>
      </c>
      <c r="L1103" s="5" t="s">
        <v>2491</v>
      </c>
      <c r="M1103" s="5">
        <v>55</v>
      </c>
      <c r="N1103" s="5" t="s">
        <v>849</v>
      </c>
      <c r="Q1103" s="33"/>
      <c r="R1103" s="6"/>
      <c r="S1103" s="6" t="s">
        <v>328</v>
      </c>
    </row>
    <row r="1104" spans="1:19" x14ac:dyDescent="0.2">
      <c r="A1104" s="5">
        <v>1567</v>
      </c>
      <c r="B1104" s="8" t="s">
        <v>3288</v>
      </c>
      <c r="D1104" s="8" t="s">
        <v>3289</v>
      </c>
      <c r="E1104" s="24">
        <v>43687</v>
      </c>
      <c r="F1104" s="8" t="s">
        <v>259</v>
      </c>
      <c r="G1104" s="8" t="s">
        <v>260</v>
      </c>
      <c r="H1104" s="8" t="s">
        <v>3290</v>
      </c>
      <c r="I1104" s="8" t="s">
        <v>3291</v>
      </c>
      <c r="J1104" s="5">
        <v>1571</v>
      </c>
      <c r="K1104" s="5" t="s">
        <v>292</v>
      </c>
      <c r="L1104" s="5" t="s">
        <v>2491</v>
      </c>
      <c r="M1104" s="5">
        <v>56</v>
      </c>
      <c r="N1104" s="5" t="s">
        <v>3272</v>
      </c>
      <c r="O1104" s="5" t="s">
        <v>574</v>
      </c>
      <c r="Q1104" s="10" t="s">
        <v>553</v>
      </c>
      <c r="R1104" s="6"/>
      <c r="S1104" s="6"/>
    </row>
    <row r="1105" spans="1:20" x14ac:dyDescent="0.2">
      <c r="A1105" s="5">
        <v>1568</v>
      </c>
      <c r="B1105" s="8" t="s">
        <v>3292</v>
      </c>
      <c r="D1105" s="8" t="s">
        <v>3289</v>
      </c>
      <c r="E1105" s="24">
        <v>43687</v>
      </c>
      <c r="F1105" s="8" t="s">
        <v>259</v>
      </c>
      <c r="G1105" s="8" t="s">
        <v>260</v>
      </c>
      <c r="H1105" s="8" t="s">
        <v>3293</v>
      </c>
      <c r="I1105" s="8" t="s">
        <v>3294</v>
      </c>
      <c r="J1105" s="5">
        <f>400+6</f>
        <v>406</v>
      </c>
      <c r="K1105" s="5" t="s">
        <v>292</v>
      </c>
      <c r="L1105" s="5" t="s">
        <v>2491</v>
      </c>
      <c r="M1105" s="5">
        <v>56</v>
      </c>
      <c r="N1105" s="5" t="s">
        <v>3272</v>
      </c>
      <c r="O1105" s="5" t="s">
        <v>574</v>
      </c>
      <c r="Q1105" s="5" t="s">
        <v>3295</v>
      </c>
      <c r="R1105" s="6"/>
      <c r="S1105" s="6"/>
    </row>
    <row r="1106" spans="1:20" x14ac:dyDescent="0.2">
      <c r="A1106" s="5">
        <v>1569</v>
      </c>
      <c r="B1106" s="8" t="s">
        <v>3296</v>
      </c>
      <c r="H1106" s="8" t="s">
        <v>3297</v>
      </c>
      <c r="I1106" s="8" t="s">
        <v>3297</v>
      </c>
      <c r="J1106" s="5">
        <f>81</f>
        <v>81</v>
      </c>
      <c r="K1106" s="5" t="s">
        <v>292</v>
      </c>
      <c r="L1106" s="5" t="s">
        <v>2491</v>
      </c>
      <c r="M1106" s="5">
        <v>56</v>
      </c>
      <c r="N1106" s="5" t="s">
        <v>3264</v>
      </c>
      <c r="O1106" s="5" t="s">
        <v>574</v>
      </c>
      <c r="Q1106" s="5" t="s">
        <v>3298</v>
      </c>
      <c r="R1106" s="6"/>
      <c r="S1106" s="6"/>
    </row>
    <row r="1107" spans="1:20" x14ac:dyDescent="0.2">
      <c r="A1107" s="5">
        <v>1570</v>
      </c>
      <c r="B1107" s="8" t="s">
        <v>3299</v>
      </c>
      <c r="D1107" s="8" t="s">
        <v>3289</v>
      </c>
      <c r="E1107" s="24">
        <v>43687</v>
      </c>
      <c r="F1107" s="8" t="s">
        <v>259</v>
      </c>
      <c r="G1107" s="8" t="s">
        <v>260</v>
      </c>
      <c r="H1107" s="8" t="s">
        <v>3300</v>
      </c>
      <c r="I1107" s="8" t="s">
        <v>3301</v>
      </c>
      <c r="J1107" s="5">
        <f>52-8-8-8+8-6-16+347</f>
        <v>361</v>
      </c>
      <c r="K1107" s="5" t="s">
        <v>292</v>
      </c>
      <c r="L1107" s="5" t="s">
        <v>2491</v>
      </c>
      <c r="M1107" s="5">
        <v>56</v>
      </c>
      <c r="N1107" s="5" t="s">
        <v>3272</v>
      </c>
      <c r="O1107" s="5" t="s">
        <v>574</v>
      </c>
      <c r="Q1107" s="5" t="s">
        <v>3302</v>
      </c>
      <c r="R1107" s="6"/>
      <c r="S1107" s="6"/>
    </row>
    <row r="1108" spans="1:20" x14ac:dyDescent="0.2">
      <c r="A1108" s="5">
        <v>1571</v>
      </c>
      <c r="B1108" s="8" t="s">
        <v>3303</v>
      </c>
      <c r="H1108" s="8" t="s">
        <v>3304</v>
      </c>
      <c r="I1108" s="8" t="s">
        <v>3304</v>
      </c>
      <c r="J1108" s="5">
        <v>426</v>
      </c>
      <c r="K1108" s="5" t="s">
        <v>292</v>
      </c>
      <c r="L1108" s="5" t="s">
        <v>2491</v>
      </c>
      <c r="M1108" s="5">
        <v>56</v>
      </c>
      <c r="N1108" s="5" t="s">
        <v>3305</v>
      </c>
      <c r="O1108" s="5" t="s">
        <v>574</v>
      </c>
      <c r="Q1108" s="5" t="s">
        <v>3295</v>
      </c>
      <c r="R1108" s="6"/>
      <c r="S1108" s="6"/>
    </row>
    <row r="1109" spans="1:20" x14ac:dyDescent="0.2">
      <c r="A1109" s="5">
        <v>1572</v>
      </c>
      <c r="B1109" s="8" t="s">
        <v>3306</v>
      </c>
      <c r="H1109" s="8" t="s">
        <v>3307</v>
      </c>
      <c r="I1109" s="8" t="s">
        <v>3307</v>
      </c>
      <c r="J1109" s="5">
        <v>94</v>
      </c>
      <c r="K1109" s="5" t="s">
        <v>292</v>
      </c>
      <c r="L1109" s="5" t="s">
        <v>2491</v>
      </c>
      <c r="M1109" s="5">
        <v>56</v>
      </c>
      <c r="N1109" s="5" t="s">
        <v>3264</v>
      </c>
      <c r="O1109" s="5" t="s">
        <v>574</v>
      </c>
      <c r="Q1109" s="5" t="s">
        <v>3298</v>
      </c>
    </row>
    <row r="1110" spans="1:20" x14ac:dyDescent="0.2">
      <c r="A1110" s="5">
        <v>671</v>
      </c>
      <c r="B1110" s="8" t="s">
        <v>3308</v>
      </c>
      <c r="H1110" s="8" t="s">
        <v>3309</v>
      </c>
      <c r="I1110" s="8" t="s">
        <v>3309</v>
      </c>
      <c r="J1110" s="5">
        <v>268</v>
      </c>
      <c r="K1110" s="5" t="s">
        <v>292</v>
      </c>
      <c r="L1110" s="5" t="s">
        <v>2491</v>
      </c>
      <c r="M1110" s="5">
        <v>57</v>
      </c>
      <c r="N1110" s="5" t="s">
        <v>877</v>
      </c>
      <c r="O1110" s="5" t="s">
        <v>789</v>
      </c>
      <c r="Q1110" s="5" t="s">
        <v>3310</v>
      </c>
    </row>
    <row r="1111" spans="1:20" x14ac:dyDescent="0.2">
      <c r="A1111" s="5"/>
      <c r="B1111" s="8" t="s">
        <v>3311</v>
      </c>
      <c r="H1111" s="8" t="s">
        <v>3312</v>
      </c>
      <c r="I1111" s="8" t="s">
        <v>3312</v>
      </c>
      <c r="J1111" s="5">
        <f>13</f>
        <v>13</v>
      </c>
      <c r="K1111" s="5" t="s">
        <v>292</v>
      </c>
      <c r="L1111" s="5" t="s">
        <v>2491</v>
      </c>
      <c r="M1111" s="5">
        <v>57</v>
      </c>
      <c r="N1111" s="5" t="s">
        <v>877</v>
      </c>
    </row>
    <row r="1112" spans="1:20" x14ac:dyDescent="0.2">
      <c r="A1112" s="5"/>
      <c r="B1112" s="8" t="s">
        <v>3313</v>
      </c>
      <c r="H1112" s="8" t="s">
        <v>3314</v>
      </c>
      <c r="I1112" s="8" t="s">
        <v>3314</v>
      </c>
      <c r="J1112" s="5">
        <f>41-41</f>
        <v>0</v>
      </c>
      <c r="K1112" s="5" t="s">
        <v>292</v>
      </c>
      <c r="L1112" s="5" t="s">
        <v>2491</v>
      </c>
      <c r="M1112" s="5">
        <v>57</v>
      </c>
      <c r="N1112" s="5" t="s">
        <v>877</v>
      </c>
      <c r="Q1112" s="107" t="s">
        <v>903</v>
      </c>
      <c r="R1112" s="6"/>
      <c r="S1112" s="6"/>
    </row>
    <row r="1113" spans="1:20" x14ac:dyDescent="0.2">
      <c r="A1113" s="5">
        <v>1369</v>
      </c>
      <c r="B1113" s="8" t="s">
        <v>3315</v>
      </c>
      <c r="H1113" s="8" t="s">
        <v>3316</v>
      </c>
      <c r="I1113" s="8" t="s">
        <v>3316</v>
      </c>
      <c r="J1113" s="5">
        <v>80</v>
      </c>
      <c r="K1113" s="5" t="s">
        <v>292</v>
      </c>
      <c r="L1113" s="5" t="s">
        <v>2491</v>
      </c>
      <c r="M1113" s="5">
        <v>58</v>
      </c>
      <c r="N1113" s="5" t="s">
        <v>805</v>
      </c>
      <c r="O1113" s="5" t="s">
        <v>574</v>
      </c>
      <c r="Q1113" s="5" t="s">
        <v>3317</v>
      </c>
      <c r="T1113" s="5" t="s">
        <v>777</v>
      </c>
    </row>
    <row r="1114" spans="1:20" x14ac:dyDescent="0.2">
      <c r="A1114" s="5">
        <v>273</v>
      </c>
      <c r="B1114" s="8" t="s">
        <v>3318</v>
      </c>
      <c r="H1114" s="8" t="s">
        <v>3319</v>
      </c>
      <c r="I1114" s="8" t="s">
        <v>3319</v>
      </c>
      <c r="J1114" s="5">
        <f>4-3-1</f>
        <v>0</v>
      </c>
      <c r="K1114" s="5" t="s">
        <v>292</v>
      </c>
      <c r="L1114" s="5" t="s">
        <v>2491</v>
      </c>
      <c r="M1114" s="5">
        <v>59</v>
      </c>
      <c r="N1114" s="5" t="s">
        <v>3320</v>
      </c>
      <c r="O1114" s="5" t="s">
        <v>520</v>
      </c>
    </row>
    <row r="1115" spans="1:20" x14ac:dyDescent="0.2">
      <c r="A1115" s="5">
        <v>274</v>
      </c>
      <c r="B1115" s="40" t="s">
        <v>3321</v>
      </c>
      <c r="D1115" s="8" t="s">
        <v>3322</v>
      </c>
      <c r="E1115" s="24">
        <v>43673</v>
      </c>
      <c r="F1115" s="8" t="s">
        <v>259</v>
      </c>
      <c r="G1115" s="8" t="s">
        <v>260</v>
      </c>
      <c r="H1115" s="8" t="s">
        <v>3323</v>
      </c>
      <c r="I1115" s="8" t="s">
        <v>3324</v>
      </c>
      <c r="J1115" s="5">
        <v>0</v>
      </c>
      <c r="K1115" s="5" t="s">
        <v>292</v>
      </c>
      <c r="L1115" s="5" t="s">
        <v>2491</v>
      </c>
      <c r="M1115" s="5">
        <v>59</v>
      </c>
      <c r="N1115" s="5" t="s">
        <v>3320</v>
      </c>
      <c r="O1115" s="5" t="s">
        <v>520</v>
      </c>
      <c r="Q1115" s="5" t="s">
        <v>3325</v>
      </c>
    </row>
    <row r="1116" spans="1:20" x14ac:dyDescent="0.2">
      <c r="A1116" s="5">
        <v>280</v>
      </c>
      <c r="B1116" s="8" t="s">
        <v>3326</v>
      </c>
      <c r="H1116" s="8" t="s">
        <v>3327</v>
      </c>
      <c r="I1116" s="8" t="s">
        <v>3328</v>
      </c>
      <c r="J1116" s="5">
        <f>4</f>
        <v>4</v>
      </c>
      <c r="K1116" s="5" t="s">
        <v>292</v>
      </c>
      <c r="L1116" s="5" t="s">
        <v>2491</v>
      </c>
      <c r="M1116" s="5">
        <v>59</v>
      </c>
      <c r="N1116" s="5" t="s">
        <v>3320</v>
      </c>
      <c r="O1116" s="5" t="s">
        <v>520</v>
      </c>
    </row>
    <row r="1117" spans="1:20" x14ac:dyDescent="0.2">
      <c r="A1117" s="5">
        <v>342</v>
      </c>
      <c r="B1117" s="40" t="s">
        <v>3321</v>
      </c>
      <c r="H1117" s="8" t="s">
        <v>3324</v>
      </c>
      <c r="I1117" s="8" t="s">
        <v>3324</v>
      </c>
      <c r="J1117" s="5">
        <f>7-3-1-3</f>
        <v>0</v>
      </c>
      <c r="K1117" s="5" t="s">
        <v>292</v>
      </c>
      <c r="L1117" s="5" t="s">
        <v>2491</v>
      </c>
      <c r="M1117" s="5">
        <v>59</v>
      </c>
      <c r="N1117" s="5" t="s">
        <v>3320</v>
      </c>
      <c r="O1117" s="5" t="s">
        <v>520</v>
      </c>
      <c r="Q1117" s="5" t="s">
        <v>3329</v>
      </c>
      <c r="R1117" s="6"/>
      <c r="S1117" s="6" t="s">
        <v>328</v>
      </c>
    </row>
    <row r="1118" spans="1:20" x14ac:dyDescent="0.2">
      <c r="A1118" s="5">
        <v>1392</v>
      </c>
      <c r="B1118" s="40" t="s">
        <v>3330</v>
      </c>
      <c r="H1118" s="8" t="s">
        <v>3327</v>
      </c>
      <c r="I1118" s="8" t="s">
        <v>3327</v>
      </c>
      <c r="J1118" s="5">
        <v>4</v>
      </c>
      <c r="K1118" s="5" t="s">
        <v>292</v>
      </c>
      <c r="L1118" s="5" t="s">
        <v>2491</v>
      </c>
      <c r="M1118" s="5">
        <v>59</v>
      </c>
      <c r="N1118" s="5" t="s">
        <v>3331</v>
      </c>
      <c r="O1118" s="5" t="s">
        <v>574</v>
      </c>
      <c r="Q1118" s="10" t="s">
        <v>553</v>
      </c>
      <c r="R1118" s="6"/>
      <c r="S1118" s="6" t="s">
        <v>328</v>
      </c>
    </row>
    <row r="1119" spans="1:20" x14ac:dyDescent="0.2">
      <c r="A1119" s="5">
        <v>1392</v>
      </c>
      <c r="B1119" s="8" t="s">
        <v>3330</v>
      </c>
      <c r="H1119" s="8" t="s">
        <v>3319</v>
      </c>
      <c r="I1119" s="8" t="s">
        <v>3319</v>
      </c>
      <c r="J1119" s="5">
        <v>0</v>
      </c>
      <c r="K1119" s="5" t="s">
        <v>292</v>
      </c>
      <c r="L1119" s="5" t="s">
        <v>2491</v>
      </c>
      <c r="M1119" s="5">
        <v>59</v>
      </c>
      <c r="N1119" s="5" t="s">
        <v>3331</v>
      </c>
      <c r="O1119" s="5" t="s">
        <v>574</v>
      </c>
      <c r="Q1119" s="10" t="s">
        <v>553</v>
      </c>
      <c r="R1119" s="6"/>
      <c r="S1119" s="6"/>
    </row>
    <row r="1120" spans="1:20" x14ac:dyDescent="0.2">
      <c r="A1120" s="5">
        <v>1393</v>
      </c>
      <c r="B1120" s="8" t="s">
        <v>3321</v>
      </c>
      <c r="H1120" s="8" t="s">
        <v>3332</v>
      </c>
      <c r="I1120" s="8" t="s">
        <v>3333</v>
      </c>
      <c r="J1120" s="5">
        <v>0</v>
      </c>
      <c r="K1120" s="5" t="s">
        <v>292</v>
      </c>
      <c r="L1120" s="5" t="s">
        <v>2491</v>
      </c>
      <c r="M1120" s="5">
        <v>59</v>
      </c>
      <c r="N1120" s="5" t="s">
        <v>3331</v>
      </c>
      <c r="O1120" s="5" t="s">
        <v>574</v>
      </c>
      <c r="Q1120" s="5" t="s">
        <v>3325</v>
      </c>
      <c r="R1120" s="6"/>
      <c r="S1120" s="6" t="s">
        <v>328</v>
      </c>
    </row>
    <row r="1121" spans="1:21" x14ac:dyDescent="0.2">
      <c r="A1121" s="5">
        <v>1394</v>
      </c>
      <c r="B1121" s="8" t="s">
        <v>3334</v>
      </c>
      <c r="D1121" s="8" t="s">
        <v>3322</v>
      </c>
      <c r="E1121" s="24">
        <v>43673</v>
      </c>
      <c r="F1121" s="8" t="s">
        <v>259</v>
      </c>
      <c r="G1121" s="8" t="s">
        <v>260</v>
      </c>
      <c r="H1121" s="8" t="s">
        <v>3335</v>
      </c>
      <c r="I1121" s="8" t="s">
        <v>3336</v>
      </c>
      <c r="J1121" s="5">
        <f>2-2</f>
        <v>0</v>
      </c>
      <c r="K1121" s="5" t="s">
        <v>292</v>
      </c>
      <c r="L1121" s="5" t="s">
        <v>2491</v>
      </c>
      <c r="M1121" s="5">
        <v>59</v>
      </c>
      <c r="N1121" s="5" t="s">
        <v>3331</v>
      </c>
      <c r="O1121" s="5" t="s">
        <v>574</v>
      </c>
      <c r="Q1121" s="10" t="s">
        <v>553</v>
      </c>
      <c r="R1121" s="6"/>
      <c r="S1121" s="6" t="s">
        <v>328</v>
      </c>
    </row>
    <row r="1122" spans="1:21" x14ac:dyDescent="0.2">
      <c r="A1122" s="5">
        <v>2093</v>
      </c>
      <c r="B1122" s="40" t="s">
        <v>3337</v>
      </c>
      <c r="H1122" s="8" t="s">
        <v>3328</v>
      </c>
      <c r="I1122" s="8" t="s">
        <v>3328</v>
      </c>
      <c r="J1122" s="5">
        <f>8-4</f>
        <v>4</v>
      </c>
      <c r="K1122" s="5" t="s">
        <v>292</v>
      </c>
      <c r="L1122" s="5" t="s">
        <v>2491</v>
      </c>
      <c r="M1122" s="5">
        <v>59</v>
      </c>
      <c r="N1122" s="5" t="s">
        <v>3338</v>
      </c>
      <c r="O1122" s="5" t="s">
        <v>574</v>
      </c>
      <c r="Q1122" s="10" t="s">
        <v>553</v>
      </c>
      <c r="R1122" s="6"/>
      <c r="S1122" s="6" t="s">
        <v>1139</v>
      </c>
    </row>
    <row r="1123" spans="1:21" x14ac:dyDescent="0.2">
      <c r="A1123" s="5">
        <v>2094</v>
      </c>
      <c r="B1123" s="8" t="s">
        <v>3339</v>
      </c>
      <c r="H1123" s="8" t="s">
        <v>3333</v>
      </c>
      <c r="I1123" s="8" t="s">
        <v>3333</v>
      </c>
      <c r="J1123" s="5">
        <v>2</v>
      </c>
      <c r="K1123" s="5" t="s">
        <v>292</v>
      </c>
      <c r="L1123" s="5" t="s">
        <v>2491</v>
      </c>
      <c r="M1123" s="5">
        <v>59</v>
      </c>
      <c r="N1123" s="5" t="s">
        <v>3338</v>
      </c>
      <c r="O1123" s="5" t="s">
        <v>574</v>
      </c>
      <c r="Q1123" s="10" t="s">
        <v>553</v>
      </c>
      <c r="R1123" s="6"/>
      <c r="S1123" s="6" t="s">
        <v>1139</v>
      </c>
      <c r="U1123" t="s">
        <v>321</v>
      </c>
    </row>
    <row r="1124" spans="1:21" x14ac:dyDescent="0.2">
      <c r="A1124" s="5">
        <v>2095</v>
      </c>
      <c r="B1124" s="8" t="s">
        <v>3340</v>
      </c>
      <c r="H1124" s="8" t="s">
        <v>3328</v>
      </c>
      <c r="I1124" s="8" t="s">
        <v>3328</v>
      </c>
      <c r="J1124" s="5">
        <v>0</v>
      </c>
      <c r="K1124" s="5" t="s">
        <v>292</v>
      </c>
      <c r="L1124" s="5" t="s">
        <v>2491</v>
      </c>
      <c r="M1124" s="5">
        <v>59</v>
      </c>
      <c r="N1124" s="5" t="s">
        <v>3338</v>
      </c>
      <c r="O1124" s="5" t="s">
        <v>574</v>
      </c>
      <c r="Q1124" s="10" t="s">
        <v>553</v>
      </c>
      <c r="R1124" s="6"/>
      <c r="S1124" s="6"/>
    </row>
    <row r="1125" spans="1:21" x14ac:dyDescent="0.2">
      <c r="A1125" s="5">
        <v>1553</v>
      </c>
      <c r="B1125" s="8" t="s">
        <v>3341</v>
      </c>
      <c r="H1125" s="8" t="s">
        <v>3342</v>
      </c>
      <c r="I1125" s="8" t="s">
        <v>3343</v>
      </c>
      <c r="J1125" s="5">
        <f>29-2+2-5+8-4-1</f>
        <v>27</v>
      </c>
      <c r="K1125" s="5" t="s">
        <v>292</v>
      </c>
      <c r="L1125" s="5" t="s">
        <v>2491</v>
      </c>
      <c r="M1125" s="5">
        <v>60</v>
      </c>
      <c r="N1125" s="5" t="s">
        <v>2090</v>
      </c>
      <c r="O1125" s="5" t="s">
        <v>574</v>
      </c>
      <c r="Q1125" s="5" t="s">
        <v>3344</v>
      </c>
      <c r="R1125" s="6"/>
      <c r="S1125" s="6"/>
    </row>
    <row r="1126" spans="1:21" x14ac:dyDescent="0.2">
      <c r="A1126" s="5">
        <v>1554</v>
      </c>
      <c r="B1126" s="8" t="s">
        <v>3345</v>
      </c>
      <c r="H1126" s="8" t="s">
        <v>3346</v>
      </c>
      <c r="I1126" s="8" t="s">
        <v>3346</v>
      </c>
      <c r="J1126" s="5">
        <f>8-2-6+3224-24-3192-4-3-1</f>
        <v>0</v>
      </c>
      <c r="K1126" s="5" t="s">
        <v>292</v>
      </c>
      <c r="L1126" s="5" t="s">
        <v>2491</v>
      </c>
      <c r="M1126" s="5">
        <v>60</v>
      </c>
      <c r="N1126" s="5" t="s">
        <v>2090</v>
      </c>
      <c r="O1126" s="5" t="s">
        <v>574</v>
      </c>
      <c r="Q1126" s="5" t="s">
        <v>3344</v>
      </c>
      <c r="R1126" s="6"/>
      <c r="S1126" s="6"/>
    </row>
    <row r="1127" spans="1:21" x14ac:dyDescent="0.2">
      <c r="A1127" s="5"/>
      <c r="B1127" s="8" t="s">
        <v>3347</v>
      </c>
      <c r="I1127" s="8" t="s">
        <v>3348</v>
      </c>
      <c r="J1127" s="5">
        <f>1</f>
        <v>1</v>
      </c>
      <c r="K1127" s="5" t="s">
        <v>292</v>
      </c>
      <c r="L1127" s="5" t="s">
        <v>2491</v>
      </c>
      <c r="M1127" s="5">
        <v>60</v>
      </c>
      <c r="R1127" s="6"/>
      <c r="S1127" s="6"/>
    </row>
    <row r="1128" spans="1:21" x14ac:dyDescent="0.2">
      <c r="A1128" s="5"/>
      <c r="B1128" s="8" t="s">
        <v>3349</v>
      </c>
      <c r="I1128" s="8" t="s">
        <v>3350</v>
      </c>
      <c r="J1128" s="5">
        <f>1</f>
        <v>1</v>
      </c>
      <c r="K1128" s="5" t="s">
        <v>292</v>
      </c>
      <c r="L1128" s="5" t="s">
        <v>2491</v>
      </c>
      <c r="M1128" s="5">
        <v>60</v>
      </c>
      <c r="R1128" s="6"/>
      <c r="S1128" s="6"/>
    </row>
    <row r="1129" spans="1:21" x14ac:dyDescent="0.2">
      <c r="A1129" s="5">
        <v>1555</v>
      </c>
      <c r="B1129" s="8" t="s">
        <v>3351</v>
      </c>
      <c r="H1129" s="8" t="s">
        <v>3352</v>
      </c>
      <c r="I1129" s="8" t="s">
        <v>3352</v>
      </c>
      <c r="J1129" s="5">
        <v>16</v>
      </c>
      <c r="K1129" s="5" t="s">
        <v>292</v>
      </c>
      <c r="L1129" s="5" t="s">
        <v>2491</v>
      </c>
      <c r="M1129" s="5">
        <v>61</v>
      </c>
      <c r="N1129" s="5" t="s">
        <v>2090</v>
      </c>
      <c r="O1129" s="5" t="s">
        <v>574</v>
      </c>
      <c r="Q1129" s="5" t="s">
        <v>3353</v>
      </c>
      <c r="R1129" s="6"/>
      <c r="S1129" s="6" t="s">
        <v>328</v>
      </c>
    </row>
    <row r="1130" spans="1:21" x14ac:dyDescent="0.2">
      <c r="A1130" s="5">
        <v>1556</v>
      </c>
      <c r="B1130" s="8" t="s">
        <v>3354</v>
      </c>
      <c r="H1130" s="8" t="s">
        <v>3355</v>
      </c>
      <c r="I1130" s="8" t="s">
        <v>3355</v>
      </c>
      <c r="J1130" s="5">
        <v>14</v>
      </c>
      <c r="K1130" s="5" t="s">
        <v>292</v>
      </c>
      <c r="L1130" s="5" t="s">
        <v>2491</v>
      </c>
      <c r="M1130" s="5">
        <v>61</v>
      </c>
      <c r="N1130" s="5" t="s">
        <v>2962</v>
      </c>
      <c r="O1130" s="5" t="s">
        <v>574</v>
      </c>
      <c r="Q1130" s="10" t="s">
        <v>553</v>
      </c>
      <c r="R1130" s="6"/>
      <c r="S1130" s="6" t="s">
        <v>328</v>
      </c>
    </row>
    <row r="1131" spans="1:21" x14ac:dyDescent="0.2">
      <c r="A1131" s="5">
        <v>1557</v>
      </c>
      <c r="B1131" s="8" t="s">
        <v>3356</v>
      </c>
      <c r="H1131" s="8" t="s">
        <v>3357</v>
      </c>
      <c r="I1131" s="8" t="s">
        <v>3357</v>
      </c>
      <c r="J1131" s="5">
        <v>49</v>
      </c>
      <c r="K1131" s="5" t="s">
        <v>292</v>
      </c>
      <c r="L1131" s="5" t="s">
        <v>2491</v>
      </c>
      <c r="M1131" s="5">
        <v>62</v>
      </c>
      <c r="N1131" s="5" t="s">
        <v>2090</v>
      </c>
      <c r="O1131" s="5" t="s">
        <v>574</v>
      </c>
      <c r="Q1131" s="10" t="s">
        <v>553</v>
      </c>
      <c r="R1131" s="6"/>
      <c r="S1131" s="6"/>
    </row>
    <row r="1132" spans="1:21" x14ac:dyDescent="0.2">
      <c r="A1132" s="5">
        <v>1559</v>
      </c>
      <c r="B1132" s="8" t="s">
        <v>3358</v>
      </c>
      <c r="D1132" s="8" t="s">
        <v>773</v>
      </c>
      <c r="E1132" s="24">
        <v>43687</v>
      </c>
      <c r="F1132" s="8" t="s">
        <v>259</v>
      </c>
      <c r="G1132" s="8" t="s">
        <v>260</v>
      </c>
      <c r="H1132" s="8" t="s">
        <v>3359</v>
      </c>
      <c r="I1132" s="8" t="s">
        <v>3360</v>
      </c>
      <c r="J1132" s="5">
        <v>1000</v>
      </c>
      <c r="K1132" s="5" t="s">
        <v>292</v>
      </c>
      <c r="L1132" s="5" t="s">
        <v>2491</v>
      </c>
      <c r="M1132" s="5">
        <v>62</v>
      </c>
      <c r="N1132" s="5" t="s">
        <v>3361</v>
      </c>
      <c r="O1132" s="5" t="s">
        <v>574</v>
      </c>
      <c r="Q1132" s="5" t="s">
        <v>3362</v>
      </c>
      <c r="R1132" s="6"/>
      <c r="S1132" s="6"/>
    </row>
    <row r="1133" spans="1:21" x14ac:dyDescent="0.2">
      <c r="A1133" s="5">
        <v>1560</v>
      </c>
      <c r="B1133" s="8">
        <v>2333009</v>
      </c>
      <c r="C1133" s="8" t="s">
        <v>3363</v>
      </c>
      <c r="D1133" s="8" t="s">
        <v>384</v>
      </c>
      <c r="E1133" s="24">
        <v>43673</v>
      </c>
      <c r="F1133" s="8" t="s">
        <v>259</v>
      </c>
      <c r="G1133" s="8" t="s">
        <v>276</v>
      </c>
      <c r="H1133" s="8" t="s">
        <v>3364</v>
      </c>
      <c r="I1133" s="8" t="s">
        <v>3365</v>
      </c>
      <c r="J1133" s="5">
        <f>1624+11647-30</f>
        <v>13241</v>
      </c>
      <c r="K1133" s="5" t="s">
        <v>292</v>
      </c>
      <c r="L1133" s="5" t="s">
        <v>2491</v>
      </c>
      <c r="M1133" s="5">
        <v>62</v>
      </c>
      <c r="N1133" s="5" t="s">
        <v>3361</v>
      </c>
      <c r="O1133" s="5" t="s">
        <v>574</v>
      </c>
      <c r="Q1133" s="5" t="s">
        <v>3366</v>
      </c>
      <c r="R1133" s="6"/>
      <c r="S1133" s="6"/>
    </row>
    <row r="1134" spans="1:21" x14ac:dyDescent="0.2">
      <c r="A1134" s="5">
        <v>1561</v>
      </c>
      <c r="B1134" s="8" t="s">
        <v>3367</v>
      </c>
      <c r="D1134" s="8" t="s">
        <v>542</v>
      </c>
      <c r="E1134" s="24">
        <v>43687</v>
      </c>
      <c r="F1134" s="8" t="s">
        <v>259</v>
      </c>
      <c r="G1134" s="8" t="s">
        <v>260</v>
      </c>
      <c r="H1134" s="8" t="s">
        <v>3368</v>
      </c>
      <c r="I1134" s="8" t="s">
        <v>3369</v>
      </c>
      <c r="J1134" s="5">
        <v>25</v>
      </c>
      <c r="K1134" s="5" t="s">
        <v>292</v>
      </c>
      <c r="L1134" s="5" t="s">
        <v>2491</v>
      </c>
      <c r="M1134" s="5">
        <v>62</v>
      </c>
      <c r="N1134" s="5" t="s">
        <v>2090</v>
      </c>
      <c r="O1134" s="5" t="s">
        <v>574</v>
      </c>
      <c r="Q1134" s="5" t="s">
        <v>2746</v>
      </c>
      <c r="R1134" s="6"/>
      <c r="S1134" s="6"/>
    </row>
    <row r="1135" spans="1:21" x14ac:dyDescent="0.2">
      <c r="A1135" s="5">
        <v>1562</v>
      </c>
      <c r="B1135" s="8" t="s">
        <v>3370</v>
      </c>
      <c r="C1135" s="8" t="s">
        <v>3371</v>
      </c>
      <c r="D1135" s="8" t="s">
        <v>384</v>
      </c>
      <c r="E1135" s="24">
        <v>43673</v>
      </c>
      <c r="F1135" s="8" t="s">
        <v>259</v>
      </c>
      <c r="G1135" s="8" t="s">
        <v>276</v>
      </c>
      <c r="H1135" s="8" t="s">
        <v>3364</v>
      </c>
      <c r="I1135" s="8" t="s">
        <v>3372</v>
      </c>
      <c r="J1135" s="5">
        <v>24</v>
      </c>
      <c r="K1135" s="5" t="s">
        <v>292</v>
      </c>
      <c r="L1135" s="5" t="s">
        <v>2491</v>
      </c>
      <c r="M1135" s="5">
        <v>62</v>
      </c>
      <c r="N1135" s="5" t="s">
        <v>3361</v>
      </c>
      <c r="O1135" s="5" t="s">
        <v>574</v>
      </c>
      <c r="Q1135" s="5" t="s">
        <v>2086</v>
      </c>
      <c r="R1135" s="6"/>
      <c r="S1135" s="6"/>
    </row>
    <row r="1136" spans="1:21" x14ac:dyDescent="0.2">
      <c r="A1136" s="5"/>
      <c r="B1136" s="8" t="s">
        <v>3373</v>
      </c>
      <c r="H1136" s="8" t="s">
        <v>3374</v>
      </c>
      <c r="I1136" s="8" t="s">
        <v>3374</v>
      </c>
      <c r="J1136" s="5">
        <f>67</f>
        <v>67</v>
      </c>
      <c r="K1136" s="5" t="s">
        <v>292</v>
      </c>
      <c r="L1136" s="5" t="s">
        <v>2491</v>
      </c>
      <c r="M1136" s="5">
        <v>62</v>
      </c>
      <c r="N1136" s="5" t="s">
        <v>3361</v>
      </c>
      <c r="Q1136" s="107" t="s">
        <v>1670</v>
      </c>
      <c r="R1136" s="6"/>
      <c r="S1136" s="6"/>
    </row>
    <row r="1137" spans="1:19" x14ac:dyDescent="0.2">
      <c r="A1137" s="5"/>
      <c r="B1137" s="8" t="s">
        <v>3375</v>
      </c>
      <c r="H1137" s="8" t="s">
        <v>3376</v>
      </c>
      <c r="I1137" s="8" t="s">
        <v>3376</v>
      </c>
      <c r="J1137" s="5">
        <f>35+40</f>
        <v>75</v>
      </c>
      <c r="K1137" s="5" t="s">
        <v>292</v>
      </c>
      <c r="L1137" s="5" t="s">
        <v>2491</v>
      </c>
      <c r="M1137" s="5">
        <v>62</v>
      </c>
      <c r="N1137" s="5" t="s">
        <v>3361</v>
      </c>
      <c r="Q1137" s="107" t="s">
        <v>1670</v>
      </c>
      <c r="R1137" s="6"/>
      <c r="S1137" s="6" t="s">
        <v>328</v>
      </c>
    </row>
    <row r="1138" spans="1:19" x14ac:dyDescent="0.2">
      <c r="A1138" s="5">
        <v>1573</v>
      </c>
      <c r="B1138" s="8" t="s">
        <v>3377</v>
      </c>
      <c r="D1138" s="8" t="s">
        <v>3216</v>
      </c>
      <c r="E1138" s="24">
        <v>43687</v>
      </c>
      <c r="F1138" s="8" t="s">
        <v>259</v>
      </c>
      <c r="G1138" s="8" t="s">
        <v>260</v>
      </c>
      <c r="H1138" s="8" t="s">
        <v>3378</v>
      </c>
      <c r="I1138" s="8" t="s">
        <v>3379</v>
      </c>
      <c r="J1138" s="5">
        <f>0</f>
        <v>0</v>
      </c>
      <c r="K1138" s="5" t="s">
        <v>292</v>
      </c>
      <c r="L1138" s="5" t="s">
        <v>2491</v>
      </c>
      <c r="M1138" s="5">
        <v>63</v>
      </c>
      <c r="N1138" s="5" t="s">
        <v>3219</v>
      </c>
      <c r="O1138" s="5" t="s">
        <v>574</v>
      </c>
      <c r="Q1138" s="10" t="s">
        <v>553</v>
      </c>
      <c r="R1138" s="6"/>
      <c r="S1138" s="6"/>
    </row>
    <row r="1139" spans="1:19" x14ac:dyDescent="0.2">
      <c r="A1139" s="5">
        <v>1574</v>
      </c>
      <c r="B1139" s="8" t="s">
        <v>3380</v>
      </c>
      <c r="H1139" s="8" t="s">
        <v>3218</v>
      </c>
      <c r="I1139" s="8" t="s">
        <v>3381</v>
      </c>
      <c r="J1139" s="5">
        <f>26-1</f>
        <v>25</v>
      </c>
      <c r="K1139" s="5" t="s">
        <v>292</v>
      </c>
      <c r="L1139" s="5" t="s">
        <v>2491</v>
      </c>
      <c r="M1139" s="5">
        <v>63</v>
      </c>
      <c r="N1139" s="5" t="s">
        <v>3219</v>
      </c>
      <c r="O1139" s="5" t="s">
        <v>574</v>
      </c>
      <c r="Q1139" s="5" t="s">
        <v>3382</v>
      </c>
      <c r="R1139" s="6"/>
      <c r="S1139" s="6"/>
    </row>
    <row r="1140" spans="1:19" x14ac:dyDescent="0.2">
      <c r="A1140" s="5">
        <v>1498</v>
      </c>
      <c r="B1140" s="8" t="s">
        <v>3383</v>
      </c>
      <c r="C1140" s="8" t="s">
        <v>3384</v>
      </c>
      <c r="D1140" s="8" t="s">
        <v>3385</v>
      </c>
      <c r="E1140" s="24">
        <v>43673</v>
      </c>
      <c r="F1140" s="8" t="s">
        <v>259</v>
      </c>
      <c r="G1140" s="8" t="s">
        <v>260</v>
      </c>
      <c r="H1140" s="8" t="s">
        <v>3386</v>
      </c>
      <c r="I1140" s="8" t="s">
        <v>3387</v>
      </c>
      <c r="J1140" s="5">
        <v>1</v>
      </c>
      <c r="K1140" s="5" t="s">
        <v>292</v>
      </c>
      <c r="L1140" s="5" t="s">
        <v>2491</v>
      </c>
      <c r="M1140" s="5">
        <v>64</v>
      </c>
      <c r="N1140" s="5" t="s">
        <v>805</v>
      </c>
      <c r="O1140" s="5" t="s">
        <v>574</v>
      </c>
      <c r="Q1140" s="5" t="s">
        <v>1293</v>
      </c>
      <c r="R1140" s="6"/>
      <c r="S1140" s="6"/>
    </row>
    <row r="1141" spans="1:19" x14ac:dyDescent="0.2">
      <c r="A1141" s="5">
        <v>1499</v>
      </c>
      <c r="B1141" s="8">
        <v>1204592</v>
      </c>
      <c r="H1141" s="8" t="s">
        <v>3388</v>
      </c>
      <c r="I1141" s="8" t="s">
        <v>3388</v>
      </c>
      <c r="J1141" s="5">
        <v>4</v>
      </c>
      <c r="K1141" s="5" t="s">
        <v>292</v>
      </c>
      <c r="L1141" s="5" t="s">
        <v>2491</v>
      </c>
      <c r="M1141" s="5">
        <v>64</v>
      </c>
      <c r="N1141" s="5" t="s">
        <v>805</v>
      </c>
      <c r="O1141" s="5" t="s">
        <v>574</v>
      </c>
      <c r="Q1141" s="5" t="s">
        <v>3389</v>
      </c>
      <c r="R1141" s="6"/>
      <c r="S1141" s="6" t="s">
        <v>328</v>
      </c>
    </row>
    <row r="1142" spans="1:19" x14ac:dyDescent="0.2">
      <c r="A1142" s="5">
        <v>1500</v>
      </c>
      <c r="B1142" s="8">
        <v>1133823</v>
      </c>
      <c r="H1142" s="8" t="s">
        <v>3390</v>
      </c>
      <c r="I1142" s="8" t="s">
        <v>3390</v>
      </c>
      <c r="J1142" s="5">
        <v>162</v>
      </c>
      <c r="K1142" s="5" t="s">
        <v>292</v>
      </c>
      <c r="L1142" s="5" t="s">
        <v>2491</v>
      </c>
      <c r="M1142" s="5">
        <v>64</v>
      </c>
      <c r="N1142" s="5" t="s">
        <v>805</v>
      </c>
      <c r="O1142" s="5" t="s">
        <v>574</v>
      </c>
      <c r="Q1142" s="10" t="s">
        <v>553</v>
      </c>
    </row>
    <row r="1143" spans="1:19" x14ac:dyDescent="0.2">
      <c r="A1143" s="5"/>
      <c r="B1143" s="8" t="s">
        <v>3391</v>
      </c>
      <c r="H1143" s="8" t="s">
        <v>3392</v>
      </c>
      <c r="I1143" s="8" t="s">
        <v>3393</v>
      </c>
      <c r="J1143" s="5">
        <f>333-200-100</f>
        <v>33</v>
      </c>
      <c r="K1143" s="5" t="s">
        <v>292</v>
      </c>
      <c r="L1143" s="5" t="s">
        <v>2491</v>
      </c>
      <c r="M1143" s="5">
        <v>65</v>
      </c>
      <c r="N1143" s="5" t="s">
        <v>81</v>
      </c>
      <c r="Q1143" s="107" t="s">
        <v>1800</v>
      </c>
    </row>
    <row r="1144" spans="1:19" x14ac:dyDescent="0.2">
      <c r="A1144" s="5"/>
      <c r="B1144" s="8" t="s">
        <v>3394</v>
      </c>
      <c r="H1144" s="8" t="s">
        <v>3395</v>
      </c>
      <c r="I1144" s="8" t="s">
        <v>3396</v>
      </c>
      <c r="J1144" s="5">
        <f>1216-4-10-4-638-4-4+468</f>
        <v>1020</v>
      </c>
      <c r="K1144" s="5" t="s">
        <v>292</v>
      </c>
      <c r="L1144" s="5" t="s">
        <v>2491</v>
      </c>
      <c r="M1144" s="5">
        <v>65</v>
      </c>
      <c r="N1144" s="5" t="s">
        <v>81</v>
      </c>
      <c r="Q1144" s="107" t="s">
        <v>1800</v>
      </c>
    </row>
    <row r="1145" spans="1:19" x14ac:dyDescent="0.2">
      <c r="A1145" s="5"/>
      <c r="B1145" s="8" t="s">
        <v>3397</v>
      </c>
      <c r="H1145" s="8" t="s">
        <v>3398</v>
      </c>
      <c r="I1145" s="8" t="s">
        <v>3399</v>
      </c>
      <c r="J1145" s="5">
        <f>100-4-4-4-4-4-8</f>
        <v>72</v>
      </c>
      <c r="K1145" s="5" t="s">
        <v>292</v>
      </c>
      <c r="L1145" s="5" t="s">
        <v>2491</v>
      </c>
      <c r="M1145" s="5">
        <v>65</v>
      </c>
      <c r="N1145" s="5" t="s">
        <v>81</v>
      </c>
      <c r="Q1145" s="107" t="s">
        <v>3400</v>
      </c>
    </row>
    <row r="1146" spans="1:19" x14ac:dyDescent="0.2">
      <c r="A1146" s="5"/>
      <c r="B1146" s="8" t="s">
        <v>3401</v>
      </c>
      <c r="H1146" s="8" t="s">
        <v>3402</v>
      </c>
      <c r="I1146" s="8" t="s">
        <v>3403</v>
      </c>
      <c r="J1146" s="5">
        <f>168-32</f>
        <v>136</v>
      </c>
      <c r="K1146" s="5" t="s">
        <v>292</v>
      </c>
      <c r="L1146" s="5" t="s">
        <v>2491</v>
      </c>
      <c r="M1146" s="5">
        <v>65</v>
      </c>
      <c r="N1146" s="5" t="s">
        <v>81</v>
      </c>
      <c r="Q1146" s="107" t="s">
        <v>3404</v>
      </c>
      <c r="R1146" s="6"/>
      <c r="S1146" s="6"/>
    </row>
    <row r="1147" spans="1:19" x14ac:dyDescent="0.2">
      <c r="A1147" s="5">
        <v>2071</v>
      </c>
      <c r="B1147" s="8" t="s">
        <v>3405</v>
      </c>
      <c r="H1147" s="8" t="s">
        <v>3406</v>
      </c>
      <c r="I1147" s="8" t="s">
        <v>3407</v>
      </c>
      <c r="J1147" s="5">
        <v>3</v>
      </c>
      <c r="K1147" s="5" t="s">
        <v>292</v>
      </c>
      <c r="L1147" s="5" t="s">
        <v>2491</v>
      </c>
      <c r="M1147" s="5">
        <v>65</v>
      </c>
      <c r="N1147" s="5" t="s">
        <v>805</v>
      </c>
      <c r="O1147" s="5" t="s">
        <v>574</v>
      </c>
      <c r="Q1147" s="5" t="s">
        <v>2081</v>
      </c>
      <c r="R1147" s="6"/>
      <c r="S1147" s="6"/>
    </row>
    <row r="1148" spans="1:19" x14ac:dyDescent="0.2">
      <c r="A1148" s="5">
        <v>2073</v>
      </c>
      <c r="B1148" s="8" t="s">
        <v>3408</v>
      </c>
      <c r="H1148" s="8" t="s">
        <v>3409</v>
      </c>
      <c r="I1148" s="8" t="s">
        <v>3410</v>
      </c>
      <c r="J1148" s="5">
        <v>9</v>
      </c>
      <c r="K1148" s="5" t="s">
        <v>292</v>
      </c>
      <c r="L1148" s="5" t="s">
        <v>2491</v>
      </c>
      <c r="M1148" s="5">
        <v>65</v>
      </c>
      <c r="N1148" s="5" t="s">
        <v>805</v>
      </c>
      <c r="O1148" s="5" t="s">
        <v>574</v>
      </c>
      <c r="Q1148" s="5" t="s">
        <v>2327</v>
      </c>
    </row>
    <row r="1149" spans="1:19" x14ac:dyDescent="0.2">
      <c r="A1149" s="5">
        <v>2063</v>
      </c>
      <c r="B1149" s="8" t="s">
        <v>3411</v>
      </c>
      <c r="H1149" s="8" t="s">
        <v>3412</v>
      </c>
      <c r="I1149" s="8" t="s">
        <v>3413</v>
      </c>
      <c r="J1149" s="5">
        <f>100-2-20-15-10+1-22-20-8</f>
        <v>4</v>
      </c>
      <c r="K1149" s="5" t="s">
        <v>292</v>
      </c>
      <c r="L1149" s="5" t="s">
        <v>2491</v>
      </c>
      <c r="M1149" s="5">
        <v>65</v>
      </c>
      <c r="N1149" s="5" t="s">
        <v>805</v>
      </c>
      <c r="O1149" s="5" t="s">
        <v>574</v>
      </c>
      <c r="Q1149" s="5" t="s">
        <v>3414</v>
      </c>
      <c r="R1149" s="6"/>
      <c r="S1149" s="6"/>
    </row>
    <row r="1150" spans="1:19" x14ac:dyDescent="0.2">
      <c r="A1150" s="5">
        <v>2063</v>
      </c>
      <c r="B1150" s="8" t="s">
        <v>3415</v>
      </c>
      <c r="H1150" s="8" t="s">
        <v>3416</v>
      </c>
      <c r="I1150" s="206" t="s">
        <v>3417</v>
      </c>
      <c r="J1150" s="5">
        <f>0+30-30</f>
        <v>0</v>
      </c>
      <c r="K1150" s="5" t="s">
        <v>292</v>
      </c>
      <c r="L1150" s="5" t="s">
        <v>2491</v>
      </c>
      <c r="M1150" s="5">
        <v>65</v>
      </c>
      <c r="N1150" s="5" t="s">
        <v>805</v>
      </c>
      <c r="O1150" s="5" t="s">
        <v>574</v>
      </c>
      <c r="Q1150" s="5" t="s">
        <v>3414</v>
      </c>
      <c r="R1150" s="6"/>
      <c r="S1150" s="6"/>
    </row>
    <row r="1151" spans="1:19" x14ac:dyDescent="0.2">
      <c r="A1151" s="5">
        <v>2342</v>
      </c>
      <c r="B1151" s="8" t="s">
        <v>3418</v>
      </c>
      <c r="H1151" s="8" t="s">
        <v>3419</v>
      </c>
      <c r="I1151" s="8" t="s">
        <v>3420</v>
      </c>
      <c r="J1151" s="5">
        <f>36-5</f>
        <v>31</v>
      </c>
      <c r="K1151" s="5" t="s">
        <v>292</v>
      </c>
      <c r="L1151" s="5" t="s">
        <v>2491</v>
      </c>
      <c r="M1151" s="5">
        <v>65</v>
      </c>
      <c r="N1151" s="5" t="s">
        <v>43</v>
      </c>
    </row>
    <row r="1152" spans="1:19" x14ac:dyDescent="0.2">
      <c r="A1152" s="5">
        <v>2067</v>
      </c>
      <c r="B1152" s="8" t="s">
        <v>3421</v>
      </c>
      <c r="H1152" s="8" t="s">
        <v>3422</v>
      </c>
      <c r="I1152" s="8" t="s">
        <v>3423</v>
      </c>
      <c r="J1152" s="5">
        <v>99</v>
      </c>
      <c r="K1152" s="5" t="s">
        <v>292</v>
      </c>
      <c r="L1152" s="5" t="s">
        <v>2491</v>
      </c>
      <c r="M1152" s="5">
        <v>65</v>
      </c>
      <c r="N1152" s="5" t="s">
        <v>805</v>
      </c>
      <c r="O1152" s="5" t="s">
        <v>574</v>
      </c>
      <c r="Q1152" s="5" t="s">
        <v>3424</v>
      </c>
      <c r="R1152" s="6"/>
      <c r="S1152" s="6"/>
    </row>
    <row r="1153" spans="1:19" x14ac:dyDescent="0.2">
      <c r="A1153" s="5">
        <v>2064</v>
      </c>
      <c r="B1153" s="8" t="s">
        <v>3425</v>
      </c>
      <c r="H1153" s="8" t="s">
        <v>3426</v>
      </c>
      <c r="I1153" s="8" t="s">
        <v>3427</v>
      </c>
      <c r="J1153" s="5">
        <f>137-10-10-22-20+6-8</f>
        <v>73</v>
      </c>
      <c r="K1153" s="5" t="s">
        <v>292</v>
      </c>
      <c r="L1153" s="5" t="s">
        <v>2491</v>
      </c>
      <c r="M1153" s="5">
        <v>65</v>
      </c>
      <c r="N1153" s="5" t="s">
        <v>805</v>
      </c>
      <c r="O1153" s="5" t="s">
        <v>574</v>
      </c>
      <c r="Q1153" s="5" t="s">
        <v>3428</v>
      </c>
      <c r="R1153" s="6"/>
      <c r="S1153" s="6"/>
    </row>
    <row r="1154" spans="1:19" x14ac:dyDescent="0.2">
      <c r="A1154" s="5">
        <v>2062</v>
      </c>
      <c r="B1154" s="8" t="s">
        <v>3429</v>
      </c>
      <c r="H1154" s="8" t="s">
        <v>3430</v>
      </c>
      <c r="I1154" s="8" t="s">
        <v>3431</v>
      </c>
      <c r="J1154" s="5">
        <f>88-24-50-14</f>
        <v>0</v>
      </c>
      <c r="K1154" s="5" t="s">
        <v>292</v>
      </c>
      <c r="L1154" s="5" t="s">
        <v>2491</v>
      </c>
      <c r="M1154" s="5">
        <v>65</v>
      </c>
      <c r="N1154" s="5" t="s">
        <v>805</v>
      </c>
      <c r="O1154" s="5" t="s">
        <v>574</v>
      </c>
      <c r="Q1154" s="5" t="s">
        <v>3432</v>
      </c>
      <c r="R1154" s="6"/>
      <c r="S1154" s="6"/>
    </row>
    <row r="1155" spans="1:19" x14ac:dyDescent="0.2">
      <c r="A1155" s="5">
        <v>1350</v>
      </c>
      <c r="B1155" s="8" t="s">
        <v>3433</v>
      </c>
      <c r="H1155" s="8" t="s">
        <v>3434</v>
      </c>
      <c r="I1155" s="8" t="s">
        <v>3435</v>
      </c>
      <c r="J1155" s="5">
        <f>80-50</f>
        <v>30</v>
      </c>
      <c r="K1155" s="5" t="s">
        <v>292</v>
      </c>
      <c r="L1155" s="5" t="s">
        <v>2491</v>
      </c>
      <c r="M1155" s="5">
        <v>65</v>
      </c>
      <c r="N1155" s="5" t="s">
        <v>81</v>
      </c>
      <c r="O1155" s="5" t="s">
        <v>520</v>
      </c>
      <c r="Q1155" s="5" t="s">
        <v>3436</v>
      </c>
      <c r="R1155" s="6"/>
      <c r="S1155" s="6"/>
    </row>
    <row r="1156" spans="1:19" x14ac:dyDescent="0.2">
      <c r="A1156" s="5"/>
      <c r="B1156" s="11" t="s">
        <v>3437</v>
      </c>
      <c r="H1156" s="8" t="s">
        <v>3438</v>
      </c>
      <c r="I1156" s="8" t="s">
        <v>3438</v>
      </c>
      <c r="J1156" s="5">
        <f>0+320-300</f>
        <v>20</v>
      </c>
      <c r="K1156" s="5" t="s">
        <v>292</v>
      </c>
      <c r="L1156" s="5" t="s">
        <v>2491</v>
      </c>
      <c r="M1156" s="5">
        <v>65</v>
      </c>
      <c r="Q1156" s="5" t="s">
        <v>977</v>
      </c>
      <c r="R1156" s="6"/>
      <c r="S1156" s="6"/>
    </row>
    <row r="1157" spans="1:19" x14ac:dyDescent="0.2">
      <c r="A1157" s="5"/>
      <c r="B1157" s="8" t="s">
        <v>3439</v>
      </c>
      <c r="H1157" s="8" t="s">
        <v>3440</v>
      </c>
      <c r="I1157" s="8" t="s">
        <v>3441</v>
      </c>
      <c r="J1157" s="5">
        <f>376-80</f>
        <v>296</v>
      </c>
      <c r="K1157" s="5" t="s">
        <v>292</v>
      </c>
      <c r="L1157" s="5" t="s">
        <v>2491</v>
      </c>
      <c r="M1157" s="5">
        <v>65</v>
      </c>
      <c r="N1157" s="5" t="s">
        <v>805</v>
      </c>
      <c r="Q1157" s="107" t="s">
        <v>2084</v>
      </c>
      <c r="R1157" s="6"/>
      <c r="S1157" s="6"/>
    </row>
    <row r="1158" spans="1:19" x14ac:dyDescent="0.2">
      <c r="A1158" s="5">
        <v>1349</v>
      </c>
      <c r="B1158" s="8" t="s">
        <v>3442</v>
      </c>
      <c r="C1158" s="8" t="s">
        <v>3443</v>
      </c>
      <c r="D1158" s="8" t="s">
        <v>384</v>
      </c>
      <c r="E1158" s="24" t="s">
        <v>3444</v>
      </c>
      <c r="F1158" s="8" t="s">
        <v>259</v>
      </c>
      <c r="G1158" s="8" t="s">
        <v>375</v>
      </c>
      <c r="H1158" s="8" t="s">
        <v>3445</v>
      </c>
      <c r="I1158" s="8" t="s">
        <v>3446</v>
      </c>
      <c r="J1158" s="5">
        <f>397-2-2-2-4-70-113-68+100+137-2-312-4-30-25</f>
        <v>0</v>
      </c>
      <c r="K1158" s="5" t="s">
        <v>292</v>
      </c>
      <c r="L1158" s="5" t="s">
        <v>2491</v>
      </c>
      <c r="M1158" s="5">
        <v>65</v>
      </c>
      <c r="N1158" s="5" t="s">
        <v>81</v>
      </c>
      <c r="O1158" s="5" t="s">
        <v>520</v>
      </c>
      <c r="Q1158" s="5" t="s">
        <v>3447</v>
      </c>
    </row>
    <row r="1159" spans="1:19" x14ac:dyDescent="0.2">
      <c r="A1159" s="5"/>
      <c r="B1159" s="8" t="s">
        <v>3448</v>
      </c>
      <c r="H1159" s="8" t="s">
        <v>3449</v>
      </c>
      <c r="I1159" s="8" t="s">
        <v>3450</v>
      </c>
      <c r="J1159" s="5">
        <f>40+20</f>
        <v>60</v>
      </c>
      <c r="K1159" s="5" t="s">
        <v>21</v>
      </c>
      <c r="L1159" s="5" t="s">
        <v>2491</v>
      </c>
      <c r="M1159" s="5">
        <v>65</v>
      </c>
      <c r="Q1159" s="107"/>
      <c r="R1159" s="6"/>
      <c r="S1159" s="6"/>
    </row>
    <row r="1160" spans="1:19" x14ac:dyDescent="0.2">
      <c r="A1160" s="5">
        <v>2072</v>
      </c>
      <c r="B1160" s="8" t="s">
        <v>3451</v>
      </c>
      <c r="H1160" s="8" t="s">
        <v>3452</v>
      </c>
      <c r="I1160" s="8" t="s">
        <v>3453</v>
      </c>
      <c r="J1160" s="5">
        <f>4-1-1-1+50-1-1-1-20</f>
        <v>28</v>
      </c>
      <c r="K1160" s="5" t="s">
        <v>292</v>
      </c>
      <c r="L1160" s="5" t="s">
        <v>2491</v>
      </c>
      <c r="M1160" s="5">
        <v>65</v>
      </c>
      <c r="N1160" s="5" t="s">
        <v>805</v>
      </c>
      <c r="O1160" s="5" t="s">
        <v>574</v>
      </c>
      <c r="Q1160" s="5" t="s">
        <v>3447</v>
      </c>
      <c r="R1160" s="6"/>
      <c r="S1160" s="6"/>
    </row>
    <row r="1161" spans="1:19" x14ac:dyDescent="0.2">
      <c r="A1161" s="5"/>
      <c r="B1161" s="8">
        <v>436400200</v>
      </c>
      <c r="H1161" s="8" t="s">
        <v>3454</v>
      </c>
      <c r="I1161" s="8" t="s">
        <v>3455</v>
      </c>
      <c r="J1161" s="5">
        <f>98-20</f>
        <v>78</v>
      </c>
      <c r="K1161" s="5" t="s">
        <v>292</v>
      </c>
      <c r="L1161" s="5" t="s">
        <v>2491</v>
      </c>
      <c r="M1161" s="5">
        <v>65</v>
      </c>
      <c r="N1161" s="5" t="s">
        <v>805</v>
      </c>
      <c r="R1161" s="6"/>
      <c r="S1161" s="6"/>
    </row>
    <row r="1162" spans="1:19" x14ac:dyDescent="0.2">
      <c r="A1162" s="5">
        <v>2065</v>
      </c>
      <c r="B1162" s="8" t="s">
        <v>3456</v>
      </c>
      <c r="H1162" s="8" t="s">
        <v>3457</v>
      </c>
      <c r="I1162" s="8" t="s">
        <v>3458</v>
      </c>
      <c r="J1162" s="5">
        <f>93-20-30+500-76-20-43-100+72-100</f>
        <v>276</v>
      </c>
      <c r="K1162" s="5" t="s">
        <v>292</v>
      </c>
      <c r="L1162" s="5" t="s">
        <v>2491</v>
      </c>
      <c r="M1162" s="5">
        <v>65</v>
      </c>
      <c r="N1162" s="5" t="s">
        <v>805</v>
      </c>
      <c r="O1162" s="5" t="s">
        <v>574</v>
      </c>
      <c r="Q1162" s="5" t="s">
        <v>3459</v>
      </c>
      <c r="R1162" s="6"/>
      <c r="S1162" s="6"/>
    </row>
    <row r="1163" spans="1:19" x14ac:dyDescent="0.2">
      <c r="A1163" s="5">
        <v>2066</v>
      </c>
      <c r="B1163" s="8" t="s">
        <v>3460</v>
      </c>
      <c r="H1163" s="8" t="s">
        <v>3461</v>
      </c>
      <c r="I1163" s="8" t="s">
        <v>3462</v>
      </c>
      <c r="J1163" s="5">
        <f>3-1+500-1-1-1-20</f>
        <v>479</v>
      </c>
      <c r="K1163" s="5" t="s">
        <v>292</v>
      </c>
      <c r="L1163" s="5" t="s">
        <v>2491</v>
      </c>
      <c r="M1163" s="5">
        <v>65</v>
      </c>
      <c r="N1163" s="5" t="s">
        <v>805</v>
      </c>
      <c r="O1163" s="5" t="s">
        <v>574</v>
      </c>
      <c r="Q1163" s="5" t="s">
        <v>3447</v>
      </c>
      <c r="R1163" s="6"/>
      <c r="S1163" s="6"/>
    </row>
    <row r="1164" spans="1:19" x14ac:dyDescent="0.2">
      <c r="A1164" s="5">
        <v>2070</v>
      </c>
      <c r="B1164" s="8" t="s">
        <v>3463</v>
      </c>
      <c r="H1164" s="8" t="s">
        <v>3464</v>
      </c>
      <c r="I1164" s="8" t="s">
        <v>3465</v>
      </c>
      <c r="J1164" s="5">
        <f>124-20-4-76-20-4+66-50</f>
        <v>16</v>
      </c>
      <c r="K1164" s="5" t="s">
        <v>292</v>
      </c>
      <c r="L1164" s="5" t="s">
        <v>2491</v>
      </c>
      <c r="M1164" s="5">
        <v>65</v>
      </c>
      <c r="N1164" s="5" t="s">
        <v>805</v>
      </c>
      <c r="O1164" s="5" t="s">
        <v>574</v>
      </c>
      <c r="Q1164" s="5" t="s">
        <v>3428</v>
      </c>
      <c r="R1164" s="6"/>
      <c r="S1164" s="6"/>
    </row>
    <row r="1165" spans="1:19" x14ac:dyDescent="0.2">
      <c r="A1165" s="5"/>
      <c r="B1165" s="8" t="s">
        <v>3466</v>
      </c>
      <c r="I1165" s="8" t="s">
        <v>3467</v>
      </c>
      <c r="J1165" s="5">
        <f>30</f>
        <v>30</v>
      </c>
      <c r="K1165" s="5" t="s">
        <v>292</v>
      </c>
      <c r="L1165" s="5" t="s">
        <v>2491</v>
      </c>
      <c r="M1165" s="5">
        <v>65</v>
      </c>
      <c r="R1165" s="6"/>
      <c r="S1165" s="6"/>
    </row>
    <row r="1166" spans="1:19" x14ac:dyDescent="0.2">
      <c r="A1166" s="5"/>
      <c r="B1166" s="8">
        <v>781720411</v>
      </c>
      <c r="I1166" s="8" t="s">
        <v>3468</v>
      </c>
      <c r="J1166" s="5">
        <f>500</f>
        <v>500</v>
      </c>
      <c r="K1166" s="5" t="s">
        <v>292</v>
      </c>
      <c r="L1166" s="5" t="s">
        <v>2491</v>
      </c>
      <c r="M1166" s="5">
        <v>65</v>
      </c>
      <c r="R1166" s="6"/>
      <c r="S1166" s="6"/>
    </row>
    <row r="1167" spans="1:19" x14ac:dyDescent="0.2">
      <c r="A1167" s="5"/>
      <c r="B1167" s="8">
        <v>781720003</v>
      </c>
      <c r="I1167" s="8" t="s">
        <v>3469</v>
      </c>
      <c r="J1167" s="5">
        <f>100</f>
        <v>100</v>
      </c>
      <c r="K1167" s="5" t="s">
        <v>292</v>
      </c>
      <c r="L1167" s="5" t="s">
        <v>2491</v>
      </c>
      <c r="M1167" s="5">
        <v>65</v>
      </c>
      <c r="R1167" s="6"/>
      <c r="S1167" s="6"/>
    </row>
    <row r="1168" spans="1:19" x14ac:dyDescent="0.2">
      <c r="A1168" s="5"/>
      <c r="B1168" s="8" t="s">
        <v>3470</v>
      </c>
      <c r="I1168" s="8" t="s">
        <v>3471</v>
      </c>
      <c r="J1168" s="5">
        <f>30</f>
        <v>30</v>
      </c>
      <c r="K1168" s="5" t="s">
        <v>292</v>
      </c>
      <c r="L1168" s="5" t="s">
        <v>2491</v>
      </c>
      <c r="M1168" s="5">
        <v>65</v>
      </c>
      <c r="N1168" s="5" t="s">
        <v>805</v>
      </c>
      <c r="Q1168" s="207" t="s">
        <v>3472</v>
      </c>
      <c r="R1168" s="6"/>
      <c r="S1168" s="6"/>
    </row>
    <row r="1169" spans="1:19" x14ac:dyDescent="0.2">
      <c r="A1169" s="5"/>
      <c r="B1169" s="8" t="s">
        <v>3473</v>
      </c>
      <c r="I1169" s="8" t="s">
        <v>3474</v>
      </c>
      <c r="J1169" s="5">
        <f>30</f>
        <v>30</v>
      </c>
      <c r="K1169" s="5" t="s">
        <v>292</v>
      </c>
      <c r="L1169" s="5" t="s">
        <v>2491</v>
      </c>
      <c r="M1169" s="5">
        <v>65</v>
      </c>
      <c r="N1169" s="5" t="s">
        <v>805</v>
      </c>
      <c r="Q1169" s="207" t="s">
        <v>3472</v>
      </c>
      <c r="R1169" s="6"/>
      <c r="S1169" s="6"/>
    </row>
    <row r="1170" spans="1:19" x14ac:dyDescent="0.2">
      <c r="A1170" s="5">
        <v>1389</v>
      </c>
      <c r="B1170" s="8" t="s">
        <v>3475</v>
      </c>
      <c r="H1170" s="8" t="s">
        <v>3476</v>
      </c>
      <c r="I1170" s="8" t="s">
        <v>3476</v>
      </c>
      <c r="J1170" s="5">
        <v>14</v>
      </c>
      <c r="K1170" s="5" t="s">
        <v>292</v>
      </c>
      <c r="L1170" s="5" t="s">
        <v>2491</v>
      </c>
      <c r="M1170" s="5">
        <v>66</v>
      </c>
      <c r="N1170" s="5" t="s">
        <v>3331</v>
      </c>
      <c r="O1170" s="5" t="s">
        <v>574</v>
      </c>
      <c r="Q1170" s="5" t="s">
        <v>3477</v>
      </c>
      <c r="R1170" s="6"/>
      <c r="S1170" s="6" t="s">
        <v>328</v>
      </c>
    </row>
    <row r="1171" spans="1:19" x14ac:dyDescent="0.2">
      <c r="A1171" s="5">
        <v>1390</v>
      </c>
      <c r="B1171" s="8" t="s">
        <v>3478</v>
      </c>
      <c r="H1171" s="8" t="s">
        <v>3479</v>
      </c>
      <c r="I1171" s="8" t="s">
        <v>3479</v>
      </c>
      <c r="J1171" s="5">
        <v>1</v>
      </c>
      <c r="K1171" s="5" t="s">
        <v>292</v>
      </c>
      <c r="L1171" s="5" t="s">
        <v>2491</v>
      </c>
      <c r="M1171" s="5">
        <v>66</v>
      </c>
      <c r="N1171" s="5" t="s">
        <v>3480</v>
      </c>
      <c r="O1171" s="5" t="s">
        <v>574</v>
      </c>
      <c r="Q1171" s="10" t="s">
        <v>553</v>
      </c>
      <c r="R1171" s="6"/>
      <c r="S1171" s="6" t="s">
        <v>328</v>
      </c>
    </row>
    <row r="1172" spans="1:19" x14ac:dyDescent="0.2">
      <c r="A1172" s="5">
        <v>1391</v>
      </c>
      <c r="B1172" s="8" t="s">
        <v>3481</v>
      </c>
      <c r="H1172" s="8" t="s">
        <v>3482</v>
      </c>
      <c r="I1172" s="8" t="s">
        <v>3482</v>
      </c>
      <c r="J1172" s="5">
        <f>7-2</f>
        <v>5</v>
      </c>
      <c r="K1172" s="5" t="s">
        <v>292</v>
      </c>
      <c r="L1172" s="5" t="s">
        <v>2491</v>
      </c>
      <c r="M1172" s="5">
        <v>66</v>
      </c>
      <c r="N1172" s="5" t="s">
        <v>3331</v>
      </c>
      <c r="O1172" s="5" t="s">
        <v>574</v>
      </c>
      <c r="Q1172" s="10" t="s">
        <v>553</v>
      </c>
      <c r="R1172" s="6"/>
      <c r="S1172" s="6" t="s">
        <v>328</v>
      </c>
    </row>
    <row r="1173" spans="1:19" x14ac:dyDescent="0.2">
      <c r="A1173" s="5">
        <v>2092</v>
      </c>
      <c r="B1173" s="8" t="s">
        <v>3483</v>
      </c>
      <c r="H1173" s="8" t="s">
        <v>3484</v>
      </c>
      <c r="I1173" s="8" t="s">
        <v>3484</v>
      </c>
      <c r="J1173" s="5">
        <v>1</v>
      </c>
      <c r="K1173" s="5" t="s">
        <v>292</v>
      </c>
      <c r="L1173" s="5" t="s">
        <v>2491</v>
      </c>
      <c r="M1173" s="5">
        <v>66</v>
      </c>
      <c r="N1173" s="5" t="s">
        <v>3338</v>
      </c>
      <c r="O1173" s="5" t="s">
        <v>574</v>
      </c>
      <c r="Q1173" s="10" t="s">
        <v>553</v>
      </c>
      <c r="R1173" s="6"/>
      <c r="S1173" s="6"/>
    </row>
    <row r="1174" spans="1:19" x14ac:dyDescent="0.2">
      <c r="A1174" s="5">
        <v>1534</v>
      </c>
      <c r="B1174" s="8" t="s">
        <v>3485</v>
      </c>
      <c r="C1174" s="8" t="s">
        <v>3486</v>
      </c>
      <c r="D1174" s="8" t="s">
        <v>3487</v>
      </c>
      <c r="E1174" s="24">
        <v>43687</v>
      </c>
      <c r="F1174" s="8" t="s">
        <v>259</v>
      </c>
      <c r="G1174" s="8" t="s">
        <v>276</v>
      </c>
      <c r="H1174" s="8" t="s">
        <v>3488</v>
      </c>
      <c r="I1174" s="8" t="s">
        <v>3489</v>
      </c>
      <c r="J1174" s="5">
        <f>7</f>
        <v>7</v>
      </c>
      <c r="K1174" s="5" t="s">
        <v>292</v>
      </c>
      <c r="L1174" s="5" t="s">
        <v>2491</v>
      </c>
      <c r="M1174" s="5">
        <v>67</v>
      </c>
      <c r="N1174" s="5" t="s">
        <v>3219</v>
      </c>
      <c r="O1174" s="5" t="s">
        <v>574</v>
      </c>
      <c r="Q1174" s="5" t="s">
        <v>3285</v>
      </c>
      <c r="R1174" s="6"/>
      <c r="S1174" s="6" t="s">
        <v>328</v>
      </c>
    </row>
    <row r="1175" spans="1:19" x14ac:dyDescent="0.2">
      <c r="A1175" s="5">
        <v>1535</v>
      </c>
      <c r="B1175" s="8" t="s">
        <v>3490</v>
      </c>
      <c r="H1175" s="8" t="s">
        <v>3218</v>
      </c>
      <c r="I1175" s="8" t="s">
        <v>3491</v>
      </c>
      <c r="J1175" s="5">
        <v>4</v>
      </c>
      <c r="K1175" s="5" t="s">
        <v>292</v>
      </c>
      <c r="L1175" s="5" t="s">
        <v>2491</v>
      </c>
      <c r="M1175" s="5">
        <v>67</v>
      </c>
      <c r="N1175" s="5" t="s">
        <v>3219</v>
      </c>
      <c r="O1175" s="5" t="s">
        <v>574</v>
      </c>
      <c r="Q1175" s="10" t="s">
        <v>553</v>
      </c>
      <c r="R1175" s="6"/>
      <c r="S1175" s="6"/>
    </row>
    <row r="1176" spans="1:19" x14ac:dyDescent="0.2">
      <c r="A1176" s="5">
        <v>1536</v>
      </c>
      <c r="B1176" s="8" t="s">
        <v>3492</v>
      </c>
      <c r="C1176" s="8" t="s">
        <v>3493</v>
      </c>
      <c r="D1176" s="8" t="s">
        <v>3487</v>
      </c>
      <c r="E1176" s="24">
        <v>43687</v>
      </c>
      <c r="F1176" s="8" t="s">
        <v>259</v>
      </c>
      <c r="G1176" s="8" t="s">
        <v>276</v>
      </c>
      <c r="H1176" s="8" t="s">
        <v>3488</v>
      </c>
      <c r="I1176" s="8" t="s">
        <v>3494</v>
      </c>
      <c r="J1176" s="5">
        <f>4-1</f>
        <v>3</v>
      </c>
      <c r="K1176" s="5" t="s">
        <v>292</v>
      </c>
      <c r="L1176" s="5" t="s">
        <v>2491</v>
      </c>
      <c r="M1176" s="5">
        <v>67</v>
      </c>
      <c r="N1176" s="5" t="s">
        <v>3219</v>
      </c>
      <c r="O1176" s="5" t="s">
        <v>574</v>
      </c>
      <c r="P1176" s="5" t="s">
        <v>3495</v>
      </c>
      <c r="Q1176" s="5" t="s">
        <v>3496</v>
      </c>
      <c r="R1176" s="6"/>
      <c r="S1176" s="6"/>
    </row>
    <row r="1177" spans="1:19" x14ac:dyDescent="0.2">
      <c r="A1177" s="5">
        <v>1537</v>
      </c>
      <c r="B1177" s="8" t="s">
        <v>3497</v>
      </c>
      <c r="C1177" s="8" t="s">
        <v>3498</v>
      </c>
      <c r="D1177" s="8" t="s">
        <v>3487</v>
      </c>
      <c r="E1177" s="24">
        <v>43687</v>
      </c>
      <c r="F1177" s="8" t="s">
        <v>259</v>
      </c>
      <c r="G1177" s="8" t="s">
        <v>276</v>
      </c>
      <c r="H1177" s="8" t="s">
        <v>3488</v>
      </c>
      <c r="I1177" s="8" t="s">
        <v>3499</v>
      </c>
      <c r="J1177" s="5">
        <f>4-2</f>
        <v>2</v>
      </c>
      <c r="K1177" s="5" t="s">
        <v>292</v>
      </c>
      <c r="L1177" s="5" t="s">
        <v>2491</v>
      </c>
      <c r="M1177" s="5">
        <v>67</v>
      </c>
      <c r="N1177" s="5" t="s">
        <v>3219</v>
      </c>
      <c r="O1177" s="5" t="s">
        <v>574</v>
      </c>
      <c r="Q1177" s="5" t="s">
        <v>3500</v>
      </c>
      <c r="R1177" s="6"/>
      <c r="S1177" s="6" t="s">
        <v>328</v>
      </c>
    </row>
    <row r="1178" spans="1:19" x14ac:dyDescent="0.2">
      <c r="A1178" s="5">
        <v>1538</v>
      </c>
      <c r="B1178" s="8" t="s">
        <v>3501</v>
      </c>
      <c r="H1178" s="8" t="s">
        <v>3502</v>
      </c>
      <c r="I1178" s="8" t="s">
        <v>3502</v>
      </c>
      <c r="J1178" s="5">
        <f>23</f>
        <v>23</v>
      </c>
      <c r="K1178" s="5" t="s">
        <v>292</v>
      </c>
      <c r="L1178" s="5" t="s">
        <v>2491</v>
      </c>
      <c r="M1178" s="5">
        <v>68</v>
      </c>
      <c r="N1178" s="5" t="s">
        <v>2962</v>
      </c>
      <c r="O1178" s="5" t="s">
        <v>574</v>
      </c>
      <c r="Q1178" s="10" t="s">
        <v>553</v>
      </c>
      <c r="R1178" s="6"/>
      <c r="S1178" s="6" t="s">
        <v>328</v>
      </c>
    </row>
    <row r="1179" spans="1:19" x14ac:dyDescent="0.2">
      <c r="A1179" s="5">
        <v>1539</v>
      </c>
      <c r="B1179" s="8" t="s">
        <v>3503</v>
      </c>
      <c r="H1179" s="8" t="s">
        <v>2969</v>
      </c>
      <c r="I1179" s="8" t="s">
        <v>3504</v>
      </c>
      <c r="J1179" s="5">
        <f>1</f>
        <v>1</v>
      </c>
      <c r="K1179" s="5" t="s">
        <v>292</v>
      </c>
      <c r="L1179" s="5" t="s">
        <v>2491</v>
      </c>
      <c r="M1179" s="5">
        <v>68</v>
      </c>
      <c r="N1179" s="5" t="s">
        <v>2962</v>
      </c>
      <c r="O1179" s="5" t="s">
        <v>574</v>
      </c>
      <c r="Q1179" s="10" t="s">
        <v>553</v>
      </c>
      <c r="R1179" s="6"/>
      <c r="S1179" s="6" t="s">
        <v>328</v>
      </c>
    </row>
    <row r="1180" spans="1:19" x14ac:dyDescent="0.2">
      <c r="A1180" s="5">
        <v>1540</v>
      </c>
      <c r="B1180" s="8" t="s">
        <v>3505</v>
      </c>
      <c r="H1180" s="8" t="s">
        <v>2969</v>
      </c>
      <c r="I1180" s="8" t="s">
        <v>3506</v>
      </c>
      <c r="J1180" s="5">
        <v>1</v>
      </c>
      <c r="K1180" s="5" t="s">
        <v>292</v>
      </c>
      <c r="L1180" s="5" t="s">
        <v>2491</v>
      </c>
      <c r="M1180" s="5">
        <v>68</v>
      </c>
      <c r="N1180" s="5" t="s">
        <v>2962</v>
      </c>
      <c r="O1180" s="5" t="s">
        <v>574</v>
      </c>
      <c r="Q1180" s="10" t="s">
        <v>553</v>
      </c>
      <c r="R1180" s="6"/>
      <c r="S1180" s="6" t="s">
        <v>328</v>
      </c>
    </row>
    <row r="1181" spans="1:19" x14ac:dyDescent="0.2">
      <c r="A1181" s="5">
        <v>1541</v>
      </c>
      <c r="B1181" s="8" t="s">
        <v>3507</v>
      </c>
      <c r="H1181" s="8" t="s">
        <v>3502</v>
      </c>
      <c r="I1181" s="8" t="s">
        <v>3502</v>
      </c>
      <c r="J1181" s="5">
        <v>85</v>
      </c>
      <c r="K1181" s="5" t="s">
        <v>292</v>
      </c>
      <c r="L1181" s="5" t="s">
        <v>2491</v>
      </c>
      <c r="M1181" s="5">
        <v>68</v>
      </c>
      <c r="N1181" s="5" t="s">
        <v>2962</v>
      </c>
      <c r="O1181" s="5" t="s">
        <v>574</v>
      </c>
      <c r="Q1181" s="10" t="s">
        <v>553</v>
      </c>
    </row>
    <row r="1182" spans="1:19" x14ac:dyDescent="0.2">
      <c r="A1182" s="5">
        <v>274</v>
      </c>
      <c r="B1182" s="8" t="s">
        <v>3508</v>
      </c>
      <c r="H1182" s="8" t="s">
        <v>3509</v>
      </c>
      <c r="I1182" s="8" t="s">
        <v>3509</v>
      </c>
      <c r="J1182" s="5">
        <v>32</v>
      </c>
      <c r="K1182" s="5" t="s">
        <v>292</v>
      </c>
      <c r="L1182" s="5" t="s">
        <v>2491</v>
      </c>
      <c r="M1182" s="5">
        <v>69</v>
      </c>
      <c r="N1182" s="5" t="s">
        <v>3510</v>
      </c>
      <c r="O1182" s="5" t="s">
        <v>520</v>
      </c>
      <c r="Q1182" s="5" t="s">
        <v>3511</v>
      </c>
    </row>
    <row r="1183" spans="1:19" x14ac:dyDescent="0.2">
      <c r="A1183" s="5">
        <v>277</v>
      </c>
      <c r="B1183" s="8" t="s">
        <v>3512</v>
      </c>
      <c r="H1183" s="8" t="s">
        <v>3513</v>
      </c>
      <c r="I1183" s="8" t="s">
        <v>3513</v>
      </c>
      <c r="J1183" s="5">
        <f>191</f>
        <v>191</v>
      </c>
      <c r="K1183" s="5" t="s">
        <v>292</v>
      </c>
      <c r="L1183" s="5" t="s">
        <v>2491</v>
      </c>
      <c r="M1183" s="5">
        <v>69</v>
      </c>
      <c r="N1183" s="5" t="s">
        <v>320</v>
      </c>
      <c r="O1183" s="5" t="s">
        <v>520</v>
      </c>
      <c r="Q1183" s="5" t="s">
        <v>3514</v>
      </c>
    </row>
    <row r="1184" spans="1:19" x14ac:dyDescent="0.2">
      <c r="A1184" s="5"/>
      <c r="B1184" s="8" t="s">
        <v>3515</v>
      </c>
      <c r="I1184" s="8" t="s">
        <v>3516</v>
      </c>
      <c r="J1184" s="5">
        <f>448</f>
        <v>448</v>
      </c>
      <c r="K1184" s="5" t="s">
        <v>292</v>
      </c>
      <c r="L1184" s="5" t="s">
        <v>2491</v>
      </c>
      <c r="M1184" s="5">
        <v>69</v>
      </c>
    </row>
    <row r="1185" spans="1:19" x14ac:dyDescent="0.2">
      <c r="A1185" s="5">
        <v>351</v>
      </c>
      <c r="B1185" s="8" t="s">
        <v>3517</v>
      </c>
      <c r="H1185" s="8" t="s">
        <v>3518</v>
      </c>
      <c r="I1185" s="8" t="s">
        <v>3518</v>
      </c>
      <c r="J1185" s="5">
        <f>98-8</f>
        <v>90</v>
      </c>
      <c r="K1185" s="5" t="s">
        <v>292</v>
      </c>
      <c r="L1185" s="5" t="s">
        <v>2491</v>
      </c>
      <c r="M1185" s="5">
        <v>69</v>
      </c>
      <c r="N1185" s="5" t="s">
        <v>3518</v>
      </c>
      <c r="Q1185" s="5" t="s">
        <v>3519</v>
      </c>
    </row>
    <row r="1186" spans="1:19" x14ac:dyDescent="0.2">
      <c r="A1186" s="5">
        <v>352</v>
      </c>
      <c r="B1186" s="8" t="s">
        <v>3520</v>
      </c>
      <c r="H1186" s="8" t="s">
        <v>3518</v>
      </c>
      <c r="I1186" s="8" t="s">
        <v>3518</v>
      </c>
      <c r="J1186" s="5">
        <v>85</v>
      </c>
      <c r="K1186" s="5" t="s">
        <v>292</v>
      </c>
      <c r="L1186" s="5" t="s">
        <v>2491</v>
      </c>
      <c r="M1186" s="5">
        <v>69</v>
      </c>
      <c r="N1186" s="5" t="s">
        <v>3518</v>
      </c>
      <c r="Q1186" s="5" t="s">
        <v>3519</v>
      </c>
      <c r="R1186" s="6"/>
      <c r="S1186" s="6"/>
    </row>
    <row r="1187" spans="1:19" x14ac:dyDescent="0.2">
      <c r="A1187" s="5">
        <v>1542</v>
      </c>
      <c r="B1187" s="8" t="s">
        <v>3521</v>
      </c>
      <c r="H1187" s="8" t="s">
        <v>3522</v>
      </c>
      <c r="I1187" s="8" t="s">
        <v>3522</v>
      </c>
      <c r="J1187" s="5">
        <f>86-4-16</f>
        <v>66</v>
      </c>
      <c r="K1187" s="5" t="s">
        <v>292</v>
      </c>
      <c r="L1187" s="5" t="s">
        <v>2491</v>
      </c>
      <c r="M1187" s="5">
        <v>69</v>
      </c>
      <c r="N1187" s="5" t="s">
        <v>3272</v>
      </c>
      <c r="O1187" s="5" t="s">
        <v>574</v>
      </c>
      <c r="Q1187" s="10" t="s">
        <v>3523</v>
      </c>
      <c r="R1187" s="6"/>
      <c r="S1187" s="6"/>
    </row>
    <row r="1188" spans="1:19" x14ac:dyDescent="0.2">
      <c r="A1188" s="5">
        <v>1543</v>
      </c>
      <c r="B1188" s="8" t="s">
        <v>3524</v>
      </c>
      <c r="H1188" s="8" t="s">
        <v>3522</v>
      </c>
      <c r="I1188" s="8" t="s">
        <v>3522</v>
      </c>
      <c r="J1188" s="5">
        <f>94-4-4-4</f>
        <v>82</v>
      </c>
      <c r="K1188" s="5" t="s">
        <v>292</v>
      </c>
      <c r="L1188" s="5" t="s">
        <v>2491</v>
      </c>
      <c r="M1188" s="5">
        <v>69</v>
      </c>
      <c r="N1188" s="5" t="s">
        <v>3272</v>
      </c>
      <c r="O1188" s="5" t="s">
        <v>574</v>
      </c>
      <c r="Q1188" s="10" t="s">
        <v>3525</v>
      </c>
      <c r="R1188" s="6"/>
      <c r="S1188" s="6"/>
    </row>
    <row r="1189" spans="1:19" x14ac:dyDescent="0.2">
      <c r="A1189" s="5">
        <v>1544</v>
      </c>
      <c r="B1189" s="8" t="s">
        <v>3526</v>
      </c>
      <c r="H1189" s="8" t="s">
        <v>3522</v>
      </c>
      <c r="I1189" s="8" t="s">
        <v>3522</v>
      </c>
      <c r="J1189" s="5">
        <f>100-10-15-8-10-8-8-8-33+100-7</f>
        <v>93</v>
      </c>
      <c r="K1189" s="5" t="s">
        <v>292</v>
      </c>
      <c r="L1189" s="5" t="s">
        <v>2491</v>
      </c>
      <c r="M1189" s="5">
        <v>69</v>
      </c>
      <c r="N1189" s="5" t="s">
        <v>3272</v>
      </c>
      <c r="O1189" s="5" t="s">
        <v>574</v>
      </c>
      <c r="Q1189" s="10" t="s">
        <v>3527</v>
      </c>
      <c r="R1189" s="6"/>
      <c r="S1189" s="6"/>
    </row>
    <row r="1190" spans="1:19" x14ac:dyDescent="0.2">
      <c r="A1190" s="5">
        <v>1545</v>
      </c>
      <c r="B1190" s="8" t="s">
        <v>3528</v>
      </c>
      <c r="D1190" s="8" t="s">
        <v>3529</v>
      </c>
      <c r="E1190" s="24">
        <v>43687</v>
      </c>
      <c r="F1190" s="8" t="s">
        <v>259</v>
      </c>
      <c r="G1190" s="8" t="s">
        <v>260</v>
      </c>
      <c r="H1190" s="8" t="s">
        <v>3530</v>
      </c>
      <c r="I1190" s="8" t="s">
        <v>3531</v>
      </c>
      <c r="J1190" s="5">
        <v>30</v>
      </c>
      <c r="K1190" s="5" t="s">
        <v>292</v>
      </c>
      <c r="L1190" s="5" t="s">
        <v>2491</v>
      </c>
      <c r="M1190" s="5">
        <v>69</v>
      </c>
      <c r="N1190" s="5" t="s">
        <v>3272</v>
      </c>
      <c r="O1190" s="5" t="s">
        <v>574</v>
      </c>
      <c r="Q1190" s="10" t="s">
        <v>3532</v>
      </c>
      <c r="R1190" s="6"/>
      <c r="S1190" s="6"/>
    </row>
    <row r="1191" spans="1:19" x14ac:dyDescent="0.2">
      <c r="A1191" s="5">
        <v>1546</v>
      </c>
      <c r="B1191" s="8" t="s">
        <v>3533</v>
      </c>
      <c r="D1191" s="8" t="s">
        <v>3534</v>
      </c>
      <c r="E1191" s="24">
        <v>43687</v>
      </c>
      <c r="F1191" s="8" t="s">
        <v>259</v>
      </c>
      <c r="G1191" s="8" t="s">
        <v>260</v>
      </c>
      <c r="H1191" s="8" t="s">
        <v>3535</v>
      </c>
      <c r="I1191" s="8" t="s">
        <v>3536</v>
      </c>
      <c r="J1191" s="5">
        <v>150</v>
      </c>
      <c r="K1191" s="5" t="s">
        <v>292</v>
      </c>
      <c r="L1191" s="5" t="s">
        <v>2491</v>
      </c>
      <c r="M1191" s="5">
        <v>69</v>
      </c>
      <c r="N1191" s="5" t="s">
        <v>3272</v>
      </c>
      <c r="O1191" s="5" t="s">
        <v>574</v>
      </c>
      <c r="Q1191" s="5" t="s">
        <v>3537</v>
      </c>
      <c r="R1191" s="6"/>
      <c r="S1191" s="6" t="s">
        <v>328</v>
      </c>
    </row>
    <row r="1192" spans="1:19" x14ac:dyDescent="0.2">
      <c r="A1192" s="5">
        <v>1547</v>
      </c>
      <c r="B1192" s="8" t="s">
        <v>3538</v>
      </c>
      <c r="D1192" s="8" t="s">
        <v>3529</v>
      </c>
      <c r="E1192" s="24">
        <v>43687</v>
      </c>
      <c r="F1192" s="8" t="s">
        <v>259</v>
      </c>
      <c r="G1192" s="8" t="s">
        <v>260</v>
      </c>
      <c r="H1192" s="8" t="s">
        <v>3530</v>
      </c>
      <c r="I1192" s="8" t="s">
        <v>3531</v>
      </c>
      <c r="J1192" s="5">
        <v>30</v>
      </c>
      <c r="K1192" s="5" t="s">
        <v>292</v>
      </c>
      <c r="L1192" s="5" t="s">
        <v>2491</v>
      </c>
      <c r="M1192" s="5">
        <v>69</v>
      </c>
      <c r="N1192" s="5" t="s">
        <v>3272</v>
      </c>
      <c r="O1192" s="5" t="s">
        <v>574</v>
      </c>
      <c r="Q1192" s="10" t="s">
        <v>553</v>
      </c>
      <c r="R1192" s="6"/>
      <c r="S1192" s="6" t="s">
        <v>328</v>
      </c>
    </row>
    <row r="1193" spans="1:19" x14ac:dyDescent="0.2">
      <c r="A1193" s="5">
        <v>1548</v>
      </c>
      <c r="B1193" s="8" t="s">
        <v>3539</v>
      </c>
      <c r="D1193" s="8" t="s">
        <v>3529</v>
      </c>
      <c r="E1193" s="24">
        <v>43687</v>
      </c>
      <c r="F1193" s="8" t="s">
        <v>259</v>
      </c>
      <c r="G1193" s="8" t="s">
        <v>260</v>
      </c>
      <c r="H1193" s="8" t="s">
        <v>3540</v>
      </c>
      <c r="I1193" s="8" t="s">
        <v>3541</v>
      </c>
      <c r="J1193" s="5">
        <v>0</v>
      </c>
      <c r="K1193" s="5" t="s">
        <v>292</v>
      </c>
      <c r="L1193" s="5" t="s">
        <v>2491</v>
      </c>
      <c r="M1193" s="5">
        <v>69</v>
      </c>
      <c r="N1193" s="5" t="s">
        <v>3272</v>
      </c>
      <c r="O1193" s="5" t="s">
        <v>574</v>
      </c>
      <c r="Q1193" s="10" t="s">
        <v>553</v>
      </c>
      <c r="R1193" s="6"/>
      <c r="S1193" s="6" t="s">
        <v>328</v>
      </c>
    </row>
    <row r="1194" spans="1:19" x14ac:dyDescent="0.2">
      <c r="A1194" s="5">
        <v>1549</v>
      </c>
      <c r="B1194" s="8" t="s">
        <v>3533</v>
      </c>
      <c r="D1194" s="8" t="s">
        <v>3534</v>
      </c>
      <c r="E1194" s="24">
        <v>43687</v>
      </c>
      <c r="F1194" s="8" t="s">
        <v>259</v>
      </c>
      <c r="G1194" s="8" t="s">
        <v>260</v>
      </c>
      <c r="H1194" s="8" t="s">
        <v>3535</v>
      </c>
      <c r="I1194" s="8" t="s">
        <v>3536</v>
      </c>
      <c r="J1194" s="5">
        <v>0</v>
      </c>
      <c r="K1194" s="5" t="s">
        <v>292</v>
      </c>
      <c r="L1194" s="5" t="s">
        <v>2491</v>
      </c>
      <c r="M1194" s="5">
        <v>69</v>
      </c>
      <c r="N1194" s="5" t="s">
        <v>3272</v>
      </c>
      <c r="O1194" s="5" t="s">
        <v>574</v>
      </c>
      <c r="Q1194" s="10" t="s">
        <v>553</v>
      </c>
      <c r="R1194" s="6"/>
      <c r="S1194" s="6"/>
    </row>
    <row r="1195" spans="1:19" x14ac:dyDescent="0.2">
      <c r="A1195" s="5">
        <v>1550</v>
      </c>
      <c r="B1195" s="8" t="s">
        <v>3542</v>
      </c>
      <c r="D1195" s="8" t="s">
        <v>3543</v>
      </c>
      <c r="E1195" s="24">
        <v>43687</v>
      </c>
      <c r="F1195" s="8" t="s">
        <v>259</v>
      </c>
      <c r="G1195" s="8" t="s">
        <v>260</v>
      </c>
      <c r="H1195" s="8" t="s">
        <v>3535</v>
      </c>
      <c r="I1195" s="8" t="s">
        <v>3536</v>
      </c>
      <c r="J1195" s="5">
        <v>11</v>
      </c>
      <c r="K1195" s="5" t="s">
        <v>292</v>
      </c>
      <c r="L1195" s="5" t="s">
        <v>2491</v>
      </c>
      <c r="M1195" s="5">
        <v>69</v>
      </c>
      <c r="N1195" s="5" t="s">
        <v>3272</v>
      </c>
      <c r="O1195" s="5" t="s">
        <v>574</v>
      </c>
      <c r="Q1195" s="5" t="s">
        <v>3544</v>
      </c>
      <c r="R1195" s="6"/>
      <c r="S1195" s="6"/>
    </row>
    <row r="1196" spans="1:19" x14ac:dyDescent="0.2">
      <c r="A1196" s="5">
        <v>1551</v>
      </c>
      <c r="B1196" s="8" t="s">
        <v>3545</v>
      </c>
      <c r="D1196" s="8" t="s">
        <v>3529</v>
      </c>
      <c r="E1196" s="24">
        <v>43687</v>
      </c>
      <c r="F1196" s="8" t="s">
        <v>259</v>
      </c>
      <c r="G1196" s="8" t="s">
        <v>260</v>
      </c>
      <c r="H1196" s="8" t="s">
        <v>3530</v>
      </c>
      <c r="I1196" s="8" t="s">
        <v>3531</v>
      </c>
      <c r="J1196" s="5">
        <v>82</v>
      </c>
      <c r="K1196" s="5" t="s">
        <v>292</v>
      </c>
      <c r="L1196" s="5" t="s">
        <v>2491</v>
      </c>
      <c r="M1196" s="5">
        <v>69</v>
      </c>
      <c r="N1196" s="5" t="s">
        <v>3272</v>
      </c>
      <c r="O1196" s="5" t="s">
        <v>574</v>
      </c>
      <c r="Q1196" s="5" t="s">
        <v>3532</v>
      </c>
      <c r="R1196" s="6"/>
      <c r="S1196" s="6"/>
    </row>
    <row r="1197" spans="1:19" x14ac:dyDescent="0.2">
      <c r="A1197" s="5">
        <v>2089</v>
      </c>
      <c r="B1197" s="8" t="s">
        <v>3546</v>
      </c>
      <c r="H1197" s="8" t="s">
        <v>3547</v>
      </c>
      <c r="I1197" s="8" t="s">
        <v>3547</v>
      </c>
      <c r="J1197" s="5">
        <f>0</f>
        <v>0</v>
      </c>
      <c r="K1197" s="5" t="s">
        <v>292</v>
      </c>
      <c r="L1197" s="5" t="s">
        <v>2491</v>
      </c>
      <c r="M1197" s="5">
        <v>69</v>
      </c>
      <c r="N1197" s="5" t="s">
        <v>3548</v>
      </c>
      <c r="O1197" s="5" t="s">
        <v>574</v>
      </c>
      <c r="Q1197" s="5" t="s">
        <v>3549</v>
      </c>
    </row>
    <row r="1198" spans="1:19" x14ac:dyDescent="0.2">
      <c r="A1198" s="5">
        <v>2407</v>
      </c>
      <c r="B1198" s="8" t="s">
        <v>3550</v>
      </c>
      <c r="H1198" s="8" t="s">
        <v>3518</v>
      </c>
      <c r="I1198" s="8" t="s">
        <v>3518</v>
      </c>
      <c r="J1198" s="5">
        <v>61</v>
      </c>
      <c r="K1198" s="5" t="s">
        <v>292</v>
      </c>
      <c r="L1198" s="5" t="s">
        <v>2491</v>
      </c>
      <c r="M1198" s="5">
        <v>69</v>
      </c>
      <c r="N1198" s="5" t="s">
        <v>3551</v>
      </c>
      <c r="O1198" s="5" t="s">
        <v>520</v>
      </c>
      <c r="Q1198" s="5" t="s">
        <v>3552</v>
      </c>
    </row>
    <row r="1199" spans="1:19" x14ac:dyDescent="0.2">
      <c r="A1199" s="5">
        <v>2408</v>
      </c>
      <c r="B1199" s="8" t="s">
        <v>3553</v>
      </c>
      <c r="H1199" s="8" t="s">
        <v>3518</v>
      </c>
      <c r="I1199" s="8" t="s">
        <v>3518</v>
      </c>
      <c r="J1199" s="5">
        <f>90-10-3</f>
        <v>77</v>
      </c>
      <c r="K1199" s="5" t="s">
        <v>292</v>
      </c>
      <c r="L1199" s="5" t="s">
        <v>2491</v>
      </c>
      <c r="M1199" s="5">
        <v>69</v>
      </c>
      <c r="N1199" s="5" t="s">
        <v>3551</v>
      </c>
      <c r="O1199" s="5" t="s">
        <v>520</v>
      </c>
      <c r="Q1199" s="5" t="s">
        <v>3552</v>
      </c>
    </row>
    <row r="1200" spans="1:19" x14ac:dyDescent="0.2">
      <c r="A1200" s="5"/>
      <c r="B1200" s="130" t="s">
        <v>3554</v>
      </c>
      <c r="H1200" s="8" t="s">
        <v>3522</v>
      </c>
      <c r="I1200" s="8" t="s">
        <v>3522</v>
      </c>
      <c r="J1200" s="5">
        <f>50</f>
        <v>50</v>
      </c>
      <c r="K1200" s="5" t="s">
        <v>292</v>
      </c>
      <c r="L1200" s="5" t="s">
        <v>2491</v>
      </c>
      <c r="M1200" s="5">
        <v>69</v>
      </c>
      <c r="N1200" s="5" t="s">
        <v>3551</v>
      </c>
    </row>
    <row r="1201" spans="1:19" x14ac:dyDescent="0.2">
      <c r="A1201" s="5"/>
      <c r="B1201" s="8" t="s">
        <v>3555</v>
      </c>
      <c r="H1201" s="8" t="s">
        <v>3556</v>
      </c>
      <c r="I1201" s="8" t="s">
        <v>3556</v>
      </c>
      <c r="J1201" s="5">
        <f>91</f>
        <v>91</v>
      </c>
      <c r="K1201" s="5" t="s">
        <v>292</v>
      </c>
      <c r="L1201" s="5" t="s">
        <v>2491</v>
      </c>
      <c r="M1201" s="5">
        <v>69</v>
      </c>
      <c r="N1201" s="5" t="s">
        <v>3551</v>
      </c>
    </row>
    <row r="1202" spans="1:19" x14ac:dyDescent="0.2">
      <c r="A1202" s="5"/>
      <c r="B1202" s="8" t="s">
        <v>3557</v>
      </c>
      <c r="H1202" s="8" t="s">
        <v>3558</v>
      </c>
      <c r="I1202" s="8" t="s">
        <v>3558</v>
      </c>
      <c r="J1202" s="5">
        <f>43</f>
        <v>43</v>
      </c>
      <c r="K1202" s="5" t="s">
        <v>292</v>
      </c>
      <c r="L1202" s="5" t="s">
        <v>2491</v>
      </c>
      <c r="M1202" s="5">
        <v>69</v>
      </c>
      <c r="N1202" s="5" t="s">
        <v>3551</v>
      </c>
      <c r="Q1202" s="107" t="s">
        <v>3559</v>
      </c>
    </row>
    <row r="1203" spans="1:19" x14ac:dyDescent="0.2">
      <c r="A1203" s="5"/>
      <c r="B1203" s="8" t="s">
        <v>3560</v>
      </c>
      <c r="H1203" s="8" t="s">
        <v>3561</v>
      </c>
      <c r="I1203" s="8" t="s">
        <v>3561</v>
      </c>
      <c r="J1203" s="5">
        <f>81</f>
        <v>81</v>
      </c>
      <c r="K1203" s="5" t="s">
        <v>292</v>
      </c>
      <c r="L1203" s="5" t="s">
        <v>2491</v>
      </c>
      <c r="M1203" s="5">
        <v>69</v>
      </c>
      <c r="N1203" s="5" t="s">
        <v>3551</v>
      </c>
      <c r="Q1203" s="107" t="s">
        <v>3562</v>
      </c>
    </row>
    <row r="1204" spans="1:19" x14ac:dyDescent="0.2">
      <c r="A1204" s="5"/>
      <c r="B1204" s="8" t="s">
        <v>3563</v>
      </c>
      <c r="H1204" s="8" t="s">
        <v>3564</v>
      </c>
      <c r="I1204" s="8" t="s">
        <v>3564</v>
      </c>
      <c r="J1204" s="5">
        <f>91</f>
        <v>91</v>
      </c>
      <c r="K1204" s="5" t="s">
        <v>292</v>
      </c>
      <c r="L1204" s="5" t="s">
        <v>2491</v>
      </c>
      <c r="M1204" s="5">
        <v>69</v>
      </c>
      <c r="N1204" s="5" t="s">
        <v>3551</v>
      </c>
      <c r="Q1204" s="107" t="s">
        <v>3565</v>
      </c>
      <c r="R1204" s="6"/>
      <c r="S1204" s="6" t="s">
        <v>328</v>
      </c>
    </row>
    <row r="1205" spans="1:19" x14ac:dyDescent="0.2">
      <c r="A1205" s="5"/>
      <c r="B1205" s="8" t="s">
        <v>3566</v>
      </c>
      <c r="I1205" s="8" t="s">
        <v>3567</v>
      </c>
      <c r="J1205" s="5">
        <f>30-10</f>
        <v>20</v>
      </c>
      <c r="K1205" s="5" t="s">
        <v>292</v>
      </c>
      <c r="L1205" s="5" t="s">
        <v>2491</v>
      </c>
      <c r="M1205" s="5">
        <v>69</v>
      </c>
      <c r="Q1205" s="107"/>
      <c r="R1205" s="6"/>
      <c r="S1205" s="6"/>
    </row>
    <row r="1206" spans="1:19" x14ac:dyDescent="0.2">
      <c r="A1206" s="5"/>
      <c r="B1206" s="8" t="s">
        <v>3568</v>
      </c>
      <c r="H1206" s="8" t="s">
        <v>3569</v>
      </c>
      <c r="I1206" s="8" t="s">
        <v>3569</v>
      </c>
      <c r="J1206" s="5">
        <f>100</f>
        <v>100</v>
      </c>
      <c r="K1206" s="5" t="s">
        <v>292</v>
      </c>
      <c r="L1206" s="5" t="s">
        <v>2491</v>
      </c>
      <c r="M1206" s="5">
        <v>69</v>
      </c>
      <c r="N1206" s="5" t="s">
        <v>3551</v>
      </c>
      <c r="Q1206" s="107" t="s">
        <v>3570</v>
      </c>
      <c r="R1206" s="6"/>
      <c r="S1206" s="6"/>
    </row>
    <row r="1207" spans="1:19" x14ac:dyDescent="0.2">
      <c r="A1207" s="5">
        <v>1552</v>
      </c>
      <c r="B1207" s="11" t="s">
        <v>553</v>
      </c>
      <c r="C1207" s="11"/>
      <c r="D1207" s="11"/>
      <c r="E1207" s="26"/>
      <c r="F1207" s="11"/>
      <c r="G1207" s="11"/>
      <c r="H1207" s="8" t="s">
        <v>3571</v>
      </c>
      <c r="I1207" s="8" t="s">
        <v>3571</v>
      </c>
      <c r="J1207" s="5">
        <v>0</v>
      </c>
      <c r="K1207" s="5" t="s">
        <v>292</v>
      </c>
      <c r="L1207" s="5" t="s">
        <v>2491</v>
      </c>
      <c r="M1207" s="5">
        <v>70</v>
      </c>
      <c r="N1207" s="5" t="s">
        <v>2090</v>
      </c>
      <c r="O1207" s="5" t="s">
        <v>574</v>
      </c>
      <c r="Q1207" s="10" t="s">
        <v>553</v>
      </c>
      <c r="R1207" s="6"/>
      <c r="S1207" s="6"/>
    </row>
    <row r="1208" spans="1:19" x14ac:dyDescent="0.2">
      <c r="A1208" s="5">
        <v>1512</v>
      </c>
      <c r="B1208" s="8">
        <v>150</v>
      </c>
      <c r="H1208" s="8" t="s">
        <v>3572</v>
      </c>
      <c r="I1208" s="8" t="s">
        <v>3572</v>
      </c>
      <c r="J1208" s="5">
        <v>108</v>
      </c>
      <c r="K1208" s="5" t="s">
        <v>292</v>
      </c>
      <c r="L1208" s="5" t="s">
        <v>2491</v>
      </c>
      <c r="M1208" s="5" t="s">
        <v>3573</v>
      </c>
      <c r="N1208" s="5" t="s">
        <v>3219</v>
      </c>
      <c r="O1208" s="5" t="s">
        <v>574</v>
      </c>
      <c r="Q1208" s="5" t="s">
        <v>2863</v>
      </c>
    </row>
    <row r="1209" spans="1:19" x14ac:dyDescent="0.2">
      <c r="A1209" s="5">
        <v>280</v>
      </c>
      <c r="B1209" s="11" t="s">
        <v>3574</v>
      </c>
      <c r="H1209" s="8" t="s">
        <v>3575</v>
      </c>
      <c r="I1209" s="8" t="s">
        <v>3575</v>
      </c>
      <c r="J1209" s="5">
        <v>100</v>
      </c>
      <c r="K1209" s="5" t="s">
        <v>292</v>
      </c>
      <c r="L1209" s="5" t="s">
        <v>2491</v>
      </c>
      <c r="M1209" s="5">
        <v>71</v>
      </c>
      <c r="N1209" s="5" t="s">
        <v>3576</v>
      </c>
      <c r="O1209" s="5" t="s">
        <v>266</v>
      </c>
      <c r="Q1209" s="5" t="s">
        <v>3577</v>
      </c>
    </row>
    <row r="1210" spans="1:19" x14ac:dyDescent="0.2">
      <c r="A1210" s="5">
        <v>310</v>
      </c>
      <c r="B1210" s="8" t="s">
        <v>3578</v>
      </c>
      <c r="H1210" s="8" t="s">
        <v>3579</v>
      </c>
      <c r="I1210" s="8" t="s">
        <v>3579</v>
      </c>
      <c r="J1210" s="5">
        <f>2-2</f>
        <v>0</v>
      </c>
      <c r="K1210" s="5" t="s">
        <v>292</v>
      </c>
      <c r="L1210" s="5" t="s">
        <v>2491</v>
      </c>
      <c r="M1210" s="5">
        <v>71</v>
      </c>
      <c r="N1210" s="5" t="s">
        <v>34</v>
      </c>
      <c r="O1210" s="5" t="s">
        <v>520</v>
      </c>
      <c r="Q1210" s="5" t="s">
        <v>3580</v>
      </c>
    </row>
    <row r="1211" spans="1:19" x14ac:dyDescent="0.2">
      <c r="A1211" s="5">
        <v>2061</v>
      </c>
      <c r="B1211" s="8" t="s">
        <v>3578</v>
      </c>
      <c r="H1211" s="8" t="s">
        <v>3579</v>
      </c>
      <c r="I1211" s="8" t="s">
        <v>3579</v>
      </c>
      <c r="J1211" s="5">
        <v>0</v>
      </c>
      <c r="K1211" s="5" t="s">
        <v>292</v>
      </c>
      <c r="L1211" s="5" t="s">
        <v>2491</v>
      </c>
      <c r="M1211" s="5">
        <v>71</v>
      </c>
      <c r="N1211" s="5" t="s">
        <v>3581</v>
      </c>
      <c r="O1211" s="5" t="s">
        <v>574</v>
      </c>
      <c r="Q1211" s="5" t="s">
        <v>3580</v>
      </c>
      <c r="R1211" s="6"/>
      <c r="S1211" s="6"/>
    </row>
    <row r="1212" spans="1:19" x14ac:dyDescent="0.2">
      <c r="A1212" s="5">
        <v>653</v>
      </c>
      <c r="B1212" s="11" t="s">
        <v>3582</v>
      </c>
      <c r="C1212" s="11"/>
      <c r="D1212" s="11"/>
      <c r="E1212" s="26"/>
      <c r="F1212" s="11"/>
      <c r="G1212" s="11"/>
      <c r="H1212" s="8" t="s">
        <v>3583</v>
      </c>
      <c r="I1212" s="8" t="s">
        <v>3583</v>
      </c>
      <c r="J1212" s="5">
        <f>106-1</f>
        <v>105</v>
      </c>
      <c r="K1212" s="5" t="s">
        <v>292</v>
      </c>
      <c r="L1212" s="5" t="s">
        <v>2491</v>
      </c>
      <c r="M1212" s="5">
        <v>71</v>
      </c>
      <c r="N1212" s="5" t="s">
        <v>3584</v>
      </c>
      <c r="O1212" s="5" t="s">
        <v>789</v>
      </c>
      <c r="Q1212" s="5" t="s">
        <v>3585</v>
      </c>
    </row>
    <row r="1213" spans="1:19" x14ac:dyDescent="0.2">
      <c r="A1213" s="5">
        <v>654</v>
      </c>
      <c r="B1213" s="8" t="s">
        <v>3586</v>
      </c>
      <c r="H1213" s="8" t="s">
        <v>3587</v>
      </c>
      <c r="I1213" s="8" t="s">
        <v>3587</v>
      </c>
      <c r="J1213" s="5">
        <f>76-15-1-2-1-1-5-1-1-1-1-1-4-1-3-1-3-3+2-1-2-10-9-8</f>
        <v>3</v>
      </c>
      <c r="K1213" s="5" t="s">
        <v>292</v>
      </c>
      <c r="L1213" s="5" t="s">
        <v>2491</v>
      </c>
      <c r="M1213" s="5">
        <v>71</v>
      </c>
      <c r="N1213" s="5" t="s">
        <v>3584</v>
      </c>
      <c r="O1213" s="5" t="s">
        <v>789</v>
      </c>
      <c r="Q1213" s="5" t="s">
        <v>3588</v>
      </c>
    </row>
    <row r="1214" spans="1:19" x14ac:dyDescent="0.2">
      <c r="A1214" s="5">
        <v>656</v>
      </c>
      <c r="B1214" s="8" t="s">
        <v>3589</v>
      </c>
      <c r="H1214" s="8" t="s">
        <v>3590</v>
      </c>
      <c r="I1214" s="8" t="s">
        <v>3591</v>
      </c>
      <c r="J1214" s="5">
        <f>9-2</f>
        <v>7</v>
      </c>
      <c r="K1214" s="5" t="s">
        <v>292</v>
      </c>
      <c r="L1214" s="5" t="s">
        <v>2491</v>
      </c>
      <c r="M1214" s="5">
        <v>71</v>
      </c>
      <c r="N1214" s="5" t="s">
        <v>3584</v>
      </c>
      <c r="O1214" s="5" t="s">
        <v>789</v>
      </c>
      <c r="Q1214" s="5" t="s">
        <v>3592</v>
      </c>
    </row>
    <row r="1215" spans="1:19" x14ac:dyDescent="0.2">
      <c r="A1215" s="5">
        <v>657</v>
      </c>
      <c r="B1215" s="8" t="s">
        <v>3593</v>
      </c>
      <c r="H1215" s="8" t="s">
        <v>3593</v>
      </c>
      <c r="I1215" s="8" t="s">
        <v>3594</v>
      </c>
      <c r="J1215" s="5">
        <f>9</f>
        <v>9</v>
      </c>
      <c r="K1215" s="5" t="s">
        <v>292</v>
      </c>
      <c r="L1215" s="5" t="s">
        <v>2491</v>
      </c>
      <c r="M1215" s="5">
        <v>71</v>
      </c>
      <c r="N1215" s="5" t="s">
        <v>3584</v>
      </c>
      <c r="O1215" s="5" t="s">
        <v>789</v>
      </c>
      <c r="Q1215" s="5" t="s">
        <v>3595</v>
      </c>
      <c r="R1215" s="6"/>
      <c r="S1215" s="6"/>
    </row>
    <row r="1216" spans="1:19" x14ac:dyDescent="0.2">
      <c r="A1216" s="5">
        <v>2060</v>
      </c>
      <c r="B1216" s="8" t="s">
        <v>3596</v>
      </c>
      <c r="H1216" s="8" t="s">
        <v>3597</v>
      </c>
      <c r="I1216" s="8" t="s">
        <v>3598</v>
      </c>
      <c r="J1216" s="5">
        <f>100-4</f>
        <v>96</v>
      </c>
      <c r="K1216" s="5" t="s">
        <v>292</v>
      </c>
      <c r="L1216" s="5" t="s">
        <v>2491</v>
      </c>
      <c r="M1216" s="5">
        <v>71</v>
      </c>
      <c r="N1216" s="5" t="s">
        <v>3599</v>
      </c>
      <c r="O1216" s="5" t="s">
        <v>574</v>
      </c>
      <c r="Q1216" s="5" t="s">
        <v>3600</v>
      </c>
      <c r="R1216" s="6"/>
      <c r="S1216" s="6"/>
    </row>
    <row r="1217" spans="1:19" x14ac:dyDescent="0.2">
      <c r="A1217" s="5"/>
      <c r="B1217" s="108" t="s">
        <v>3601</v>
      </c>
      <c r="H1217" s="8" t="s">
        <v>3602</v>
      </c>
      <c r="I1217" s="8" t="s">
        <v>3602</v>
      </c>
      <c r="J1217" s="5">
        <f>6-2</f>
        <v>4</v>
      </c>
      <c r="K1217" s="5" t="s">
        <v>292</v>
      </c>
      <c r="L1217" s="5" t="s">
        <v>2491</v>
      </c>
      <c r="M1217" s="5">
        <v>71</v>
      </c>
      <c r="N1217" s="5" t="s">
        <v>3581</v>
      </c>
      <c r="Q1217" s="107" t="s">
        <v>3603</v>
      </c>
      <c r="R1217" s="6"/>
      <c r="S1217" s="6"/>
    </row>
    <row r="1218" spans="1:19" x14ac:dyDescent="0.2">
      <c r="A1218" s="5"/>
      <c r="B1218" s="108" t="s">
        <v>3604</v>
      </c>
      <c r="H1218" s="8" t="s">
        <v>3605</v>
      </c>
      <c r="I1218" s="8" t="s">
        <v>3605</v>
      </c>
      <c r="J1218" s="5">
        <f>84-40</f>
        <v>44</v>
      </c>
      <c r="K1218" s="5" t="s">
        <v>292</v>
      </c>
      <c r="L1218" s="5" t="s">
        <v>2491</v>
      </c>
      <c r="M1218" s="5">
        <v>71</v>
      </c>
      <c r="N1218" s="5" t="s">
        <v>849</v>
      </c>
      <c r="Q1218" s="107" t="s">
        <v>3606</v>
      </c>
    </row>
    <row r="1219" spans="1:19" x14ac:dyDescent="0.2">
      <c r="A1219" s="5"/>
      <c r="B1219" s="8" t="s">
        <v>3607</v>
      </c>
      <c r="H1219" s="8" t="s">
        <v>3608</v>
      </c>
      <c r="I1219" s="8" t="s">
        <v>3608</v>
      </c>
      <c r="J1219" s="5">
        <f>84-40</f>
        <v>44</v>
      </c>
      <c r="K1219" s="5" t="s">
        <v>292</v>
      </c>
      <c r="L1219" s="5" t="s">
        <v>2491</v>
      </c>
      <c r="M1219" s="5">
        <v>71</v>
      </c>
      <c r="N1219" s="5" t="s">
        <v>3584</v>
      </c>
      <c r="Q1219" s="107" t="s">
        <v>3609</v>
      </c>
    </row>
    <row r="1220" spans="1:19" x14ac:dyDescent="0.2">
      <c r="A1220" s="5">
        <v>658</v>
      </c>
      <c r="B1220" s="8" t="s">
        <v>3610</v>
      </c>
      <c r="H1220" s="8" t="s">
        <v>3611</v>
      </c>
      <c r="I1220" s="8" t="s">
        <v>3611</v>
      </c>
      <c r="J1220" s="5">
        <v>9</v>
      </c>
      <c r="K1220" s="5" t="s">
        <v>292</v>
      </c>
      <c r="L1220" s="5" t="s">
        <v>2491</v>
      </c>
      <c r="M1220" s="5">
        <v>72</v>
      </c>
      <c r="N1220" s="5" t="s">
        <v>43</v>
      </c>
      <c r="O1220" s="5" t="s">
        <v>789</v>
      </c>
      <c r="Q1220" s="5" t="s">
        <v>3612</v>
      </c>
      <c r="S1220" s="5" t="s">
        <v>328</v>
      </c>
    </row>
    <row r="1221" spans="1:19" x14ac:dyDescent="0.2">
      <c r="A1221" s="5">
        <v>659</v>
      </c>
      <c r="B1221" s="8" t="s">
        <v>3613</v>
      </c>
      <c r="H1221" s="8" t="s">
        <v>3614</v>
      </c>
      <c r="I1221" s="8" t="s">
        <v>3614</v>
      </c>
      <c r="J1221" s="5">
        <v>4</v>
      </c>
      <c r="K1221" s="5" t="s">
        <v>292</v>
      </c>
      <c r="L1221" s="5" t="s">
        <v>2491</v>
      </c>
      <c r="M1221" s="5">
        <v>72</v>
      </c>
      <c r="N1221" s="5" t="s">
        <v>1104</v>
      </c>
      <c r="O1221" s="5" t="s">
        <v>789</v>
      </c>
      <c r="Q1221" s="10" t="s">
        <v>553</v>
      </c>
    </row>
    <row r="1222" spans="1:19" x14ac:dyDescent="0.2">
      <c r="A1222" s="5">
        <v>660</v>
      </c>
      <c r="B1222" s="8" t="s">
        <v>3615</v>
      </c>
      <c r="H1222" s="8" t="s">
        <v>3615</v>
      </c>
      <c r="I1222" s="8" t="s">
        <v>3615</v>
      </c>
      <c r="J1222" s="5">
        <v>40</v>
      </c>
      <c r="K1222" s="5" t="s">
        <v>292</v>
      </c>
      <c r="L1222" s="5" t="s">
        <v>2491</v>
      </c>
      <c r="M1222" s="5">
        <v>72</v>
      </c>
      <c r="N1222" s="5" t="s">
        <v>1104</v>
      </c>
      <c r="O1222" s="5" t="s">
        <v>789</v>
      </c>
      <c r="Q1222" s="5" t="s">
        <v>3616</v>
      </c>
    </row>
    <row r="1223" spans="1:19" x14ac:dyDescent="0.2">
      <c r="A1223" s="5">
        <v>661</v>
      </c>
      <c r="B1223" s="8" t="s">
        <v>3617</v>
      </c>
      <c r="H1223" s="8" t="s">
        <v>3618</v>
      </c>
      <c r="I1223" s="8" t="s">
        <v>3618</v>
      </c>
      <c r="J1223" s="5">
        <v>236</v>
      </c>
      <c r="K1223" s="5" t="s">
        <v>292</v>
      </c>
      <c r="L1223" s="5" t="s">
        <v>2491</v>
      </c>
      <c r="M1223" s="5">
        <v>72</v>
      </c>
      <c r="N1223" s="5" t="s">
        <v>43</v>
      </c>
      <c r="O1223" s="5" t="s">
        <v>789</v>
      </c>
      <c r="Q1223" s="5" t="s">
        <v>850</v>
      </c>
      <c r="S1223" s="5" t="s">
        <v>328</v>
      </c>
    </row>
    <row r="1224" spans="1:19" x14ac:dyDescent="0.2">
      <c r="A1224" s="5">
        <v>662</v>
      </c>
      <c r="B1224" s="11" t="s">
        <v>3619</v>
      </c>
      <c r="C1224" s="11"/>
      <c r="D1224" s="11"/>
      <c r="E1224" s="26"/>
      <c r="F1224" s="11"/>
      <c r="G1224" s="11"/>
      <c r="H1224" s="8" t="s">
        <v>3620</v>
      </c>
      <c r="I1224" s="8" t="s">
        <v>3620</v>
      </c>
      <c r="J1224" s="5">
        <v>28</v>
      </c>
      <c r="K1224" s="5" t="s">
        <v>292</v>
      </c>
      <c r="L1224" s="5" t="s">
        <v>2491</v>
      </c>
      <c r="M1224" s="5">
        <v>72</v>
      </c>
      <c r="N1224" s="5" t="s">
        <v>1104</v>
      </c>
      <c r="O1224" s="5" t="s">
        <v>789</v>
      </c>
      <c r="Q1224" s="10" t="s">
        <v>553</v>
      </c>
    </row>
    <row r="1225" spans="1:19" x14ac:dyDescent="0.2">
      <c r="A1225" s="5">
        <v>663</v>
      </c>
      <c r="B1225" s="11" t="s">
        <v>3621</v>
      </c>
      <c r="C1225" s="11"/>
      <c r="D1225" s="11"/>
      <c r="E1225" s="26"/>
      <c r="F1225" s="11"/>
      <c r="G1225" s="11"/>
      <c r="H1225" s="8" t="s">
        <v>3622</v>
      </c>
      <c r="I1225" s="8" t="s">
        <v>3622</v>
      </c>
      <c r="J1225" s="5">
        <v>10</v>
      </c>
      <c r="K1225" s="5" t="s">
        <v>292</v>
      </c>
      <c r="L1225" s="5" t="s">
        <v>2491</v>
      </c>
      <c r="M1225" s="5">
        <v>72</v>
      </c>
      <c r="N1225" s="5" t="s">
        <v>43</v>
      </c>
      <c r="O1225" s="5" t="s">
        <v>789</v>
      </c>
      <c r="Q1225" s="5" t="s">
        <v>3623</v>
      </c>
    </row>
    <row r="1226" spans="1:19" x14ac:dyDescent="0.2">
      <c r="A1226" s="5">
        <v>664</v>
      </c>
      <c r="B1226" s="8" t="s">
        <v>3624</v>
      </c>
      <c r="H1226" s="8" t="s">
        <v>3625</v>
      </c>
      <c r="I1226" s="8" t="s">
        <v>3625</v>
      </c>
      <c r="J1226" s="5">
        <v>5</v>
      </c>
      <c r="K1226" s="5" t="s">
        <v>292</v>
      </c>
      <c r="L1226" s="5" t="s">
        <v>2491</v>
      </c>
      <c r="M1226" s="5">
        <v>72</v>
      </c>
      <c r="N1226" s="5" t="s">
        <v>43</v>
      </c>
      <c r="O1226" s="5" t="s">
        <v>789</v>
      </c>
      <c r="Q1226" s="5" t="s">
        <v>3626</v>
      </c>
      <c r="R1226" s="6"/>
      <c r="S1226" s="6" t="s">
        <v>328</v>
      </c>
    </row>
    <row r="1227" spans="1:19" x14ac:dyDescent="0.2">
      <c r="A1227" s="5">
        <v>1399</v>
      </c>
      <c r="B1227" s="8" t="s">
        <v>3627</v>
      </c>
      <c r="H1227" s="8" t="s">
        <v>3628</v>
      </c>
      <c r="I1227" s="8" t="s">
        <v>3629</v>
      </c>
      <c r="J1227" s="5">
        <f>34+4</f>
        <v>38</v>
      </c>
      <c r="K1227" s="5" t="s">
        <v>292</v>
      </c>
      <c r="L1227" s="5" t="s">
        <v>2491</v>
      </c>
      <c r="M1227" s="5">
        <v>73</v>
      </c>
      <c r="N1227" s="5" t="s">
        <v>3480</v>
      </c>
      <c r="O1227" s="5" t="s">
        <v>574</v>
      </c>
      <c r="Q1227" s="10" t="s">
        <v>553</v>
      </c>
      <c r="R1227" s="6"/>
      <c r="S1227" s="6" t="s">
        <v>328</v>
      </c>
    </row>
    <row r="1228" spans="1:19" x14ac:dyDescent="0.2">
      <c r="A1228" s="5">
        <v>1400</v>
      </c>
      <c r="B1228" s="8" t="s">
        <v>3630</v>
      </c>
      <c r="H1228" s="8" t="s">
        <v>3631</v>
      </c>
      <c r="I1228" s="8" t="s">
        <v>3631</v>
      </c>
      <c r="J1228" s="5">
        <f>33-1</f>
        <v>32</v>
      </c>
      <c r="K1228" s="5" t="s">
        <v>292</v>
      </c>
      <c r="L1228" s="5" t="s">
        <v>2491</v>
      </c>
      <c r="M1228" s="5">
        <v>73</v>
      </c>
      <c r="N1228" s="5" t="s">
        <v>3480</v>
      </c>
      <c r="O1228" s="5" t="s">
        <v>574</v>
      </c>
      <c r="Q1228" s="10" t="s">
        <v>553</v>
      </c>
      <c r="R1228" s="6"/>
      <c r="S1228" s="6" t="s">
        <v>328</v>
      </c>
    </row>
    <row r="1229" spans="1:19" x14ac:dyDescent="0.2">
      <c r="A1229" s="5">
        <v>1514</v>
      </c>
      <c r="B1229" s="8" t="s">
        <v>3632</v>
      </c>
      <c r="H1229" s="8" t="s">
        <v>43</v>
      </c>
      <c r="I1229" s="8" t="s">
        <v>3633</v>
      </c>
      <c r="J1229" s="5">
        <v>4</v>
      </c>
      <c r="K1229" s="5" t="s">
        <v>292</v>
      </c>
      <c r="L1229" s="5" t="s">
        <v>2491</v>
      </c>
      <c r="M1229" s="5">
        <v>74</v>
      </c>
      <c r="N1229" s="5" t="s">
        <v>2962</v>
      </c>
      <c r="O1229" s="5" t="s">
        <v>574</v>
      </c>
      <c r="Q1229" s="10" t="s">
        <v>553</v>
      </c>
      <c r="R1229" s="6"/>
      <c r="S1229" s="6"/>
    </row>
    <row r="1230" spans="1:19" x14ac:dyDescent="0.2">
      <c r="A1230" s="5"/>
      <c r="B1230" s="8" t="s">
        <v>3634</v>
      </c>
      <c r="H1230" s="8" t="s">
        <v>3635</v>
      </c>
      <c r="I1230" s="8" t="s">
        <v>3635</v>
      </c>
      <c r="J1230" s="5">
        <f>6</f>
        <v>6</v>
      </c>
      <c r="K1230" s="5" t="s">
        <v>292</v>
      </c>
      <c r="L1230" s="5" t="s">
        <v>2491</v>
      </c>
      <c r="M1230" s="5">
        <v>74</v>
      </c>
      <c r="N1230" s="5" t="s">
        <v>2962</v>
      </c>
      <c r="Q1230" s="10"/>
      <c r="R1230" s="6"/>
      <c r="S1230" s="6" t="s">
        <v>328</v>
      </c>
    </row>
    <row r="1231" spans="1:19" x14ac:dyDescent="0.2">
      <c r="A1231" s="5">
        <v>1515</v>
      </c>
      <c r="B1231" s="8" t="s">
        <v>3636</v>
      </c>
      <c r="H1231" s="8" t="s">
        <v>3628</v>
      </c>
      <c r="I1231" s="8" t="s">
        <v>3628</v>
      </c>
      <c r="J1231" s="5">
        <v>8</v>
      </c>
      <c r="K1231" s="5" t="s">
        <v>292</v>
      </c>
      <c r="L1231" s="5" t="s">
        <v>2491</v>
      </c>
      <c r="M1231" s="5">
        <v>75</v>
      </c>
      <c r="N1231" s="5" t="s">
        <v>2962</v>
      </c>
      <c r="O1231" s="5" t="s">
        <v>574</v>
      </c>
      <c r="Q1231" s="10" t="s">
        <v>553</v>
      </c>
      <c r="R1231" s="6"/>
      <c r="S1231" s="6" t="s">
        <v>328</v>
      </c>
    </row>
    <row r="1232" spans="1:19" x14ac:dyDescent="0.2">
      <c r="A1232" s="5">
        <v>1516</v>
      </c>
      <c r="B1232" s="8" t="s">
        <v>3637</v>
      </c>
      <c r="H1232" s="40" t="s">
        <v>2969</v>
      </c>
      <c r="I1232" s="8" t="s">
        <v>2969</v>
      </c>
      <c r="J1232" s="5">
        <v>1</v>
      </c>
      <c r="K1232" s="5" t="s">
        <v>292</v>
      </c>
      <c r="L1232" s="5" t="s">
        <v>2491</v>
      </c>
      <c r="M1232" s="5">
        <v>75</v>
      </c>
      <c r="N1232" s="5" t="s">
        <v>2962</v>
      </c>
      <c r="O1232" s="5" t="s">
        <v>574</v>
      </c>
      <c r="Q1232" s="10" t="s">
        <v>553</v>
      </c>
      <c r="R1232" s="6"/>
      <c r="S1232" s="6"/>
    </row>
    <row r="1233" spans="1:19" x14ac:dyDescent="0.2">
      <c r="A1233" s="5">
        <v>1517</v>
      </c>
      <c r="B1233" s="8" t="s">
        <v>3638</v>
      </c>
      <c r="C1233" s="8" t="s">
        <v>1113</v>
      </c>
      <c r="D1233" s="8" t="s">
        <v>3639</v>
      </c>
      <c r="E1233" s="24">
        <v>43687</v>
      </c>
      <c r="F1233" s="8" t="s">
        <v>259</v>
      </c>
      <c r="G1233" s="8" t="s">
        <v>375</v>
      </c>
      <c r="H1233" s="8" t="s">
        <v>3640</v>
      </c>
      <c r="I1233" s="8" t="s">
        <v>3641</v>
      </c>
      <c r="J1233" s="5">
        <v>1</v>
      </c>
      <c r="K1233" s="5" t="s">
        <v>292</v>
      </c>
      <c r="L1233" s="5" t="s">
        <v>2491</v>
      </c>
      <c r="M1233" s="5">
        <v>75</v>
      </c>
      <c r="N1233" s="5" t="s">
        <v>2962</v>
      </c>
      <c r="O1233" s="5" t="s">
        <v>574</v>
      </c>
      <c r="Q1233" s="5" t="s">
        <v>1116</v>
      </c>
      <c r="R1233" s="6"/>
      <c r="S1233" s="6" t="s">
        <v>328</v>
      </c>
    </row>
    <row r="1234" spans="1:19" x14ac:dyDescent="0.2">
      <c r="A1234" s="5">
        <v>1518</v>
      </c>
      <c r="B1234" s="8" t="s">
        <v>3642</v>
      </c>
      <c r="H1234" s="8" t="s">
        <v>3643</v>
      </c>
      <c r="I1234" s="8" t="s">
        <v>3643</v>
      </c>
      <c r="J1234" s="5">
        <v>2</v>
      </c>
      <c r="K1234" s="5" t="s">
        <v>292</v>
      </c>
      <c r="L1234" s="5" t="s">
        <v>2491</v>
      </c>
      <c r="M1234" s="5">
        <v>75</v>
      </c>
      <c r="N1234" s="5" t="s">
        <v>3644</v>
      </c>
      <c r="O1234" s="5" t="s">
        <v>574</v>
      </c>
      <c r="Q1234" s="10" t="s">
        <v>553</v>
      </c>
      <c r="R1234" s="6"/>
      <c r="S1234" s="6" t="s">
        <v>328</v>
      </c>
    </row>
    <row r="1235" spans="1:19" x14ac:dyDescent="0.2">
      <c r="A1235" s="5">
        <v>1519</v>
      </c>
      <c r="B1235" s="8" t="s">
        <v>3645</v>
      </c>
      <c r="H1235" s="8" t="s">
        <v>3193</v>
      </c>
      <c r="I1235" s="8" t="s">
        <v>3193</v>
      </c>
      <c r="J1235" s="5">
        <v>2</v>
      </c>
      <c r="K1235" s="5" t="s">
        <v>292</v>
      </c>
      <c r="L1235" s="5" t="s">
        <v>2491</v>
      </c>
      <c r="M1235" s="5">
        <v>75</v>
      </c>
      <c r="N1235" s="5" t="s">
        <v>2962</v>
      </c>
      <c r="O1235" s="5" t="s">
        <v>574</v>
      </c>
      <c r="Q1235" s="10" t="s">
        <v>553</v>
      </c>
      <c r="R1235" s="6"/>
      <c r="S1235" s="6" t="s">
        <v>328</v>
      </c>
    </row>
    <row r="1236" spans="1:19" x14ac:dyDescent="0.2">
      <c r="A1236" s="5">
        <v>1520</v>
      </c>
      <c r="B1236" s="8" t="s">
        <v>3646</v>
      </c>
      <c r="H1236" s="8" t="s">
        <v>3647</v>
      </c>
      <c r="I1236" s="8" t="s">
        <v>3647</v>
      </c>
      <c r="J1236" s="5">
        <v>1</v>
      </c>
      <c r="K1236" s="5" t="s">
        <v>292</v>
      </c>
      <c r="L1236" s="5" t="s">
        <v>2491</v>
      </c>
      <c r="M1236" s="5">
        <v>75</v>
      </c>
      <c r="N1236" s="5" t="s">
        <v>2962</v>
      </c>
      <c r="O1236" s="5" t="s">
        <v>574</v>
      </c>
      <c r="Q1236" s="10" t="s">
        <v>553</v>
      </c>
      <c r="R1236" s="6"/>
      <c r="S1236" s="6" t="s">
        <v>328</v>
      </c>
    </row>
    <row r="1237" spans="1:19" x14ac:dyDescent="0.2">
      <c r="A1237" s="5">
        <v>1521</v>
      </c>
      <c r="B1237" s="8" t="s">
        <v>3648</v>
      </c>
      <c r="H1237" s="8" t="s">
        <v>3629</v>
      </c>
      <c r="I1237" s="8" t="s">
        <v>3649</v>
      </c>
      <c r="J1237" s="5">
        <v>5</v>
      </c>
      <c r="K1237" s="5" t="s">
        <v>292</v>
      </c>
      <c r="L1237" s="5" t="s">
        <v>2491</v>
      </c>
      <c r="M1237" s="5">
        <v>76</v>
      </c>
      <c r="N1237" s="5" t="s">
        <v>2962</v>
      </c>
      <c r="O1237" s="5" t="s">
        <v>574</v>
      </c>
      <c r="Q1237" s="10" t="s">
        <v>553</v>
      </c>
      <c r="R1237" s="6"/>
      <c r="S1237" s="6" t="s">
        <v>328</v>
      </c>
    </row>
    <row r="1238" spans="1:19" x14ac:dyDescent="0.2">
      <c r="A1238" s="5">
        <v>1522</v>
      </c>
      <c r="B1238" s="8" t="s">
        <v>3650</v>
      </c>
      <c r="H1238" s="8" t="s">
        <v>3651</v>
      </c>
      <c r="I1238" s="8" t="s">
        <v>3651</v>
      </c>
      <c r="J1238" s="5">
        <f>2-1</f>
        <v>1</v>
      </c>
      <c r="K1238" s="5" t="s">
        <v>292</v>
      </c>
      <c r="L1238" s="5" t="s">
        <v>2491</v>
      </c>
      <c r="M1238" s="5">
        <v>76</v>
      </c>
      <c r="N1238" s="5" t="s">
        <v>2962</v>
      </c>
      <c r="O1238" s="5" t="s">
        <v>574</v>
      </c>
      <c r="Q1238" s="10" t="s">
        <v>553</v>
      </c>
      <c r="R1238" s="6"/>
      <c r="S1238" s="6" t="s">
        <v>328</v>
      </c>
    </row>
    <row r="1239" spans="1:19" x14ac:dyDescent="0.2">
      <c r="A1239" s="5">
        <v>1523</v>
      </c>
      <c r="B1239" s="8" t="s">
        <v>3652</v>
      </c>
      <c r="H1239" s="8" t="s">
        <v>3653</v>
      </c>
      <c r="I1239" s="8" t="s">
        <v>3653</v>
      </c>
      <c r="J1239" s="5">
        <v>7</v>
      </c>
      <c r="K1239" s="5" t="s">
        <v>292</v>
      </c>
      <c r="L1239" s="5" t="s">
        <v>2491</v>
      </c>
      <c r="M1239" s="5">
        <v>76</v>
      </c>
      <c r="N1239" s="5" t="s">
        <v>2962</v>
      </c>
      <c r="O1239" s="5" t="s">
        <v>574</v>
      </c>
      <c r="Q1239" s="10" t="s">
        <v>3654</v>
      </c>
      <c r="R1239" s="6"/>
      <c r="S1239" s="6" t="s">
        <v>328</v>
      </c>
    </row>
    <row r="1240" spans="1:19" x14ac:dyDescent="0.2">
      <c r="A1240" s="5">
        <v>1524</v>
      </c>
      <c r="B1240" s="8" t="s">
        <v>3655</v>
      </c>
      <c r="H1240" s="8" t="s">
        <v>3656</v>
      </c>
      <c r="I1240" s="8" t="s">
        <v>3656</v>
      </c>
      <c r="J1240" s="5">
        <v>14</v>
      </c>
      <c r="K1240" s="5" t="s">
        <v>292</v>
      </c>
      <c r="L1240" s="5" t="s">
        <v>2491</v>
      </c>
      <c r="M1240" s="5">
        <v>76</v>
      </c>
      <c r="N1240" s="5" t="s">
        <v>2962</v>
      </c>
      <c r="O1240" s="5" t="s">
        <v>574</v>
      </c>
      <c r="Q1240" s="10" t="s">
        <v>553</v>
      </c>
      <c r="R1240" s="6"/>
      <c r="S1240" s="6" t="s">
        <v>328</v>
      </c>
    </row>
    <row r="1241" spans="1:19" x14ac:dyDescent="0.2">
      <c r="A1241" s="5">
        <v>1525</v>
      </c>
      <c r="B1241" s="8" t="s">
        <v>3657</v>
      </c>
      <c r="H1241" s="8" t="s">
        <v>3628</v>
      </c>
      <c r="I1241" s="8" t="s">
        <v>3656</v>
      </c>
      <c r="J1241" s="5">
        <v>1</v>
      </c>
      <c r="K1241" s="5" t="s">
        <v>292</v>
      </c>
      <c r="L1241" s="5" t="s">
        <v>2491</v>
      </c>
      <c r="M1241" s="5">
        <v>76</v>
      </c>
      <c r="N1241" s="5" t="s">
        <v>2962</v>
      </c>
      <c r="O1241" s="5" t="s">
        <v>574</v>
      </c>
      <c r="Q1241" s="10" t="s">
        <v>3658</v>
      </c>
      <c r="R1241" s="6"/>
      <c r="S1241" s="6" t="s">
        <v>328</v>
      </c>
    </row>
    <row r="1242" spans="1:19" x14ac:dyDescent="0.2">
      <c r="A1242" s="5">
        <v>1526</v>
      </c>
      <c r="B1242" s="8" t="s">
        <v>3659</v>
      </c>
      <c r="H1242" s="8" t="s">
        <v>3629</v>
      </c>
      <c r="I1242" s="8" t="s">
        <v>3629</v>
      </c>
      <c r="J1242" s="5">
        <v>10</v>
      </c>
      <c r="K1242" s="5" t="s">
        <v>292</v>
      </c>
      <c r="L1242" s="5" t="s">
        <v>2491</v>
      </c>
      <c r="M1242" s="5">
        <v>76</v>
      </c>
      <c r="N1242" s="5" t="s">
        <v>2962</v>
      </c>
      <c r="O1242" s="5" t="s">
        <v>574</v>
      </c>
      <c r="Q1242" s="10" t="s">
        <v>553</v>
      </c>
      <c r="R1242" s="6"/>
      <c r="S1242" s="6" t="s">
        <v>328</v>
      </c>
    </row>
    <row r="1243" spans="1:19" x14ac:dyDescent="0.2">
      <c r="A1243" s="5">
        <v>1527</v>
      </c>
      <c r="B1243" s="8" t="s">
        <v>3660</v>
      </c>
      <c r="H1243" s="8" t="s">
        <v>3629</v>
      </c>
      <c r="I1243" s="8" t="s">
        <v>3629</v>
      </c>
      <c r="J1243" s="5">
        <f>2-1</f>
        <v>1</v>
      </c>
      <c r="K1243" s="5" t="s">
        <v>292</v>
      </c>
      <c r="L1243" s="5" t="s">
        <v>2491</v>
      </c>
      <c r="M1243" s="5">
        <v>76</v>
      </c>
      <c r="N1243" s="5" t="s">
        <v>2962</v>
      </c>
      <c r="O1243" s="5" t="s">
        <v>574</v>
      </c>
      <c r="Q1243" s="10" t="s">
        <v>3661</v>
      </c>
      <c r="R1243" s="6"/>
      <c r="S1243" s="6" t="s">
        <v>328</v>
      </c>
    </row>
    <row r="1244" spans="1:19" x14ac:dyDescent="0.2">
      <c r="A1244" s="5">
        <v>1528</v>
      </c>
      <c r="B1244" s="8" t="s">
        <v>3662</v>
      </c>
      <c r="H1244" s="8" t="s">
        <v>3663</v>
      </c>
      <c r="I1244" s="8" t="s">
        <v>3663</v>
      </c>
      <c r="J1244" s="5">
        <v>8</v>
      </c>
      <c r="K1244" s="5" t="s">
        <v>292</v>
      </c>
      <c r="L1244" s="5" t="s">
        <v>2491</v>
      </c>
      <c r="M1244" s="5">
        <v>77</v>
      </c>
      <c r="N1244" s="5" t="s">
        <v>2913</v>
      </c>
      <c r="O1244" s="5" t="s">
        <v>574</v>
      </c>
      <c r="Q1244" s="10" t="s">
        <v>553</v>
      </c>
      <c r="R1244" s="6"/>
      <c r="S1244" s="6" t="s">
        <v>328</v>
      </c>
    </row>
    <row r="1245" spans="1:19" x14ac:dyDescent="0.2">
      <c r="A1245" s="5">
        <v>1529</v>
      </c>
      <c r="B1245" s="8" t="s">
        <v>3664</v>
      </c>
      <c r="H1245" s="8" t="s">
        <v>2872</v>
      </c>
      <c r="I1245" s="8" t="s">
        <v>2872</v>
      </c>
      <c r="J1245" s="5">
        <v>77</v>
      </c>
      <c r="K1245" s="5" t="s">
        <v>292</v>
      </c>
      <c r="L1245" s="5" t="s">
        <v>2491</v>
      </c>
      <c r="M1245" s="5">
        <v>77</v>
      </c>
      <c r="N1245" s="5" t="s">
        <v>2913</v>
      </c>
      <c r="O1245" s="5" t="s">
        <v>574</v>
      </c>
      <c r="Q1245" s="10" t="s">
        <v>553</v>
      </c>
      <c r="R1245" s="6"/>
      <c r="S1245" s="6" t="s">
        <v>328</v>
      </c>
    </row>
    <row r="1246" spans="1:19" x14ac:dyDescent="0.2">
      <c r="A1246" s="5">
        <v>1530</v>
      </c>
      <c r="B1246" s="8" t="s">
        <v>3665</v>
      </c>
      <c r="H1246" s="8" t="s">
        <v>2872</v>
      </c>
      <c r="I1246" s="8" t="s">
        <v>2872</v>
      </c>
      <c r="J1246" s="5">
        <v>21</v>
      </c>
      <c r="K1246" s="5" t="s">
        <v>292</v>
      </c>
      <c r="L1246" s="5" t="s">
        <v>2491</v>
      </c>
      <c r="M1246" s="5">
        <v>77</v>
      </c>
      <c r="N1246" s="5" t="s">
        <v>2913</v>
      </c>
      <c r="O1246" s="5" t="s">
        <v>574</v>
      </c>
      <c r="Q1246" s="5" t="s">
        <v>3666</v>
      </c>
      <c r="R1246" s="6"/>
      <c r="S1246" s="6" t="s">
        <v>328</v>
      </c>
    </row>
    <row r="1247" spans="1:19" x14ac:dyDescent="0.2">
      <c r="A1247" s="5">
        <v>1531</v>
      </c>
      <c r="B1247" s="8" t="s">
        <v>3667</v>
      </c>
      <c r="H1247" s="8" t="s">
        <v>3668</v>
      </c>
      <c r="I1247" s="8" t="s">
        <v>3668</v>
      </c>
      <c r="J1247" s="5">
        <v>33</v>
      </c>
      <c r="K1247" s="5" t="s">
        <v>292</v>
      </c>
      <c r="L1247" s="5" t="s">
        <v>2491</v>
      </c>
      <c r="M1247" s="5">
        <v>77</v>
      </c>
      <c r="N1247" s="5" t="s">
        <v>2913</v>
      </c>
      <c r="O1247" s="5" t="s">
        <v>574</v>
      </c>
      <c r="Q1247" s="10" t="s">
        <v>553</v>
      </c>
      <c r="R1247" s="6"/>
      <c r="S1247" s="6" t="s">
        <v>3669</v>
      </c>
    </row>
    <row r="1248" spans="1:19" x14ac:dyDescent="0.2">
      <c r="A1248" s="5">
        <v>1532</v>
      </c>
      <c r="B1248" s="8" t="s">
        <v>3665</v>
      </c>
      <c r="H1248" s="8" t="s">
        <v>3663</v>
      </c>
      <c r="I1248" s="8" t="s">
        <v>3663</v>
      </c>
      <c r="J1248" s="5">
        <v>0</v>
      </c>
      <c r="K1248" s="5" t="s">
        <v>292</v>
      </c>
      <c r="L1248" s="5" t="s">
        <v>2491</v>
      </c>
      <c r="M1248" s="5">
        <v>77</v>
      </c>
      <c r="N1248" s="5" t="s">
        <v>2913</v>
      </c>
      <c r="O1248" s="5" t="s">
        <v>574</v>
      </c>
      <c r="Q1248" s="10" t="s">
        <v>3670</v>
      </c>
      <c r="R1248" s="6"/>
      <c r="S1248" s="6" t="s">
        <v>328</v>
      </c>
    </row>
    <row r="1249" spans="1:20" x14ac:dyDescent="0.2">
      <c r="A1249" s="5">
        <v>1533</v>
      </c>
      <c r="B1249" s="8" t="s">
        <v>3671</v>
      </c>
      <c r="H1249" s="8" t="s">
        <v>3663</v>
      </c>
      <c r="I1249" s="8" t="s">
        <v>3663</v>
      </c>
      <c r="J1249" s="5">
        <v>0</v>
      </c>
      <c r="K1249" s="5" t="s">
        <v>292</v>
      </c>
      <c r="L1249" s="5" t="s">
        <v>2491</v>
      </c>
      <c r="M1249" s="5">
        <v>77</v>
      </c>
      <c r="N1249" s="5" t="s">
        <v>2913</v>
      </c>
      <c r="O1249" s="5" t="s">
        <v>574</v>
      </c>
      <c r="Q1249" s="10" t="s">
        <v>553</v>
      </c>
      <c r="R1249" s="6"/>
      <c r="S1249" s="6"/>
    </row>
    <row r="1250" spans="1:20" x14ac:dyDescent="0.2">
      <c r="A1250" s="5"/>
      <c r="B1250" s="8" t="s">
        <v>3672</v>
      </c>
      <c r="H1250" s="8" t="s">
        <v>2905</v>
      </c>
      <c r="I1250" s="8" t="s">
        <v>2905</v>
      </c>
      <c r="J1250" s="5">
        <f>30-12</f>
        <v>18</v>
      </c>
      <c r="K1250" s="5" t="s">
        <v>292</v>
      </c>
      <c r="L1250" s="5" t="s">
        <v>2491</v>
      </c>
      <c r="M1250" s="5">
        <v>77</v>
      </c>
      <c r="N1250" s="5" t="s">
        <v>2913</v>
      </c>
      <c r="Q1250" s="107" t="s">
        <v>3673</v>
      </c>
      <c r="R1250" s="6"/>
      <c r="S1250" s="6"/>
    </row>
    <row r="1251" spans="1:20" x14ac:dyDescent="0.2">
      <c r="A1251" s="5"/>
      <c r="B1251" s="8" t="s">
        <v>3674</v>
      </c>
      <c r="H1251" s="8" t="s">
        <v>2905</v>
      </c>
      <c r="I1251" s="8" t="s">
        <v>2905</v>
      </c>
      <c r="J1251" s="5">
        <f>100-32+236-52-10</f>
        <v>242</v>
      </c>
      <c r="K1251" s="5" t="s">
        <v>292</v>
      </c>
      <c r="L1251" s="5" t="s">
        <v>2491</v>
      </c>
      <c r="M1251" s="5">
        <v>77</v>
      </c>
      <c r="N1251" s="5" t="s">
        <v>2913</v>
      </c>
      <c r="Q1251" s="107" t="s">
        <v>3129</v>
      </c>
    </row>
    <row r="1252" spans="1:20" x14ac:dyDescent="0.2">
      <c r="A1252" s="5">
        <v>312</v>
      </c>
      <c r="B1252" s="8" t="s">
        <v>3675</v>
      </c>
      <c r="H1252" s="8" t="s">
        <v>3676</v>
      </c>
      <c r="I1252" s="8" t="s">
        <v>3676</v>
      </c>
      <c r="J1252" s="5">
        <f>13+5-10</f>
        <v>8</v>
      </c>
      <c r="K1252" s="5" t="s">
        <v>292</v>
      </c>
      <c r="L1252" s="5" t="s">
        <v>2491</v>
      </c>
      <c r="M1252" s="5">
        <v>78</v>
      </c>
      <c r="N1252" s="5" t="s">
        <v>1418</v>
      </c>
      <c r="Q1252" s="5" t="s">
        <v>3677</v>
      </c>
    </row>
    <row r="1253" spans="1:20" x14ac:dyDescent="0.2">
      <c r="A1253" s="5">
        <v>649</v>
      </c>
      <c r="B1253" s="8" t="s">
        <v>3678</v>
      </c>
      <c r="H1253" s="8" t="s">
        <v>3679</v>
      </c>
      <c r="I1253" s="8" t="s">
        <v>3679</v>
      </c>
      <c r="J1253" s="5">
        <v>53</v>
      </c>
      <c r="K1253" s="5" t="s">
        <v>292</v>
      </c>
      <c r="L1253" s="5" t="s">
        <v>2491</v>
      </c>
      <c r="M1253" s="5">
        <v>78</v>
      </c>
      <c r="N1253" s="5" t="s">
        <v>43</v>
      </c>
      <c r="O1253" s="5" t="s">
        <v>789</v>
      </c>
      <c r="Q1253" s="10" t="s">
        <v>3680</v>
      </c>
    </row>
    <row r="1254" spans="1:20" x14ac:dyDescent="0.2">
      <c r="A1254" s="5">
        <v>650</v>
      </c>
      <c r="B1254" s="8" t="s">
        <v>3681</v>
      </c>
      <c r="H1254" s="8" t="s">
        <v>3682</v>
      </c>
      <c r="I1254" s="8" t="s">
        <v>3682</v>
      </c>
      <c r="J1254" s="5">
        <v>6</v>
      </c>
      <c r="K1254" s="5" t="s">
        <v>292</v>
      </c>
      <c r="L1254" s="5" t="s">
        <v>2491</v>
      </c>
      <c r="M1254" s="5">
        <v>78</v>
      </c>
      <c r="N1254" s="5" t="s">
        <v>43</v>
      </c>
      <c r="O1254" s="5" t="s">
        <v>789</v>
      </c>
      <c r="Q1254" s="5" t="s">
        <v>3680</v>
      </c>
      <c r="S1254" s="5" t="s">
        <v>328</v>
      </c>
    </row>
    <row r="1255" spans="1:20" x14ac:dyDescent="0.2">
      <c r="A1255" s="5">
        <v>651</v>
      </c>
      <c r="B1255" s="8" t="s">
        <v>3683</v>
      </c>
      <c r="H1255" s="8" t="s">
        <v>3684</v>
      </c>
      <c r="I1255" s="8" t="s">
        <v>3684</v>
      </c>
      <c r="J1255" s="5">
        <v>20</v>
      </c>
      <c r="K1255" s="5" t="s">
        <v>292</v>
      </c>
      <c r="L1255" s="5" t="s">
        <v>2491</v>
      </c>
      <c r="M1255" s="5">
        <v>78</v>
      </c>
      <c r="N1255" s="5" t="s">
        <v>43</v>
      </c>
      <c r="O1255" s="5" t="s">
        <v>789</v>
      </c>
      <c r="Q1255" s="10" t="s">
        <v>553</v>
      </c>
    </row>
    <row r="1256" spans="1:20" x14ac:dyDescent="0.2">
      <c r="A1256" s="5">
        <v>652</v>
      </c>
      <c r="B1256" s="8" t="s">
        <v>3685</v>
      </c>
      <c r="H1256" s="8" t="s">
        <v>3686</v>
      </c>
      <c r="I1256" s="8" t="s">
        <v>3686</v>
      </c>
      <c r="J1256" s="5">
        <v>2</v>
      </c>
      <c r="K1256" s="5" t="s">
        <v>292</v>
      </c>
      <c r="L1256" s="5" t="s">
        <v>2491</v>
      </c>
      <c r="M1256" s="5">
        <v>78</v>
      </c>
      <c r="N1256" s="5" t="s">
        <v>43</v>
      </c>
      <c r="O1256" s="5" t="s">
        <v>789</v>
      </c>
      <c r="Q1256" s="5" t="s">
        <v>3687</v>
      </c>
      <c r="R1256" s="6"/>
      <c r="S1256" s="6" t="s">
        <v>328</v>
      </c>
    </row>
    <row r="1257" spans="1:20" x14ac:dyDescent="0.2">
      <c r="A1257" s="5">
        <v>1495</v>
      </c>
      <c r="B1257" s="8" t="s">
        <v>3688</v>
      </c>
      <c r="H1257" s="8" t="s">
        <v>3689</v>
      </c>
      <c r="I1257" s="8" t="s">
        <v>3690</v>
      </c>
      <c r="J1257" s="5">
        <v>900</v>
      </c>
      <c r="K1257" s="5" t="s">
        <v>292</v>
      </c>
      <c r="L1257" s="5" t="s">
        <v>2491</v>
      </c>
      <c r="M1257" s="5">
        <v>79</v>
      </c>
      <c r="N1257" s="5" t="s">
        <v>805</v>
      </c>
      <c r="O1257" s="5" t="s">
        <v>574</v>
      </c>
      <c r="Q1257" s="10" t="s">
        <v>553</v>
      </c>
      <c r="S1257" s="5" t="s">
        <v>328</v>
      </c>
    </row>
    <row r="1258" spans="1:20" x14ac:dyDescent="0.2">
      <c r="A1258" s="5">
        <v>427</v>
      </c>
      <c r="B1258" s="8" t="s">
        <v>3691</v>
      </c>
      <c r="H1258" s="8" t="s">
        <v>3692</v>
      </c>
      <c r="I1258" s="8" t="s">
        <v>3476</v>
      </c>
      <c r="J1258" s="5">
        <f>71-10</f>
        <v>61</v>
      </c>
      <c r="K1258" s="5" t="s">
        <v>292</v>
      </c>
      <c r="L1258" s="5" t="s">
        <v>2491</v>
      </c>
      <c r="M1258" s="5">
        <v>80</v>
      </c>
      <c r="N1258" s="5" t="s">
        <v>43</v>
      </c>
      <c r="O1258" s="5" t="s">
        <v>789</v>
      </c>
      <c r="Q1258" s="10" t="s">
        <v>553</v>
      </c>
      <c r="S1258" s="5" t="s">
        <v>328</v>
      </c>
    </row>
    <row r="1259" spans="1:20" x14ac:dyDescent="0.2">
      <c r="A1259" s="5">
        <v>707</v>
      </c>
      <c r="B1259" s="11" t="s">
        <v>3693</v>
      </c>
      <c r="C1259" s="11"/>
      <c r="D1259" s="11"/>
      <c r="E1259" s="26"/>
      <c r="F1259" s="11"/>
      <c r="G1259" s="11"/>
      <c r="H1259" s="8" t="s">
        <v>1292</v>
      </c>
      <c r="I1259" s="8" t="s">
        <v>1292</v>
      </c>
      <c r="J1259" s="5">
        <v>2</v>
      </c>
      <c r="K1259" s="5" t="s">
        <v>292</v>
      </c>
      <c r="L1259" s="5" t="s">
        <v>2491</v>
      </c>
      <c r="M1259" s="5">
        <v>80</v>
      </c>
      <c r="N1259" s="5" t="s">
        <v>3237</v>
      </c>
      <c r="O1259" s="5" t="s">
        <v>789</v>
      </c>
      <c r="Q1259" s="5" t="s">
        <v>553</v>
      </c>
      <c r="R1259" s="6"/>
      <c r="S1259" s="6"/>
    </row>
    <row r="1260" spans="1:20" x14ac:dyDescent="0.2">
      <c r="A1260" s="5">
        <v>1496</v>
      </c>
      <c r="B1260" s="8" t="s">
        <v>3694</v>
      </c>
      <c r="H1260" s="8" t="s">
        <v>43</v>
      </c>
      <c r="I1260" s="8" t="s">
        <v>3695</v>
      </c>
      <c r="J1260" s="5">
        <v>0</v>
      </c>
      <c r="K1260" s="5" t="s">
        <v>292</v>
      </c>
      <c r="L1260" s="5" t="s">
        <v>2491</v>
      </c>
      <c r="M1260" s="5">
        <v>80</v>
      </c>
      <c r="N1260" s="5" t="s">
        <v>805</v>
      </c>
      <c r="O1260" s="5" t="s">
        <v>574</v>
      </c>
      <c r="Q1260" s="5" t="s">
        <v>1276</v>
      </c>
      <c r="R1260" s="6"/>
      <c r="S1260" s="6" t="s">
        <v>328</v>
      </c>
      <c r="T1260" s="5" t="s">
        <v>777</v>
      </c>
    </row>
    <row r="1261" spans="1:20" x14ac:dyDescent="0.2">
      <c r="A1261" s="5">
        <v>1501</v>
      </c>
      <c r="B1261" s="8" t="s">
        <v>3696</v>
      </c>
      <c r="H1261" s="8" t="s">
        <v>3697</v>
      </c>
      <c r="I1261" s="8" t="s">
        <v>3697</v>
      </c>
      <c r="J1261" s="5">
        <v>47</v>
      </c>
      <c r="K1261" s="5" t="s">
        <v>292</v>
      </c>
      <c r="L1261" s="5" t="s">
        <v>2491</v>
      </c>
      <c r="M1261" s="5">
        <v>81</v>
      </c>
      <c r="N1261" s="5" t="s">
        <v>805</v>
      </c>
      <c r="O1261" s="5" t="s">
        <v>574</v>
      </c>
      <c r="Q1261" s="10" t="s">
        <v>553</v>
      </c>
      <c r="R1261" s="6"/>
      <c r="S1261" s="6"/>
    </row>
    <row r="1262" spans="1:20" x14ac:dyDescent="0.2">
      <c r="A1262" s="5"/>
      <c r="B1262" s="8" t="s">
        <v>3698</v>
      </c>
      <c r="H1262" s="8" t="s">
        <v>3699</v>
      </c>
      <c r="I1262" s="8" t="s">
        <v>3699</v>
      </c>
      <c r="J1262" s="5">
        <f>6-2+21</f>
        <v>25</v>
      </c>
      <c r="K1262" s="5" t="s">
        <v>292</v>
      </c>
      <c r="L1262" s="5" t="s">
        <v>2491</v>
      </c>
      <c r="M1262" s="5">
        <v>82</v>
      </c>
      <c r="N1262" s="5" t="s">
        <v>2962</v>
      </c>
      <c r="Q1262" s="10" t="s">
        <v>3700</v>
      </c>
      <c r="R1262" s="6"/>
      <c r="S1262" s="6"/>
    </row>
    <row r="1263" spans="1:20" x14ac:dyDescent="0.2">
      <c r="A1263" s="5">
        <v>1502</v>
      </c>
      <c r="B1263" s="8" t="s">
        <v>3701</v>
      </c>
      <c r="H1263" s="8" t="s">
        <v>3702</v>
      </c>
      <c r="I1263" s="8" t="s">
        <v>3702</v>
      </c>
      <c r="J1263" s="5">
        <v>9</v>
      </c>
      <c r="K1263" s="5" t="s">
        <v>292</v>
      </c>
      <c r="L1263" s="5" t="s">
        <v>2491</v>
      </c>
      <c r="M1263" s="5">
        <v>82</v>
      </c>
      <c r="N1263" s="5" t="s">
        <v>2962</v>
      </c>
      <c r="O1263" s="5" t="s">
        <v>574</v>
      </c>
      <c r="Q1263" s="10" t="s">
        <v>3703</v>
      </c>
      <c r="R1263" s="6"/>
      <c r="S1263" s="6" t="s">
        <v>328</v>
      </c>
    </row>
    <row r="1264" spans="1:20" x14ac:dyDescent="0.2">
      <c r="A1264" s="5">
        <v>1503</v>
      </c>
      <c r="B1264" s="8" t="s">
        <v>3704</v>
      </c>
      <c r="H1264" s="8" t="s">
        <v>3629</v>
      </c>
      <c r="I1264" s="8" t="s">
        <v>3629</v>
      </c>
      <c r="J1264" s="5">
        <v>2</v>
      </c>
      <c r="K1264" s="5" t="s">
        <v>292</v>
      </c>
      <c r="L1264" s="5" t="s">
        <v>2491</v>
      </c>
      <c r="M1264" s="5">
        <v>82</v>
      </c>
      <c r="N1264" s="5" t="s">
        <v>2962</v>
      </c>
      <c r="O1264" s="5" t="s">
        <v>574</v>
      </c>
      <c r="Q1264" s="10" t="s">
        <v>553</v>
      </c>
      <c r="R1264" s="6"/>
      <c r="S1264" s="6" t="s">
        <v>328</v>
      </c>
    </row>
    <row r="1265" spans="1:21" x14ac:dyDescent="0.2">
      <c r="A1265" s="5"/>
      <c r="B1265" s="8" t="s">
        <v>3705</v>
      </c>
      <c r="H1265" s="8" t="s">
        <v>3629</v>
      </c>
      <c r="I1265" s="8" t="s">
        <v>3629</v>
      </c>
      <c r="J1265" s="5">
        <f>4</f>
        <v>4</v>
      </c>
      <c r="K1265" s="5" t="s">
        <v>292</v>
      </c>
      <c r="L1265" s="5" t="s">
        <v>2491</v>
      </c>
      <c r="M1265" s="5">
        <v>82</v>
      </c>
      <c r="N1265" s="5" t="s">
        <v>2962</v>
      </c>
      <c r="O1265" s="5" t="s">
        <v>574</v>
      </c>
      <c r="Q1265" s="10"/>
      <c r="R1265" s="6"/>
      <c r="S1265" s="6"/>
      <c r="U1265" t="s">
        <v>321</v>
      </c>
    </row>
    <row r="1266" spans="1:21" x14ac:dyDescent="0.2">
      <c r="A1266" s="5">
        <v>1504</v>
      </c>
      <c r="B1266" s="8" t="s">
        <v>3706</v>
      </c>
      <c r="H1266" s="8" t="s">
        <v>3653</v>
      </c>
      <c r="I1266" s="8" t="s">
        <v>3653</v>
      </c>
      <c r="J1266" s="5">
        <v>2</v>
      </c>
      <c r="K1266" s="5" t="s">
        <v>292</v>
      </c>
      <c r="L1266" s="5" t="s">
        <v>2491</v>
      </c>
      <c r="M1266" s="5">
        <v>83</v>
      </c>
      <c r="N1266" s="5" t="s">
        <v>2962</v>
      </c>
      <c r="O1266" s="5" t="s">
        <v>574</v>
      </c>
      <c r="Q1266" s="10" t="s">
        <v>553</v>
      </c>
      <c r="R1266" s="6"/>
      <c r="S1266" s="6" t="s">
        <v>328</v>
      </c>
    </row>
    <row r="1267" spans="1:21" x14ac:dyDescent="0.2">
      <c r="A1267" s="5">
        <v>1505</v>
      </c>
      <c r="B1267" s="8" t="s">
        <v>3707</v>
      </c>
      <c r="H1267" s="8" t="s">
        <v>3708</v>
      </c>
      <c r="I1267" s="8" t="s">
        <v>3708</v>
      </c>
      <c r="J1267" s="5">
        <v>26</v>
      </c>
      <c r="K1267" s="5" t="s">
        <v>292</v>
      </c>
      <c r="L1267" s="5" t="s">
        <v>2491</v>
      </c>
      <c r="M1267" s="5">
        <v>83</v>
      </c>
      <c r="N1267" s="5" t="s">
        <v>2962</v>
      </c>
      <c r="O1267" s="5" t="s">
        <v>574</v>
      </c>
      <c r="Q1267" s="10" t="s">
        <v>553</v>
      </c>
      <c r="R1267" s="6"/>
      <c r="S1267" s="6" t="s">
        <v>328</v>
      </c>
    </row>
    <row r="1268" spans="1:21" x14ac:dyDescent="0.2">
      <c r="A1268" s="5">
        <v>1506</v>
      </c>
      <c r="B1268" s="8" t="s">
        <v>3709</v>
      </c>
      <c r="H1268" s="8" t="s">
        <v>3629</v>
      </c>
      <c r="I1268" s="8" t="s">
        <v>3629</v>
      </c>
      <c r="J1268" s="5">
        <v>6</v>
      </c>
      <c r="K1268" s="5" t="s">
        <v>292</v>
      </c>
      <c r="L1268" s="5" t="s">
        <v>2491</v>
      </c>
      <c r="M1268" s="5">
        <v>83</v>
      </c>
      <c r="N1268" s="5" t="s">
        <v>2962</v>
      </c>
      <c r="O1268" s="5" t="s">
        <v>574</v>
      </c>
      <c r="Q1268" s="10" t="s">
        <v>553</v>
      </c>
      <c r="R1268" s="6"/>
      <c r="S1268" s="6" t="s">
        <v>328</v>
      </c>
    </row>
    <row r="1269" spans="1:21" x14ac:dyDescent="0.2">
      <c r="A1269" s="5">
        <v>1507</v>
      </c>
      <c r="B1269" s="8" t="s">
        <v>3710</v>
      </c>
      <c r="H1269" s="8" t="s">
        <v>3699</v>
      </c>
      <c r="I1269" s="8" t="s">
        <v>3699</v>
      </c>
      <c r="J1269" s="5">
        <v>1</v>
      </c>
      <c r="K1269" s="5" t="s">
        <v>292</v>
      </c>
      <c r="L1269" s="5" t="s">
        <v>2491</v>
      </c>
      <c r="M1269" s="5">
        <v>83</v>
      </c>
      <c r="N1269" s="5" t="s">
        <v>2962</v>
      </c>
      <c r="O1269" s="5" t="s">
        <v>574</v>
      </c>
      <c r="Q1269" s="10" t="s">
        <v>553</v>
      </c>
      <c r="R1269" s="6"/>
      <c r="S1269" s="6" t="s">
        <v>328</v>
      </c>
    </row>
    <row r="1270" spans="1:21" x14ac:dyDescent="0.2">
      <c r="A1270" s="5">
        <v>1508</v>
      </c>
      <c r="B1270" s="8" t="s">
        <v>3711</v>
      </c>
      <c r="H1270" s="8" t="s">
        <v>3699</v>
      </c>
      <c r="I1270" s="8" t="s">
        <v>3699</v>
      </c>
      <c r="J1270" s="5">
        <v>2</v>
      </c>
      <c r="K1270" s="5" t="s">
        <v>292</v>
      </c>
      <c r="L1270" s="5" t="s">
        <v>2491</v>
      </c>
      <c r="M1270" s="5">
        <v>83</v>
      </c>
      <c r="N1270" s="5" t="s">
        <v>2962</v>
      </c>
      <c r="O1270" s="5" t="s">
        <v>574</v>
      </c>
      <c r="Q1270" s="10" t="s">
        <v>553</v>
      </c>
      <c r="R1270" s="6"/>
      <c r="S1270" s="6" t="s">
        <v>328</v>
      </c>
    </row>
    <row r="1271" spans="1:21" x14ac:dyDescent="0.2">
      <c r="A1271" s="5">
        <v>1509</v>
      </c>
      <c r="B1271" s="8" t="s">
        <v>3701</v>
      </c>
      <c r="H1271" s="8" t="s">
        <v>3702</v>
      </c>
      <c r="I1271" s="8" t="s">
        <v>3702</v>
      </c>
      <c r="J1271" s="5">
        <v>0</v>
      </c>
      <c r="K1271" s="5" t="s">
        <v>292</v>
      </c>
      <c r="L1271" s="5" t="s">
        <v>2491</v>
      </c>
      <c r="M1271" s="5">
        <v>83</v>
      </c>
      <c r="N1271" s="5" t="s">
        <v>2962</v>
      </c>
      <c r="O1271" s="5" t="s">
        <v>574</v>
      </c>
      <c r="Q1271" s="10" t="s">
        <v>3703</v>
      </c>
      <c r="R1271" s="6"/>
      <c r="S1271" s="6" t="s">
        <v>328</v>
      </c>
    </row>
    <row r="1272" spans="1:21" x14ac:dyDescent="0.2">
      <c r="A1272" s="5">
        <v>1510</v>
      </c>
      <c r="B1272" s="8" t="s">
        <v>3712</v>
      </c>
      <c r="H1272" s="8" t="s">
        <v>3713</v>
      </c>
      <c r="I1272" s="8" t="s">
        <v>3713</v>
      </c>
      <c r="J1272" s="5">
        <v>20</v>
      </c>
      <c r="K1272" s="5" t="s">
        <v>292</v>
      </c>
      <c r="L1272" s="5" t="s">
        <v>2491</v>
      </c>
      <c r="M1272" s="5">
        <v>83</v>
      </c>
      <c r="N1272" s="5" t="s">
        <v>2962</v>
      </c>
      <c r="O1272" s="5" t="s">
        <v>574</v>
      </c>
      <c r="Q1272" s="10" t="s">
        <v>3714</v>
      </c>
      <c r="R1272" s="6"/>
      <c r="S1272" s="6" t="s">
        <v>1139</v>
      </c>
    </row>
    <row r="1273" spans="1:21" x14ac:dyDescent="0.2">
      <c r="A1273" s="5">
        <v>1511</v>
      </c>
      <c r="H1273" s="8" t="s">
        <v>3713</v>
      </c>
      <c r="I1273" s="8" t="s">
        <v>3715</v>
      </c>
      <c r="J1273" s="5">
        <v>0</v>
      </c>
      <c r="K1273" s="5" t="s">
        <v>292</v>
      </c>
      <c r="L1273" s="5" t="s">
        <v>2491</v>
      </c>
      <c r="M1273" s="5">
        <v>83</v>
      </c>
      <c r="N1273" s="5" t="s">
        <v>2962</v>
      </c>
      <c r="O1273" s="5" t="s">
        <v>574</v>
      </c>
      <c r="Q1273" s="10" t="s">
        <v>553</v>
      </c>
    </row>
    <row r="1274" spans="1:21" x14ac:dyDescent="0.2">
      <c r="A1274" s="5">
        <v>2379</v>
      </c>
      <c r="B1274" s="8" t="s">
        <v>3493</v>
      </c>
      <c r="H1274" s="8" t="s">
        <v>3716</v>
      </c>
      <c r="I1274" s="8" t="s">
        <v>3716</v>
      </c>
      <c r="J1274" s="5">
        <v>0</v>
      </c>
      <c r="K1274" s="5" t="s">
        <v>292</v>
      </c>
      <c r="L1274" s="5" t="s">
        <v>2491</v>
      </c>
      <c r="M1274" s="5">
        <v>83</v>
      </c>
      <c r="N1274" s="5" t="s">
        <v>76</v>
      </c>
      <c r="O1274" s="5" t="s">
        <v>520</v>
      </c>
      <c r="Q1274" s="5" t="s">
        <v>3717</v>
      </c>
      <c r="R1274" s="6"/>
      <c r="S1274" s="6" t="s">
        <v>328</v>
      </c>
    </row>
    <row r="1275" spans="1:21" x14ac:dyDescent="0.2">
      <c r="A1275" s="5"/>
      <c r="B1275" s="8" t="s">
        <v>3718</v>
      </c>
      <c r="I1275" s="8" t="s">
        <v>3719</v>
      </c>
      <c r="J1275" s="5">
        <f>2</f>
        <v>2</v>
      </c>
      <c r="K1275" s="5" t="s">
        <v>292</v>
      </c>
      <c r="L1275" s="5" t="s">
        <v>2491</v>
      </c>
      <c r="M1275" s="5">
        <v>83</v>
      </c>
      <c r="R1275" s="6"/>
      <c r="S1275" s="6"/>
    </row>
    <row r="1276" spans="1:21" x14ac:dyDescent="0.2">
      <c r="A1276" s="5">
        <v>1755</v>
      </c>
      <c r="B1276" s="8" t="s">
        <v>3720</v>
      </c>
      <c r="H1276" s="8" t="s">
        <v>3721</v>
      </c>
      <c r="I1276" s="8" t="s">
        <v>3722</v>
      </c>
      <c r="J1276" s="5">
        <f>307-107</f>
        <v>200</v>
      </c>
      <c r="K1276" s="5" t="s">
        <v>292</v>
      </c>
      <c r="L1276" s="5" t="s">
        <v>3723</v>
      </c>
      <c r="M1276" s="5">
        <v>1</v>
      </c>
      <c r="N1276" s="5" t="s">
        <v>3724</v>
      </c>
      <c r="O1276" s="5" t="s">
        <v>574</v>
      </c>
      <c r="Q1276" s="10" t="s">
        <v>553</v>
      </c>
      <c r="R1276" s="6"/>
      <c r="S1276" s="6"/>
    </row>
    <row r="1277" spans="1:21" x14ac:dyDescent="0.2">
      <c r="A1277" s="5"/>
      <c r="B1277" s="8" t="s">
        <v>3725</v>
      </c>
      <c r="H1277" s="8" t="s">
        <v>3726</v>
      </c>
      <c r="I1277" s="8" t="s">
        <v>3726</v>
      </c>
      <c r="J1277" s="5">
        <f>5</f>
        <v>5</v>
      </c>
      <c r="K1277" s="5" t="s">
        <v>292</v>
      </c>
      <c r="L1277" s="5" t="s">
        <v>3723</v>
      </c>
      <c r="M1277" s="5">
        <v>1</v>
      </c>
      <c r="Q1277" s="10" t="s">
        <v>3727</v>
      </c>
      <c r="R1277" s="6"/>
      <c r="S1277" s="6" t="s">
        <v>328</v>
      </c>
    </row>
    <row r="1278" spans="1:21" x14ac:dyDescent="0.2">
      <c r="A1278" s="5">
        <v>1791</v>
      </c>
      <c r="B1278" s="8" t="s">
        <v>3728</v>
      </c>
      <c r="H1278" s="8" t="s">
        <v>3729</v>
      </c>
      <c r="I1278" s="8" t="s">
        <v>3729</v>
      </c>
      <c r="J1278" s="5">
        <f>1415-8+93-202-206</f>
        <v>1092</v>
      </c>
      <c r="K1278" s="5" t="s">
        <v>292</v>
      </c>
      <c r="L1278" s="5" t="s">
        <v>3723</v>
      </c>
      <c r="M1278" s="5">
        <v>2</v>
      </c>
      <c r="N1278" s="5" t="s">
        <v>3730</v>
      </c>
      <c r="O1278" s="5" t="s">
        <v>574</v>
      </c>
      <c r="Q1278" s="10" t="s">
        <v>553</v>
      </c>
      <c r="R1278" s="6"/>
      <c r="S1278" s="6" t="s">
        <v>328</v>
      </c>
    </row>
    <row r="1279" spans="1:21" x14ac:dyDescent="0.2">
      <c r="A1279" s="5"/>
      <c r="B1279" s="8" t="s">
        <v>3731</v>
      </c>
      <c r="I1279" s="8" t="s">
        <v>3732</v>
      </c>
      <c r="J1279" s="5">
        <f>1000</f>
        <v>1000</v>
      </c>
      <c r="K1279" s="5" t="s">
        <v>292</v>
      </c>
      <c r="L1279" s="5" t="s">
        <v>3723</v>
      </c>
      <c r="M1279" s="5">
        <v>2</v>
      </c>
      <c r="N1279" s="5" t="s">
        <v>3730</v>
      </c>
      <c r="O1279" s="5" t="s">
        <v>574</v>
      </c>
      <c r="Q1279" s="207" t="s">
        <v>3459</v>
      </c>
      <c r="R1279" s="6"/>
      <c r="S1279" s="6"/>
    </row>
    <row r="1280" spans="1:21" x14ac:dyDescent="0.2">
      <c r="A1280" s="5">
        <v>1792</v>
      </c>
      <c r="B1280" s="8" t="s">
        <v>3733</v>
      </c>
      <c r="H1280" s="8" t="s">
        <v>3734</v>
      </c>
      <c r="I1280" s="8" t="s">
        <v>3734</v>
      </c>
      <c r="J1280" s="5">
        <f>151-151</f>
        <v>0</v>
      </c>
      <c r="K1280" s="5" t="s">
        <v>848</v>
      </c>
      <c r="L1280" s="5" t="s">
        <v>3723</v>
      </c>
      <c r="M1280" s="5">
        <v>2</v>
      </c>
      <c r="N1280" s="5" t="s">
        <v>3730</v>
      </c>
      <c r="O1280" s="5" t="s">
        <v>574</v>
      </c>
      <c r="Q1280" s="10" t="s">
        <v>553</v>
      </c>
      <c r="R1280" s="6"/>
      <c r="S1280" s="6" t="s">
        <v>328</v>
      </c>
    </row>
    <row r="1281" spans="1:21" x14ac:dyDescent="0.2">
      <c r="A1281" s="5">
        <v>1793</v>
      </c>
      <c r="B1281" s="8" t="s">
        <v>3735</v>
      </c>
      <c r="C1281" s="8" t="s">
        <v>3736</v>
      </c>
      <c r="D1281" s="8" t="s">
        <v>3737</v>
      </c>
      <c r="E1281" s="24">
        <v>43696</v>
      </c>
      <c r="F1281" s="8" t="s">
        <v>1966</v>
      </c>
      <c r="H1281" s="8" t="s">
        <v>3738</v>
      </c>
      <c r="I1281" s="8" t="s">
        <v>3738</v>
      </c>
      <c r="J1281" s="5">
        <v>0</v>
      </c>
      <c r="K1281" s="5" t="s">
        <v>292</v>
      </c>
      <c r="L1281" s="5" t="s">
        <v>3723</v>
      </c>
      <c r="M1281" s="5">
        <v>2</v>
      </c>
      <c r="N1281" s="5" t="s">
        <v>3730</v>
      </c>
      <c r="O1281" s="5" t="s">
        <v>574</v>
      </c>
      <c r="Q1281" s="10" t="s">
        <v>553</v>
      </c>
      <c r="R1281" s="6"/>
      <c r="S1281" s="6" t="s">
        <v>328</v>
      </c>
    </row>
    <row r="1282" spans="1:21" x14ac:dyDescent="0.2">
      <c r="A1282" s="5">
        <v>1794</v>
      </c>
      <c r="B1282" s="8" t="s">
        <v>3739</v>
      </c>
      <c r="H1282" s="8" t="s">
        <v>3740</v>
      </c>
      <c r="I1282" s="8" t="s">
        <v>3740</v>
      </c>
      <c r="J1282" s="5">
        <f>1060+100-44-16-4-2</f>
        <v>1094</v>
      </c>
      <c r="K1282" s="5" t="s">
        <v>292</v>
      </c>
      <c r="L1282" s="5" t="s">
        <v>3723</v>
      </c>
      <c r="M1282" s="5">
        <v>2</v>
      </c>
      <c r="N1282" s="5" t="s">
        <v>3730</v>
      </c>
      <c r="O1282" s="5" t="s">
        <v>574</v>
      </c>
      <c r="Q1282" s="10" t="s">
        <v>553</v>
      </c>
      <c r="R1282" s="6"/>
      <c r="S1282" s="6" t="s">
        <v>328</v>
      </c>
    </row>
    <row r="1283" spans="1:21" x14ac:dyDescent="0.2">
      <c r="A1283" s="5">
        <v>1795</v>
      </c>
      <c r="B1283" s="8">
        <v>660702</v>
      </c>
      <c r="H1283" s="8" t="s">
        <v>3741</v>
      </c>
      <c r="I1283" s="8" t="s">
        <v>3741</v>
      </c>
      <c r="J1283" s="5">
        <f>479-8-400+100+181-152-200</f>
        <v>0</v>
      </c>
      <c r="K1283" s="5" t="s">
        <v>292</v>
      </c>
      <c r="L1283" s="5" t="s">
        <v>3723</v>
      </c>
      <c r="M1283" s="5">
        <v>2</v>
      </c>
      <c r="N1283" s="5" t="s">
        <v>3730</v>
      </c>
      <c r="O1283" s="5" t="s">
        <v>574</v>
      </c>
      <c r="Q1283" s="5" t="s">
        <v>553</v>
      </c>
      <c r="R1283" s="6"/>
      <c r="S1283" s="6" t="s">
        <v>1139</v>
      </c>
    </row>
    <row r="1284" spans="1:21" x14ac:dyDescent="0.2">
      <c r="A1284" s="5"/>
      <c r="B1284" s="8" t="s">
        <v>3742</v>
      </c>
      <c r="I1284" s="8" t="s">
        <v>3743</v>
      </c>
      <c r="J1284" s="5">
        <f>1036</f>
        <v>1036</v>
      </c>
      <c r="K1284" s="5" t="s">
        <v>292</v>
      </c>
      <c r="L1284" s="5" t="s">
        <v>3723</v>
      </c>
      <c r="M1284" s="5">
        <v>2</v>
      </c>
      <c r="R1284" s="6"/>
      <c r="S1284" s="6"/>
    </row>
    <row r="1285" spans="1:21" x14ac:dyDescent="0.2">
      <c r="A1285" s="5">
        <v>1796</v>
      </c>
      <c r="B1285" s="8" t="s">
        <v>3744</v>
      </c>
      <c r="H1285" s="8" t="s">
        <v>3745</v>
      </c>
      <c r="I1285" s="8" t="s">
        <v>3745</v>
      </c>
      <c r="J1285" s="5">
        <v>129</v>
      </c>
      <c r="K1285" s="5" t="s">
        <v>292</v>
      </c>
      <c r="L1285" s="5" t="s">
        <v>3723</v>
      </c>
      <c r="M1285" s="5">
        <v>2</v>
      </c>
      <c r="N1285" s="5" t="s">
        <v>3730</v>
      </c>
      <c r="O1285" s="5" t="s">
        <v>574</v>
      </c>
      <c r="Q1285" s="10" t="s">
        <v>553</v>
      </c>
      <c r="R1285" s="6"/>
      <c r="S1285" s="6" t="s">
        <v>1139</v>
      </c>
      <c r="U1285" t="s">
        <v>321</v>
      </c>
    </row>
    <row r="1286" spans="1:21" x14ac:dyDescent="0.2">
      <c r="A1286" s="5">
        <v>1797</v>
      </c>
      <c r="B1286" s="8" t="s">
        <v>3746</v>
      </c>
      <c r="H1286" s="8" t="s">
        <v>3745</v>
      </c>
      <c r="I1286" s="8" t="s">
        <v>3745</v>
      </c>
      <c r="J1286" s="5">
        <v>129</v>
      </c>
      <c r="K1286" s="5" t="s">
        <v>292</v>
      </c>
      <c r="L1286" s="5" t="s">
        <v>3723</v>
      </c>
      <c r="M1286" s="5">
        <v>2</v>
      </c>
      <c r="N1286" s="5" t="s">
        <v>3730</v>
      </c>
      <c r="O1286" s="5" t="s">
        <v>574</v>
      </c>
      <c r="Q1286" s="10" t="s">
        <v>553</v>
      </c>
      <c r="U1286" t="s">
        <v>321</v>
      </c>
    </row>
    <row r="1287" spans="1:21" x14ac:dyDescent="0.2">
      <c r="A1287" s="5">
        <v>2114</v>
      </c>
      <c r="B1287" s="8">
        <v>660738</v>
      </c>
      <c r="H1287" s="8" t="s">
        <v>3747</v>
      </c>
      <c r="I1287" s="8" t="s">
        <v>3748</v>
      </c>
      <c r="J1287" s="5">
        <f>1004-50-400-20-60-3-4+169-100-200+1000-5-200-200</f>
        <v>931</v>
      </c>
      <c r="K1287" s="5" t="s">
        <v>292</v>
      </c>
      <c r="L1287" s="5" t="s">
        <v>3723</v>
      </c>
      <c r="M1287" s="5">
        <v>2</v>
      </c>
      <c r="N1287" s="5" t="s">
        <v>3749</v>
      </c>
      <c r="O1287" s="5" t="s">
        <v>3750</v>
      </c>
      <c r="Q1287" s="5" t="s">
        <v>3751</v>
      </c>
    </row>
    <row r="1288" spans="1:21" x14ac:dyDescent="0.2">
      <c r="A1288" s="5">
        <v>2375</v>
      </c>
      <c r="B1288" s="8" t="s">
        <v>3752</v>
      </c>
      <c r="H1288" s="8" t="s">
        <v>3753</v>
      </c>
      <c r="I1288" s="8" t="s">
        <v>3753</v>
      </c>
      <c r="J1288" s="5">
        <v>100</v>
      </c>
      <c r="K1288" s="5" t="s">
        <v>292</v>
      </c>
      <c r="L1288" s="5" t="s">
        <v>3723</v>
      </c>
      <c r="M1288" s="5">
        <v>2</v>
      </c>
      <c r="N1288" s="5" t="s">
        <v>3754</v>
      </c>
      <c r="O1288" s="5" t="s">
        <v>520</v>
      </c>
      <c r="Q1288" s="5" t="s">
        <v>3755</v>
      </c>
      <c r="R1288" s="6"/>
      <c r="S1288" s="6"/>
    </row>
    <row r="1289" spans="1:21" x14ac:dyDescent="0.2">
      <c r="A1289" s="5"/>
      <c r="B1289" s="8" t="s">
        <v>3756</v>
      </c>
      <c r="H1289" s="8" t="s">
        <v>3757</v>
      </c>
      <c r="I1289" s="8" t="s">
        <v>3758</v>
      </c>
      <c r="J1289" s="5">
        <f>500+100-60-500+428+1050-1000-200</f>
        <v>318</v>
      </c>
      <c r="K1289" s="5" t="s">
        <v>292</v>
      </c>
      <c r="L1289" s="5" t="s">
        <v>3723</v>
      </c>
      <c r="M1289" s="5">
        <v>2</v>
      </c>
      <c r="N1289" s="5" t="s">
        <v>3730</v>
      </c>
      <c r="Q1289" s="107" t="s">
        <v>3759</v>
      </c>
      <c r="R1289" s="6"/>
      <c r="S1289" s="6"/>
    </row>
    <row r="1290" spans="1:21" x14ac:dyDescent="0.2">
      <c r="A1290" s="5"/>
      <c r="B1290" s="8" t="s">
        <v>3760</v>
      </c>
      <c r="I1290" s="8" t="s">
        <v>3761</v>
      </c>
      <c r="J1290" s="5">
        <f>1000</f>
        <v>1000</v>
      </c>
      <c r="K1290" s="5" t="s">
        <v>292</v>
      </c>
      <c r="L1290" s="5" t="s">
        <v>3723</v>
      </c>
      <c r="M1290" s="5">
        <v>2</v>
      </c>
      <c r="Q1290" s="107"/>
      <c r="R1290" s="6"/>
      <c r="S1290" s="6"/>
    </row>
    <row r="1291" spans="1:21" x14ac:dyDescent="0.2">
      <c r="A1291" s="5"/>
      <c r="B1291" s="8" t="s">
        <v>3762</v>
      </c>
      <c r="H1291" s="8" t="s">
        <v>3763</v>
      </c>
      <c r="I1291" s="8" t="s">
        <v>3763</v>
      </c>
      <c r="J1291" s="5">
        <f>1000-200-200-100-300-100-100</f>
        <v>0</v>
      </c>
      <c r="K1291" s="5" t="s">
        <v>292</v>
      </c>
      <c r="L1291" s="5" t="s">
        <v>3723</v>
      </c>
      <c r="M1291" s="5">
        <v>2</v>
      </c>
      <c r="N1291" s="5" t="s">
        <v>3730</v>
      </c>
      <c r="Q1291" s="107" t="s">
        <v>3764</v>
      </c>
      <c r="R1291" s="6"/>
      <c r="S1291" s="6"/>
    </row>
    <row r="1292" spans="1:21" x14ac:dyDescent="0.2">
      <c r="A1292" s="5"/>
      <c r="B1292" s="8" t="s">
        <v>3765</v>
      </c>
      <c r="H1292" s="8" t="s">
        <v>3766</v>
      </c>
      <c r="I1292" s="8" t="s">
        <v>3766</v>
      </c>
      <c r="J1292" s="5">
        <f>1000-100-2-2-4-190</f>
        <v>702</v>
      </c>
      <c r="K1292" s="5" t="s">
        <v>292</v>
      </c>
      <c r="L1292" s="5" t="s">
        <v>3723</v>
      </c>
      <c r="M1292" s="5">
        <v>2</v>
      </c>
      <c r="N1292" s="5" t="s">
        <v>3730</v>
      </c>
      <c r="Q1292" s="107" t="s">
        <v>3764</v>
      </c>
      <c r="R1292" s="6"/>
      <c r="S1292" s="6"/>
    </row>
    <row r="1293" spans="1:21" x14ac:dyDescent="0.2">
      <c r="A1293" s="5"/>
      <c r="B1293" s="8" t="s">
        <v>3767</v>
      </c>
      <c r="I1293" s="8" t="s">
        <v>3768</v>
      </c>
      <c r="J1293" s="5">
        <f>1000</f>
        <v>1000</v>
      </c>
      <c r="K1293" s="5" t="s">
        <v>292</v>
      </c>
      <c r="L1293" s="5" t="s">
        <v>3723</v>
      </c>
      <c r="M1293" s="5">
        <v>2</v>
      </c>
      <c r="Q1293" s="198" t="s">
        <v>3459</v>
      </c>
      <c r="R1293" s="6"/>
      <c r="S1293" s="6"/>
    </row>
    <row r="1294" spans="1:21" x14ac:dyDescent="0.2">
      <c r="A1294" s="5"/>
      <c r="B1294" s="8" t="s">
        <v>3769</v>
      </c>
      <c r="I1294" s="8" t="s">
        <v>3770</v>
      </c>
      <c r="J1294" s="5">
        <f>1000</f>
        <v>1000</v>
      </c>
      <c r="K1294" s="5" t="s">
        <v>292</v>
      </c>
      <c r="L1294" s="5" t="s">
        <v>3723</v>
      </c>
      <c r="M1294" s="5">
        <v>2</v>
      </c>
      <c r="Q1294" s="198" t="s">
        <v>3459</v>
      </c>
      <c r="R1294" s="6"/>
      <c r="S1294" s="6"/>
    </row>
    <row r="1295" spans="1:21" x14ac:dyDescent="0.2">
      <c r="A1295" s="5"/>
      <c r="B1295" s="8" t="s">
        <v>3771</v>
      </c>
      <c r="I1295" s="8" t="s">
        <v>3772</v>
      </c>
      <c r="J1295" s="5">
        <f>500</f>
        <v>500</v>
      </c>
      <c r="K1295" s="5" t="s">
        <v>292</v>
      </c>
      <c r="L1295" s="5" t="s">
        <v>3723</v>
      </c>
      <c r="M1295" s="5">
        <v>2</v>
      </c>
      <c r="Q1295" s="198" t="s">
        <v>3459</v>
      </c>
      <c r="R1295" s="6"/>
      <c r="S1295" s="6"/>
    </row>
    <row r="1296" spans="1:21" x14ac:dyDescent="0.2">
      <c r="A1296" s="5"/>
      <c r="B1296" s="8" t="s">
        <v>3773</v>
      </c>
      <c r="I1296" s="8" t="s">
        <v>3772</v>
      </c>
      <c r="J1296" s="5">
        <f>500</f>
        <v>500</v>
      </c>
      <c r="K1296" s="5" t="s">
        <v>292</v>
      </c>
      <c r="L1296" s="5" t="s">
        <v>3723</v>
      </c>
      <c r="M1296" s="5">
        <v>2</v>
      </c>
      <c r="Q1296" s="198" t="s">
        <v>3459</v>
      </c>
      <c r="R1296" s="6"/>
      <c r="S1296" s="6"/>
    </row>
    <row r="1297" spans="1:19" x14ac:dyDescent="0.2">
      <c r="A1297" s="5"/>
      <c r="B1297" s="8" t="s">
        <v>3774</v>
      </c>
      <c r="I1297" s="8" t="s">
        <v>3775</v>
      </c>
      <c r="J1297" s="5">
        <f>500</f>
        <v>500</v>
      </c>
      <c r="K1297" s="5" t="s">
        <v>292</v>
      </c>
      <c r="L1297" s="5" t="s">
        <v>3723</v>
      </c>
      <c r="M1297" s="5">
        <v>2</v>
      </c>
      <c r="Q1297" s="198" t="s">
        <v>3459</v>
      </c>
      <c r="R1297" s="6"/>
      <c r="S1297" s="6"/>
    </row>
    <row r="1298" spans="1:19" x14ac:dyDescent="0.2">
      <c r="A1298">
        <v>1</v>
      </c>
      <c r="B1298" s="8" t="s">
        <v>3776</v>
      </c>
      <c r="H1298" s="8" t="s">
        <v>3777</v>
      </c>
      <c r="I1298" s="8" t="s">
        <v>3777</v>
      </c>
      <c r="J1298" s="5">
        <f>11-6</f>
        <v>5</v>
      </c>
      <c r="K1298" s="5" t="s">
        <v>292</v>
      </c>
      <c r="L1298" s="5" t="s">
        <v>3723</v>
      </c>
      <c r="M1298" s="5">
        <v>3</v>
      </c>
      <c r="N1298" s="5" t="s">
        <v>3356</v>
      </c>
      <c r="S1298" s="5" t="s">
        <v>852</v>
      </c>
    </row>
    <row r="1299" spans="1:19" x14ac:dyDescent="0.2">
      <c r="A1299">
        <v>2</v>
      </c>
      <c r="B1299" s="8" t="s">
        <v>3778</v>
      </c>
      <c r="H1299" s="8" t="s">
        <v>3779</v>
      </c>
      <c r="I1299" s="8" t="s">
        <v>3779</v>
      </c>
      <c r="J1299" s="5">
        <f>322-1-20-12-8</f>
        <v>281</v>
      </c>
      <c r="K1299" s="5" t="s">
        <v>292</v>
      </c>
      <c r="L1299" s="5" t="s">
        <v>3723</v>
      </c>
      <c r="M1299" s="5">
        <v>3</v>
      </c>
      <c r="N1299" s="5" t="s">
        <v>3356</v>
      </c>
      <c r="S1299" s="5" t="s">
        <v>852</v>
      </c>
    </row>
    <row r="1300" spans="1:19" x14ac:dyDescent="0.2">
      <c r="A1300">
        <v>3</v>
      </c>
      <c r="B1300" s="8" t="s">
        <v>3780</v>
      </c>
      <c r="H1300" s="8" t="s">
        <v>3781</v>
      </c>
      <c r="I1300" s="8" t="s">
        <v>3781</v>
      </c>
      <c r="J1300" s="5">
        <v>99</v>
      </c>
      <c r="K1300" s="5" t="s">
        <v>292</v>
      </c>
      <c r="L1300" s="5" t="s">
        <v>3723</v>
      </c>
      <c r="M1300" s="5">
        <v>3</v>
      </c>
      <c r="N1300" s="5" t="s">
        <v>3356</v>
      </c>
      <c r="S1300" s="5" t="s">
        <v>852</v>
      </c>
    </row>
    <row r="1301" spans="1:19" x14ac:dyDescent="0.2">
      <c r="A1301">
        <v>4</v>
      </c>
      <c r="B1301" s="8" t="s">
        <v>3782</v>
      </c>
      <c r="H1301" s="8" t="s">
        <v>3783</v>
      </c>
      <c r="I1301" s="8" t="s">
        <v>3783</v>
      </c>
      <c r="J1301" s="5">
        <v>88</v>
      </c>
      <c r="K1301" s="5" t="s">
        <v>292</v>
      </c>
      <c r="L1301" s="5" t="s">
        <v>3723</v>
      </c>
      <c r="M1301" s="5">
        <v>3</v>
      </c>
      <c r="N1301" s="5" t="s">
        <v>3356</v>
      </c>
      <c r="S1301" s="5" t="s">
        <v>852</v>
      </c>
    </row>
    <row r="1302" spans="1:19" x14ac:dyDescent="0.2">
      <c r="A1302">
        <v>5</v>
      </c>
      <c r="B1302" s="8" t="s">
        <v>3784</v>
      </c>
      <c r="H1302" s="8" t="s">
        <v>3781</v>
      </c>
      <c r="I1302" s="8" t="s">
        <v>3781</v>
      </c>
      <c r="J1302" s="5">
        <v>115</v>
      </c>
      <c r="K1302" s="5" t="s">
        <v>292</v>
      </c>
      <c r="L1302" s="5" t="s">
        <v>3723</v>
      </c>
      <c r="M1302" s="5">
        <v>3</v>
      </c>
      <c r="N1302" s="5" t="s">
        <v>3356</v>
      </c>
      <c r="S1302" s="5" t="s">
        <v>852</v>
      </c>
    </row>
    <row r="1303" spans="1:19" x14ac:dyDescent="0.2">
      <c r="A1303">
        <v>6</v>
      </c>
      <c r="B1303" s="8">
        <v>278556</v>
      </c>
      <c r="H1303" s="8" t="s">
        <v>3785</v>
      </c>
      <c r="I1303" s="8" t="s">
        <v>3785</v>
      </c>
      <c r="J1303" s="5">
        <v>132</v>
      </c>
      <c r="K1303" s="5" t="s">
        <v>292</v>
      </c>
      <c r="L1303" s="5" t="s">
        <v>3723</v>
      </c>
      <c r="M1303" s="5">
        <v>3</v>
      </c>
      <c r="N1303" s="5" t="s">
        <v>3356</v>
      </c>
      <c r="S1303" s="5" t="s">
        <v>852</v>
      </c>
    </row>
    <row r="1304" spans="1:19" x14ac:dyDescent="0.2">
      <c r="A1304">
        <v>7</v>
      </c>
      <c r="B1304" s="8" t="s">
        <v>3786</v>
      </c>
      <c r="H1304" s="8" t="s">
        <v>3781</v>
      </c>
      <c r="I1304" s="8" t="s">
        <v>3781</v>
      </c>
      <c r="J1304" s="5">
        <v>86</v>
      </c>
      <c r="K1304" s="5" t="s">
        <v>292</v>
      </c>
      <c r="L1304" s="5" t="s">
        <v>3723</v>
      </c>
      <c r="M1304" s="5">
        <v>3</v>
      </c>
      <c r="N1304" s="5" t="s">
        <v>3356</v>
      </c>
      <c r="S1304" s="5" t="s">
        <v>852</v>
      </c>
    </row>
    <row r="1305" spans="1:19" x14ac:dyDescent="0.2">
      <c r="A1305">
        <v>8</v>
      </c>
      <c r="B1305" s="8" t="s">
        <v>3787</v>
      </c>
      <c r="H1305" s="8" t="s">
        <v>3788</v>
      </c>
      <c r="I1305" s="8" t="s">
        <v>3788</v>
      </c>
      <c r="J1305" s="5">
        <v>81</v>
      </c>
      <c r="K1305" s="5" t="s">
        <v>292</v>
      </c>
      <c r="L1305" s="5" t="s">
        <v>3723</v>
      </c>
      <c r="M1305" s="5">
        <v>3</v>
      </c>
      <c r="N1305" s="5" t="s">
        <v>3356</v>
      </c>
      <c r="S1305" s="5" t="s">
        <v>852</v>
      </c>
    </row>
    <row r="1306" spans="1:19" x14ac:dyDescent="0.2">
      <c r="A1306">
        <v>9</v>
      </c>
      <c r="B1306" s="8" t="s">
        <v>3789</v>
      </c>
      <c r="C1306" s="34"/>
      <c r="H1306" s="8" t="s">
        <v>3781</v>
      </c>
      <c r="I1306" s="8" t="s">
        <v>3781</v>
      </c>
      <c r="J1306" s="5">
        <f>186-12-2-2-3-120-3+120-8-12</f>
        <v>144</v>
      </c>
      <c r="K1306" s="5" t="s">
        <v>292</v>
      </c>
      <c r="L1306" s="5" t="s">
        <v>3723</v>
      </c>
      <c r="M1306" s="5">
        <v>3</v>
      </c>
      <c r="N1306" s="5" t="s">
        <v>3356</v>
      </c>
      <c r="R1306" s="6"/>
      <c r="S1306" s="6"/>
    </row>
    <row r="1307" spans="1:19" x14ac:dyDescent="0.2">
      <c r="B1307" s="8" t="s">
        <v>3790</v>
      </c>
      <c r="C1307" s="34"/>
      <c r="H1307" s="8" t="s">
        <v>3791</v>
      </c>
      <c r="I1307" s="8" t="s">
        <v>3791</v>
      </c>
      <c r="J1307" s="5">
        <f>100-12-40-32+18</f>
        <v>34</v>
      </c>
      <c r="K1307" s="5" t="s">
        <v>292</v>
      </c>
      <c r="L1307" s="5" t="s">
        <v>3723</v>
      </c>
      <c r="M1307" s="5">
        <v>3</v>
      </c>
      <c r="Q1307" s="5" t="s">
        <v>3792</v>
      </c>
      <c r="R1307" s="6"/>
      <c r="S1307" s="6"/>
    </row>
    <row r="1308" spans="1:19" x14ac:dyDescent="0.2">
      <c r="A1308" s="5">
        <v>10</v>
      </c>
      <c r="B1308" s="8" t="s">
        <v>3793</v>
      </c>
      <c r="H1308" s="8" t="s">
        <v>3794</v>
      </c>
      <c r="I1308" s="8" t="s">
        <v>3794</v>
      </c>
      <c r="J1308" s="5">
        <f>500-100-54-6-6-24+2-18-30-36-12-18-24-12-18+36</f>
        <v>180</v>
      </c>
      <c r="K1308" s="5" t="s">
        <v>292</v>
      </c>
      <c r="L1308" s="5" t="s">
        <v>3723</v>
      </c>
      <c r="M1308" s="5">
        <v>3</v>
      </c>
      <c r="N1308" s="5" t="s">
        <v>3730</v>
      </c>
      <c r="Q1308" s="107"/>
      <c r="S1308" s="5" t="s">
        <v>852</v>
      </c>
    </row>
    <row r="1309" spans="1:19" x14ac:dyDescent="0.2">
      <c r="A1309" s="5">
        <v>11</v>
      </c>
      <c r="B1309" s="8" t="s">
        <v>3795</v>
      </c>
      <c r="H1309" s="8" t="s">
        <v>3796</v>
      </c>
      <c r="I1309" s="8" t="s">
        <v>3796</v>
      </c>
      <c r="J1309" s="5">
        <v>1</v>
      </c>
      <c r="K1309" s="5" t="s">
        <v>21</v>
      </c>
      <c r="L1309" s="5" t="s">
        <v>3723</v>
      </c>
      <c r="M1309" s="5">
        <v>3</v>
      </c>
      <c r="N1309" s="5" t="s">
        <v>3797</v>
      </c>
      <c r="O1309" s="5" t="s">
        <v>574</v>
      </c>
      <c r="Q1309" s="10" t="s">
        <v>3798</v>
      </c>
      <c r="R1309" s="6"/>
      <c r="S1309" s="6" t="s">
        <v>328</v>
      </c>
    </row>
    <row r="1310" spans="1:19" x14ac:dyDescent="0.2">
      <c r="A1310" s="5">
        <v>1817</v>
      </c>
      <c r="B1310" s="8" t="s">
        <v>3799</v>
      </c>
      <c r="H1310" s="8" t="s">
        <v>3800</v>
      </c>
      <c r="I1310" s="8" t="s">
        <v>3800</v>
      </c>
      <c r="J1310" s="5">
        <f>720</f>
        <v>720</v>
      </c>
      <c r="K1310" s="5" t="s">
        <v>292</v>
      </c>
      <c r="L1310" s="5" t="s">
        <v>3723</v>
      </c>
      <c r="M1310" s="5">
        <v>4</v>
      </c>
      <c r="N1310" s="5" t="s">
        <v>3724</v>
      </c>
      <c r="O1310" s="5" t="s">
        <v>574</v>
      </c>
      <c r="Q1310" s="10" t="s">
        <v>553</v>
      </c>
      <c r="R1310" s="6"/>
      <c r="S1310" s="6" t="s">
        <v>328</v>
      </c>
    </row>
    <row r="1311" spans="1:19" x14ac:dyDescent="0.2">
      <c r="A1311" s="5">
        <v>1841</v>
      </c>
      <c r="B1311" s="8" t="s">
        <v>3799</v>
      </c>
      <c r="H1311" s="8" t="s">
        <v>3800</v>
      </c>
      <c r="I1311" s="8" t="s">
        <v>3800</v>
      </c>
      <c r="J1311" s="5">
        <v>0</v>
      </c>
      <c r="K1311" s="5" t="s">
        <v>292</v>
      </c>
      <c r="L1311" s="5" t="s">
        <v>3723</v>
      </c>
      <c r="M1311" s="5">
        <v>4</v>
      </c>
      <c r="N1311" s="5" t="s">
        <v>3724</v>
      </c>
      <c r="O1311" s="5" t="s">
        <v>574</v>
      </c>
      <c r="Q1311" s="5" t="s">
        <v>553</v>
      </c>
      <c r="R1311" s="6"/>
      <c r="S1311" s="6" t="s">
        <v>328</v>
      </c>
    </row>
    <row r="1312" spans="1:19" x14ac:dyDescent="0.2">
      <c r="A1312" s="5">
        <v>1818</v>
      </c>
      <c r="B1312" s="8" t="s">
        <v>3801</v>
      </c>
      <c r="H1312" s="8" t="s">
        <v>3802</v>
      </c>
      <c r="I1312" s="8" t="s">
        <v>3802</v>
      </c>
      <c r="J1312" s="5">
        <f>780+30</f>
        <v>810</v>
      </c>
      <c r="K1312" s="5" t="s">
        <v>292</v>
      </c>
      <c r="L1312" s="5" t="s">
        <v>3723</v>
      </c>
      <c r="M1312" s="5">
        <v>4</v>
      </c>
      <c r="N1312" s="5" t="s">
        <v>3724</v>
      </c>
      <c r="O1312" s="5" t="s">
        <v>574</v>
      </c>
      <c r="Q1312" s="10" t="s">
        <v>553</v>
      </c>
      <c r="R1312" s="6"/>
      <c r="S1312" s="6" t="s">
        <v>328</v>
      </c>
    </row>
    <row r="1313" spans="1:21" x14ac:dyDescent="0.2">
      <c r="A1313" s="5">
        <v>1842</v>
      </c>
      <c r="B1313" s="8" t="s">
        <v>3801</v>
      </c>
      <c r="H1313" s="8" t="s">
        <v>3802</v>
      </c>
      <c r="I1313" s="8" t="s">
        <v>3802</v>
      </c>
      <c r="J1313" s="5">
        <v>0</v>
      </c>
      <c r="K1313" s="5" t="s">
        <v>292</v>
      </c>
      <c r="L1313" s="5" t="s">
        <v>3723</v>
      </c>
      <c r="M1313" s="5">
        <v>4</v>
      </c>
      <c r="N1313" s="5" t="s">
        <v>3724</v>
      </c>
      <c r="O1313" s="5" t="s">
        <v>574</v>
      </c>
      <c r="Q1313" s="5" t="s">
        <v>553</v>
      </c>
      <c r="R1313" s="6"/>
      <c r="S1313" s="6" t="s">
        <v>328</v>
      </c>
    </row>
    <row r="1314" spans="1:21" x14ac:dyDescent="0.2">
      <c r="A1314" s="5">
        <v>1820</v>
      </c>
      <c r="B1314" s="8" t="s">
        <v>3803</v>
      </c>
      <c r="H1314" s="8" t="s">
        <v>3804</v>
      </c>
      <c r="I1314" s="8" t="s">
        <v>3804</v>
      </c>
      <c r="J1314" s="5">
        <f>96</f>
        <v>96</v>
      </c>
      <c r="K1314" s="5" t="s">
        <v>292</v>
      </c>
      <c r="L1314" s="5" t="s">
        <v>3723</v>
      </c>
      <c r="M1314" s="5">
        <v>4</v>
      </c>
      <c r="N1314" s="5" t="s">
        <v>3724</v>
      </c>
      <c r="O1314" s="5" t="s">
        <v>574</v>
      </c>
      <c r="Q1314" s="10" t="s">
        <v>553</v>
      </c>
      <c r="R1314" s="6"/>
      <c r="S1314" s="6" t="s">
        <v>328</v>
      </c>
    </row>
    <row r="1315" spans="1:21" x14ac:dyDescent="0.2">
      <c r="A1315" s="5">
        <v>1844</v>
      </c>
      <c r="B1315" s="8" t="s">
        <v>3805</v>
      </c>
      <c r="H1315" s="8" t="s">
        <v>3806</v>
      </c>
      <c r="I1315" s="8" t="s">
        <v>3806</v>
      </c>
      <c r="J1315" s="5">
        <v>0</v>
      </c>
      <c r="K1315" s="5" t="s">
        <v>292</v>
      </c>
      <c r="L1315" s="5" t="s">
        <v>3723</v>
      </c>
      <c r="M1315" s="5">
        <v>4</v>
      </c>
      <c r="N1315" s="5" t="s">
        <v>3724</v>
      </c>
      <c r="O1315" s="5" t="s">
        <v>574</v>
      </c>
      <c r="Q1315" s="5" t="s">
        <v>553</v>
      </c>
      <c r="R1315" s="6"/>
      <c r="S1315" s="6" t="s">
        <v>328</v>
      </c>
    </row>
    <row r="1316" spans="1:21" x14ac:dyDescent="0.2">
      <c r="A1316" s="5">
        <v>1824</v>
      </c>
      <c r="B1316" s="8" t="s">
        <v>3805</v>
      </c>
      <c r="H1316" s="8" t="s">
        <v>3806</v>
      </c>
      <c r="I1316" s="8" t="s">
        <v>3806</v>
      </c>
      <c r="J1316" s="5">
        <f>67</f>
        <v>67</v>
      </c>
      <c r="K1316" s="5" t="s">
        <v>292</v>
      </c>
      <c r="L1316" s="5" t="s">
        <v>3723</v>
      </c>
      <c r="M1316" s="5">
        <v>4</v>
      </c>
      <c r="N1316" s="5" t="s">
        <v>3724</v>
      </c>
      <c r="O1316" s="5" t="s">
        <v>574</v>
      </c>
      <c r="Q1316" s="10" t="s">
        <v>553</v>
      </c>
      <c r="R1316" s="6"/>
      <c r="S1316" s="6" t="s">
        <v>328</v>
      </c>
      <c r="U1316" s="8"/>
    </row>
    <row r="1317" spans="1:21" x14ac:dyDescent="0.2">
      <c r="A1317" s="5">
        <v>1845</v>
      </c>
      <c r="B1317" s="8" t="s">
        <v>3807</v>
      </c>
      <c r="H1317" s="8" t="s">
        <v>3804</v>
      </c>
      <c r="I1317" s="8" t="s">
        <v>3804</v>
      </c>
      <c r="J1317" s="5">
        <v>0</v>
      </c>
      <c r="K1317" s="5" t="s">
        <v>292</v>
      </c>
      <c r="L1317" s="5" t="s">
        <v>3723</v>
      </c>
      <c r="M1317" s="5">
        <v>4</v>
      </c>
      <c r="N1317" s="5" t="s">
        <v>3724</v>
      </c>
      <c r="O1317" s="5" t="s">
        <v>574</v>
      </c>
      <c r="Q1317" s="5" t="s">
        <v>553</v>
      </c>
      <c r="R1317" s="6"/>
      <c r="S1317" s="6" t="s">
        <v>328</v>
      </c>
    </row>
    <row r="1318" spans="1:21" x14ac:dyDescent="0.2">
      <c r="A1318" s="5">
        <v>1821</v>
      </c>
      <c r="B1318" s="8" t="s">
        <v>3807</v>
      </c>
      <c r="H1318" s="8" t="s">
        <v>3804</v>
      </c>
      <c r="I1318" s="8" t="s">
        <v>3804</v>
      </c>
      <c r="J1318" s="5">
        <f>70</f>
        <v>70</v>
      </c>
      <c r="K1318" s="5" t="s">
        <v>292</v>
      </c>
      <c r="L1318" s="5" t="s">
        <v>3723</v>
      </c>
      <c r="M1318" s="5">
        <v>4</v>
      </c>
      <c r="N1318" s="5" t="s">
        <v>3724</v>
      </c>
      <c r="O1318" s="5" t="s">
        <v>574</v>
      </c>
      <c r="Q1318" s="10" t="s">
        <v>553</v>
      </c>
      <c r="R1318" s="6"/>
      <c r="S1318" s="6" t="s">
        <v>328</v>
      </c>
    </row>
    <row r="1319" spans="1:21" x14ac:dyDescent="0.2">
      <c r="A1319" s="5">
        <v>1819</v>
      </c>
      <c r="B1319" s="8" t="s">
        <v>3808</v>
      </c>
      <c r="H1319" s="8" t="s">
        <v>3809</v>
      </c>
      <c r="I1319" s="8" t="s">
        <v>3810</v>
      </c>
      <c r="J1319" s="5">
        <f>46</f>
        <v>46</v>
      </c>
      <c r="K1319" s="5" t="s">
        <v>292</v>
      </c>
      <c r="L1319" s="5" t="s">
        <v>3723</v>
      </c>
      <c r="M1319" s="5">
        <v>4</v>
      </c>
      <c r="N1319" s="5" t="s">
        <v>3724</v>
      </c>
      <c r="O1319" s="5" t="s">
        <v>574</v>
      </c>
      <c r="Q1319" s="10" t="s">
        <v>553</v>
      </c>
      <c r="R1319" s="6"/>
      <c r="S1319" s="6" t="s">
        <v>328</v>
      </c>
    </row>
    <row r="1320" spans="1:21" x14ac:dyDescent="0.2">
      <c r="A1320" s="5">
        <v>1846</v>
      </c>
      <c r="B1320" s="8" t="s">
        <v>3808</v>
      </c>
      <c r="H1320" s="8" t="s">
        <v>3809</v>
      </c>
      <c r="I1320" s="8" t="s">
        <v>3810</v>
      </c>
      <c r="J1320" s="5">
        <v>0</v>
      </c>
      <c r="K1320" s="5" t="s">
        <v>292</v>
      </c>
      <c r="L1320" s="5" t="s">
        <v>3723</v>
      </c>
      <c r="M1320" s="5">
        <v>4</v>
      </c>
      <c r="N1320" s="5" t="s">
        <v>3724</v>
      </c>
      <c r="O1320" s="5" t="s">
        <v>574</v>
      </c>
      <c r="Q1320" s="5" t="s">
        <v>553</v>
      </c>
      <c r="R1320" s="6"/>
      <c r="S1320" s="6" t="s">
        <v>328</v>
      </c>
    </row>
    <row r="1321" spans="1:21" x14ac:dyDescent="0.2">
      <c r="A1321" s="5">
        <v>1823</v>
      </c>
      <c r="B1321" s="8" t="s">
        <v>3811</v>
      </c>
      <c r="H1321" s="8" t="s">
        <v>3812</v>
      </c>
      <c r="I1321" s="8" t="s">
        <v>3812</v>
      </c>
      <c r="J1321" s="5">
        <f>1154</f>
        <v>1154</v>
      </c>
      <c r="K1321" s="5" t="s">
        <v>292</v>
      </c>
      <c r="L1321" s="5" t="s">
        <v>3723</v>
      </c>
      <c r="M1321" s="5">
        <v>4</v>
      </c>
      <c r="N1321" s="5" t="s">
        <v>3724</v>
      </c>
      <c r="O1321" s="5" t="s">
        <v>574</v>
      </c>
      <c r="Q1321" s="10" t="s">
        <v>553</v>
      </c>
      <c r="R1321" s="6"/>
      <c r="S1321" s="6" t="s">
        <v>328</v>
      </c>
    </row>
    <row r="1322" spans="1:21" x14ac:dyDescent="0.2">
      <c r="A1322" s="5">
        <v>1848</v>
      </c>
      <c r="B1322" s="8" t="s">
        <v>3811</v>
      </c>
      <c r="H1322" s="8" t="s">
        <v>3812</v>
      </c>
      <c r="I1322" s="8" t="s">
        <v>3812</v>
      </c>
      <c r="J1322" s="5">
        <v>0</v>
      </c>
      <c r="K1322" s="5" t="s">
        <v>292</v>
      </c>
      <c r="L1322" s="5" t="s">
        <v>3723</v>
      </c>
      <c r="M1322" s="5">
        <v>4</v>
      </c>
      <c r="N1322" s="5" t="s">
        <v>3724</v>
      </c>
      <c r="O1322" s="5" t="s">
        <v>574</v>
      </c>
      <c r="Q1322" s="5" t="s">
        <v>553</v>
      </c>
    </row>
    <row r="1323" spans="1:21" x14ac:dyDescent="0.2">
      <c r="A1323" s="5">
        <v>2373</v>
      </c>
      <c r="B1323" s="8">
        <v>660717</v>
      </c>
      <c r="H1323" s="8" t="s">
        <v>3813</v>
      </c>
      <c r="I1323" s="8" t="s">
        <v>3813</v>
      </c>
      <c r="J1323" s="5">
        <f>197</f>
        <v>197</v>
      </c>
      <c r="K1323" s="5" t="s">
        <v>292</v>
      </c>
      <c r="L1323" s="5" t="s">
        <v>3723</v>
      </c>
      <c r="M1323" s="5">
        <v>4</v>
      </c>
      <c r="N1323" s="5" t="s">
        <v>408</v>
      </c>
      <c r="O1323" s="5" t="s">
        <v>789</v>
      </c>
      <c r="Q1323" s="5" t="s">
        <v>3814</v>
      </c>
      <c r="R1323" s="6"/>
      <c r="S1323" s="6"/>
    </row>
    <row r="1324" spans="1:21" x14ac:dyDescent="0.2">
      <c r="A1324" s="5">
        <v>1843</v>
      </c>
      <c r="B1324" s="8" t="s">
        <v>3803</v>
      </c>
      <c r="H1324" s="8" t="s">
        <v>3804</v>
      </c>
      <c r="I1324" s="8" t="s">
        <v>3804</v>
      </c>
      <c r="J1324" s="5">
        <v>0</v>
      </c>
      <c r="K1324" s="5" t="s">
        <v>292</v>
      </c>
      <c r="L1324" s="5" t="s">
        <v>3723</v>
      </c>
      <c r="M1324" s="5">
        <v>4</v>
      </c>
      <c r="N1324" s="5" t="s">
        <v>3724</v>
      </c>
      <c r="O1324" s="5" t="s">
        <v>574</v>
      </c>
      <c r="Q1324" s="5" t="s">
        <v>553</v>
      </c>
      <c r="R1324" s="6"/>
      <c r="S1324" s="6" t="s">
        <v>328</v>
      </c>
    </row>
    <row r="1325" spans="1:21" x14ac:dyDescent="0.2">
      <c r="A1325" s="5">
        <v>1822</v>
      </c>
      <c r="B1325" s="8" t="s">
        <v>3815</v>
      </c>
      <c r="H1325" s="8" t="s">
        <v>3816</v>
      </c>
      <c r="I1325" s="8" t="s">
        <v>3816</v>
      </c>
      <c r="J1325" s="5">
        <v>0</v>
      </c>
      <c r="K1325" s="5" t="s">
        <v>292</v>
      </c>
      <c r="L1325" s="5" t="s">
        <v>3723</v>
      </c>
      <c r="M1325" s="5">
        <v>4</v>
      </c>
      <c r="N1325" s="5" t="s">
        <v>3724</v>
      </c>
      <c r="O1325" s="5" t="s">
        <v>574</v>
      </c>
      <c r="Q1325" s="10" t="s">
        <v>553</v>
      </c>
      <c r="R1325" s="6"/>
      <c r="S1325" s="6" t="s">
        <v>328</v>
      </c>
    </row>
    <row r="1326" spans="1:21" x14ac:dyDescent="0.2">
      <c r="A1326" s="5">
        <v>1847</v>
      </c>
      <c r="B1326" s="8" t="s">
        <v>3815</v>
      </c>
      <c r="H1326" s="8" t="s">
        <v>3816</v>
      </c>
      <c r="I1326" s="8" t="s">
        <v>3816</v>
      </c>
      <c r="J1326" s="5">
        <v>0</v>
      </c>
      <c r="K1326" s="5" t="s">
        <v>292</v>
      </c>
      <c r="L1326" s="5" t="s">
        <v>3723</v>
      </c>
      <c r="M1326" s="5">
        <v>4</v>
      </c>
      <c r="N1326" s="5" t="s">
        <v>3724</v>
      </c>
      <c r="O1326" s="5" t="s">
        <v>574</v>
      </c>
      <c r="Q1326" s="5" t="s">
        <v>553</v>
      </c>
      <c r="R1326" s="6"/>
      <c r="S1326" s="6" t="s">
        <v>328</v>
      </c>
    </row>
    <row r="1327" spans="1:21" x14ac:dyDescent="0.2">
      <c r="A1327" s="5">
        <v>2091</v>
      </c>
      <c r="B1327" s="8" t="s">
        <v>3817</v>
      </c>
      <c r="H1327" s="8" t="s">
        <v>3818</v>
      </c>
      <c r="I1327" s="8" t="s">
        <v>3818</v>
      </c>
      <c r="J1327" s="5">
        <v>10</v>
      </c>
      <c r="K1327" s="5" t="s">
        <v>292</v>
      </c>
      <c r="L1327" s="5" t="s">
        <v>3723</v>
      </c>
      <c r="M1327" s="5">
        <v>5</v>
      </c>
      <c r="N1327" s="5" t="s">
        <v>3819</v>
      </c>
      <c r="O1327" s="5" t="s">
        <v>574</v>
      </c>
      <c r="Q1327" s="5" t="s">
        <v>3820</v>
      </c>
      <c r="R1327" s="6"/>
      <c r="S1327" s="6"/>
    </row>
    <row r="1328" spans="1:21" x14ac:dyDescent="0.2">
      <c r="A1328" s="5">
        <v>1749</v>
      </c>
      <c r="B1328" s="8">
        <v>237439</v>
      </c>
      <c r="H1328" s="8" t="s">
        <v>3821</v>
      </c>
      <c r="I1328" s="8" t="s">
        <v>3822</v>
      </c>
      <c r="J1328" s="5">
        <v>5</v>
      </c>
      <c r="K1328" s="5" t="s">
        <v>292</v>
      </c>
      <c r="L1328" s="5" t="s">
        <v>3723</v>
      </c>
      <c r="M1328" s="5">
        <v>6</v>
      </c>
      <c r="N1328" s="5" t="s">
        <v>3548</v>
      </c>
      <c r="O1328" s="5" t="s">
        <v>574</v>
      </c>
      <c r="Q1328" s="5" t="s">
        <v>1995</v>
      </c>
      <c r="R1328" s="6"/>
      <c r="S1328" s="6"/>
    </row>
    <row r="1329" spans="1:21" x14ac:dyDescent="0.2">
      <c r="A1329" s="5">
        <v>1750</v>
      </c>
      <c r="B1329" s="8">
        <v>456551</v>
      </c>
      <c r="H1329" s="8" t="s">
        <v>3823</v>
      </c>
      <c r="I1329" s="8" t="s">
        <v>3823</v>
      </c>
      <c r="J1329" s="5">
        <v>34</v>
      </c>
      <c r="K1329" s="5" t="s">
        <v>292</v>
      </c>
      <c r="L1329" s="5" t="s">
        <v>3723</v>
      </c>
      <c r="M1329" s="5">
        <v>6</v>
      </c>
      <c r="N1329" s="5" t="s">
        <v>3824</v>
      </c>
      <c r="O1329" s="5" t="s">
        <v>574</v>
      </c>
      <c r="Q1329" s="5" t="s">
        <v>3825</v>
      </c>
      <c r="R1329" s="6"/>
      <c r="S1329" s="6"/>
    </row>
    <row r="1330" spans="1:21" x14ac:dyDescent="0.2">
      <c r="A1330" s="5">
        <v>1751</v>
      </c>
      <c r="B1330" s="11" t="s">
        <v>3826</v>
      </c>
      <c r="C1330" s="11"/>
      <c r="D1330" s="11"/>
      <c r="E1330" s="26"/>
      <c r="F1330" s="11"/>
      <c r="G1330" s="11"/>
      <c r="H1330" s="8" t="s">
        <v>3827</v>
      </c>
      <c r="I1330" s="8" t="s">
        <v>3828</v>
      </c>
      <c r="J1330" s="5">
        <v>2</v>
      </c>
      <c r="K1330" s="5" t="s">
        <v>292</v>
      </c>
      <c r="L1330" s="5" t="s">
        <v>3723</v>
      </c>
      <c r="M1330" s="5">
        <v>6</v>
      </c>
      <c r="N1330" s="5" t="s">
        <v>3829</v>
      </c>
      <c r="O1330" s="5" t="s">
        <v>574</v>
      </c>
      <c r="Q1330" s="5" t="s">
        <v>3830</v>
      </c>
      <c r="R1330" s="6"/>
      <c r="S1330" s="6" t="s">
        <v>328</v>
      </c>
    </row>
    <row r="1331" spans="1:21" x14ac:dyDescent="0.2">
      <c r="A1331" s="5">
        <v>1752</v>
      </c>
      <c r="H1331" s="8" t="s">
        <v>3831</v>
      </c>
      <c r="I1331" s="8" t="s">
        <v>3831</v>
      </c>
      <c r="J1331" s="5">
        <v>7</v>
      </c>
      <c r="K1331" s="5" t="s">
        <v>292</v>
      </c>
      <c r="L1331" s="5" t="s">
        <v>3723</v>
      </c>
      <c r="M1331" s="5">
        <v>6</v>
      </c>
      <c r="N1331" s="5" t="s">
        <v>3829</v>
      </c>
      <c r="O1331" s="5" t="s">
        <v>574</v>
      </c>
      <c r="Q1331" s="10" t="s">
        <v>553</v>
      </c>
      <c r="R1331" s="6"/>
      <c r="S1331" s="6" t="s">
        <v>328</v>
      </c>
      <c r="U1331" t="s">
        <v>288</v>
      </c>
    </row>
    <row r="1332" spans="1:21" x14ac:dyDescent="0.2">
      <c r="A1332" s="5">
        <v>1746</v>
      </c>
      <c r="B1332" s="8" t="s">
        <v>3832</v>
      </c>
      <c r="H1332" s="8" t="s">
        <v>3833</v>
      </c>
      <c r="I1332" s="8" t="s">
        <v>3833</v>
      </c>
      <c r="J1332" s="5">
        <f>17+16-8</f>
        <v>25</v>
      </c>
      <c r="K1332" s="5" t="s">
        <v>292</v>
      </c>
      <c r="L1332" s="5" t="s">
        <v>3723</v>
      </c>
      <c r="M1332" s="5">
        <v>7</v>
      </c>
      <c r="N1332" s="5" t="s">
        <v>3548</v>
      </c>
      <c r="O1332" s="5" t="s">
        <v>574</v>
      </c>
      <c r="Q1332" s="10" t="s">
        <v>553</v>
      </c>
      <c r="R1332" s="6"/>
      <c r="S1332" s="6"/>
    </row>
    <row r="1333" spans="1:21" x14ac:dyDescent="0.2">
      <c r="A1333" s="5">
        <v>1747</v>
      </c>
      <c r="B1333" s="8">
        <v>301150</v>
      </c>
      <c r="H1333" s="8" t="s">
        <v>3834</v>
      </c>
      <c r="I1333" s="8" t="s">
        <v>3834</v>
      </c>
      <c r="J1333" s="5">
        <f>264+8-8</f>
        <v>264</v>
      </c>
      <c r="K1333" s="5" t="s">
        <v>292</v>
      </c>
      <c r="L1333" s="5" t="s">
        <v>3723</v>
      </c>
      <c r="M1333" s="5">
        <v>7</v>
      </c>
      <c r="N1333" s="5" t="s">
        <v>3548</v>
      </c>
      <c r="O1333" s="5" t="s">
        <v>574</v>
      </c>
      <c r="Q1333" s="5" t="s">
        <v>3835</v>
      </c>
      <c r="R1333" s="6"/>
      <c r="S1333" s="6"/>
    </row>
    <row r="1334" spans="1:21" x14ac:dyDescent="0.2">
      <c r="A1334" s="5">
        <v>1748</v>
      </c>
      <c r="B1334" s="11" t="s">
        <v>3836</v>
      </c>
      <c r="C1334" s="11"/>
      <c r="D1334" s="11"/>
      <c r="E1334" s="26"/>
      <c r="F1334" s="11"/>
      <c r="G1334" s="11"/>
      <c r="H1334" s="8" t="s">
        <v>3833</v>
      </c>
      <c r="I1334" s="8" t="s">
        <v>3833</v>
      </c>
      <c r="J1334" s="5">
        <f>2236+-14-16-16-4+32+10-16-8-8</f>
        <v>2196</v>
      </c>
      <c r="K1334" s="5" t="s">
        <v>292</v>
      </c>
      <c r="L1334" s="5" t="s">
        <v>3723</v>
      </c>
      <c r="M1334" s="5">
        <v>7</v>
      </c>
      <c r="N1334" s="5" t="s">
        <v>3548</v>
      </c>
      <c r="O1334" s="5" t="s">
        <v>574</v>
      </c>
      <c r="Q1334" s="5" t="s">
        <v>3837</v>
      </c>
      <c r="R1334" s="6"/>
      <c r="S1334" s="6" t="s">
        <v>328</v>
      </c>
    </row>
    <row r="1335" spans="1:21" x14ac:dyDescent="0.2">
      <c r="A1335" s="5">
        <v>1757</v>
      </c>
      <c r="B1335" s="8" t="s">
        <v>3838</v>
      </c>
      <c r="H1335" s="8" t="s">
        <v>3839</v>
      </c>
      <c r="I1335" s="8" t="s">
        <v>3839</v>
      </c>
      <c r="J1335" s="5">
        <v>3</v>
      </c>
      <c r="K1335" s="5" t="s">
        <v>292</v>
      </c>
      <c r="L1335" s="5" t="s">
        <v>3723</v>
      </c>
      <c r="M1335" s="5">
        <v>8</v>
      </c>
      <c r="N1335" s="5" t="s">
        <v>3840</v>
      </c>
      <c r="O1335" s="5" t="s">
        <v>574</v>
      </c>
      <c r="Q1335" s="10" t="s">
        <v>553</v>
      </c>
      <c r="R1335" s="6"/>
      <c r="S1335" s="6" t="s">
        <v>328</v>
      </c>
    </row>
    <row r="1336" spans="1:21" x14ac:dyDescent="0.2">
      <c r="A1336" s="5">
        <v>1758</v>
      </c>
      <c r="B1336" s="8" t="s">
        <v>3841</v>
      </c>
      <c r="H1336" s="8" t="s">
        <v>3842</v>
      </c>
      <c r="I1336" s="8" t="s">
        <v>3842</v>
      </c>
      <c r="J1336" s="5">
        <v>4</v>
      </c>
      <c r="K1336" s="5" t="s">
        <v>292</v>
      </c>
      <c r="L1336" s="5" t="s">
        <v>3723</v>
      </c>
      <c r="M1336" s="5">
        <v>8</v>
      </c>
      <c r="N1336" s="5" t="s">
        <v>3824</v>
      </c>
      <c r="O1336" s="5" t="s">
        <v>574</v>
      </c>
      <c r="Q1336" s="10" t="s">
        <v>553</v>
      </c>
      <c r="R1336" s="6"/>
      <c r="S1336" s="6" t="s">
        <v>328</v>
      </c>
    </row>
    <row r="1337" spans="1:21" x14ac:dyDescent="0.2">
      <c r="A1337" s="5">
        <v>1759</v>
      </c>
      <c r="B1337" s="8" t="s">
        <v>3843</v>
      </c>
      <c r="H1337" s="8" t="s">
        <v>3844</v>
      </c>
      <c r="I1337" s="8" t="s">
        <v>3844</v>
      </c>
      <c r="J1337" s="5">
        <v>0</v>
      </c>
      <c r="K1337" s="5" t="s">
        <v>292</v>
      </c>
      <c r="L1337" s="5" t="s">
        <v>3723</v>
      </c>
      <c r="M1337" s="5">
        <v>8</v>
      </c>
      <c r="N1337" s="5" t="s">
        <v>3845</v>
      </c>
      <c r="O1337" s="5" t="s">
        <v>574</v>
      </c>
      <c r="Q1337" s="10" t="s">
        <v>553</v>
      </c>
      <c r="R1337" s="6"/>
      <c r="S1337" s="6" t="s">
        <v>328</v>
      </c>
    </row>
    <row r="1338" spans="1:21" x14ac:dyDescent="0.2">
      <c r="A1338" s="5">
        <v>1760</v>
      </c>
      <c r="B1338" s="8">
        <v>687461</v>
      </c>
      <c r="H1338" s="8" t="s">
        <v>3846</v>
      </c>
      <c r="I1338" s="8" t="s">
        <v>3846</v>
      </c>
      <c r="J1338" s="5">
        <v>5</v>
      </c>
      <c r="K1338" s="5" t="s">
        <v>292</v>
      </c>
      <c r="L1338" s="5" t="s">
        <v>3723</v>
      </c>
      <c r="M1338" s="5">
        <v>8</v>
      </c>
      <c r="N1338" s="5" t="s">
        <v>3847</v>
      </c>
      <c r="O1338" s="5" t="s">
        <v>574</v>
      </c>
      <c r="Q1338" s="10" t="s">
        <v>553</v>
      </c>
      <c r="R1338" s="6"/>
      <c r="S1338" s="6" t="s">
        <v>1139</v>
      </c>
    </row>
    <row r="1339" spans="1:21" x14ac:dyDescent="0.2">
      <c r="A1339" s="5">
        <v>1761</v>
      </c>
      <c r="B1339" s="8" t="s">
        <v>3848</v>
      </c>
      <c r="H1339" s="8" t="s">
        <v>3849</v>
      </c>
      <c r="I1339" s="8" t="s">
        <v>3849</v>
      </c>
      <c r="J1339" s="5">
        <v>2</v>
      </c>
      <c r="K1339" s="5" t="s">
        <v>292</v>
      </c>
      <c r="L1339" s="5" t="s">
        <v>3723</v>
      </c>
      <c r="M1339" s="5">
        <v>8</v>
      </c>
      <c r="N1339" s="5" t="s">
        <v>3850</v>
      </c>
      <c r="O1339" s="5" t="s">
        <v>574</v>
      </c>
      <c r="Q1339" s="10" t="s">
        <v>553</v>
      </c>
      <c r="R1339" s="6"/>
      <c r="S1339" s="6" t="s">
        <v>328</v>
      </c>
      <c r="U1339" t="s">
        <v>321</v>
      </c>
    </row>
    <row r="1340" spans="1:21" x14ac:dyDescent="0.2">
      <c r="A1340" s="5">
        <v>1777</v>
      </c>
      <c r="B1340" s="8" t="s">
        <v>3851</v>
      </c>
      <c r="H1340" s="8" t="s">
        <v>3852</v>
      </c>
      <c r="I1340" s="8" t="s">
        <v>3852</v>
      </c>
      <c r="J1340" s="5">
        <v>5</v>
      </c>
      <c r="K1340" s="5" t="s">
        <v>292</v>
      </c>
      <c r="L1340" s="5" t="s">
        <v>3723</v>
      </c>
      <c r="M1340" s="5">
        <v>9</v>
      </c>
      <c r="N1340" s="5" t="s">
        <v>3853</v>
      </c>
      <c r="O1340" s="5" t="s">
        <v>574</v>
      </c>
      <c r="Q1340" s="10" t="s">
        <v>553</v>
      </c>
      <c r="R1340" s="6"/>
      <c r="S1340" s="6" t="s">
        <v>328</v>
      </c>
    </row>
    <row r="1341" spans="1:21" x14ac:dyDescent="0.2">
      <c r="A1341" s="5">
        <v>1778</v>
      </c>
      <c r="B1341" s="8" t="s">
        <v>3854</v>
      </c>
      <c r="H1341" s="8" t="s">
        <v>3855</v>
      </c>
      <c r="I1341" s="8" t="s">
        <v>3855</v>
      </c>
      <c r="J1341" s="5">
        <f>8+6+11</f>
        <v>25</v>
      </c>
      <c r="K1341" s="5" t="s">
        <v>292</v>
      </c>
      <c r="L1341" s="5" t="s">
        <v>3723</v>
      </c>
      <c r="M1341" s="5">
        <v>9</v>
      </c>
      <c r="N1341" s="5" t="s">
        <v>3853</v>
      </c>
      <c r="O1341" s="5" t="s">
        <v>574</v>
      </c>
      <c r="Q1341" s="10" t="s">
        <v>3856</v>
      </c>
    </row>
    <row r="1342" spans="1:21" x14ac:dyDescent="0.2">
      <c r="A1342" s="5">
        <v>305</v>
      </c>
      <c r="B1342" s="8" t="s">
        <v>3857</v>
      </c>
      <c r="H1342" s="8" t="s">
        <v>3858</v>
      </c>
      <c r="I1342" s="8" t="s">
        <v>3858</v>
      </c>
      <c r="J1342" s="5">
        <f>1</f>
        <v>1</v>
      </c>
      <c r="K1342" s="5" t="s">
        <v>292</v>
      </c>
      <c r="L1342" s="5" t="s">
        <v>3723</v>
      </c>
      <c r="M1342" s="5">
        <v>10</v>
      </c>
      <c r="N1342" s="5" t="s">
        <v>3510</v>
      </c>
      <c r="O1342" s="5" t="s">
        <v>574</v>
      </c>
      <c r="Q1342" s="5" t="s">
        <v>3859</v>
      </c>
      <c r="R1342" s="6"/>
      <c r="S1342" s="6" t="s">
        <v>3860</v>
      </c>
    </row>
    <row r="1343" spans="1:21" x14ac:dyDescent="0.2">
      <c r="A1343" s="5">
        <v>1756</v>
      </c>
      <c r="B1343" s="8" t="s">
        <v>3861</v>
      </c>
      <c r="H1343" s="8" t="s">
        <v>3862</v>
      </c>
      <c r="I1343" s="8" t="s">
        <v>3863</v>
      </c>
      <c r="J1343" s="5">
        <f>40+1-4+1-16-5</f>
        <v>17</v>
      </c>
      <c r="K1343" s="5" t="s">
        <v>292</v>
      </c>
      <c r="L1343" s="5" t="s">
        <v>3723</v>
      </c>
      <c r="M1343" s="5">
        <v>10</v>
      </c>
      <c r="N1343" s="5" t="s">
        <v>3847</v>
      </c>
      <c r="O1343" s="5" t="s">
        <v>574</v>
      </c>
      <c r="Q1343" s="5" t="s">
        <v>3864</v>
      </c>
      <c r="R1343" s="6"/>
      <c r="S1343" s="6"/>
    </row>
    <row r="1344" spans="1:21" x14ac:dyDescent="0.2">
      <c r="A1344" s="5"/>
      <c r="B1344" s="8" t="s">
        <v>3865</v>
      </c>
      <c r="H1344" s="8" t="s">
        <v>3866</v>
      </c>
      <c r="I1344" s="8" t="s">
        <v>3866</v>
      </c>
      <c r="J1344" s="5">
        <f>30+46-4-4-4-26+8-14+4+4-2-12-26+100-54-30-12</f>
        <v>4</v>
      </c>
      <c r="K1344" s="5" t="s">
        <v>292</v>
      </c>
      <c r="L1344" s="5" t="s">
        <v>3723</v>
      </c>
      <c r="M1344" s="5">
        <v>10</v>
      </c>
      <c r="N1344" s="5" t="s">
        <v>3847</v>
      </c>
      <c r="Q1344" s="5" t="s">
        <v>3867</v>
      </c>
    </row>
    <row r="1345" spans="1:21" x14ac:dyDescent="0.2">
      <c r="A1345" s="5">
        <v>279</v>
      </c>
      <c r="B1345" s="8" t="s">
        <v>3868</v>
      </c>
      <c r="H1345" s="8" t="s">
        <v>3869</v>
      </c>
      <c r="I1345" s="8" t="s">
        <v>3869</v>
      </c>
      <c r="J1345" s="5">
        <v>19</v>
      </c>
      <c r="K1345" s="5" t="s">
        <v>292</v>
      </c>
      <c r="L1345" s="5" t="s">
        <v>3723</v>
      </c>
      <c r="M1345" s="5">
        <v>11</v>
      </c>
      <c r="N1345" s="5" t="s">
        <v>43</v>
      </c>
      <c r="O1345" s="5" t="s">
        <v>553</v>
      </c>
      <c r="Q1345" s="5" t="s">
        <v>553</v>
      </c>
    </row>
    <row r="1346" spans="1:21" x14ac:dyDescent="0.2">
      <c r="A1346" s="5"/>
      <c r="B1346" s="8" t="s">
        <v>3870</v>
      </c>
      <c r="H1346" s="8" t="s">
        <v>3871</v>
      </c>
      <c r="I1346" s="8" t="s">
        <v>3871</v>
      </c>
      <c r="J1346" s="5">
        <f>1000-2</f>
        <v>998</v>
      </c>
      <c r="K1346" s="5" t="s">
        <v>292</v>
      </c>
      <c r="L1346" s="5" t="s">
        <v>3723</v>
      </c>
      <c r="M1346" s="5">
        <v>11</v>
      </c>
      <c r="N1346" s="5" t="s">
        <v>43</v>
      </c>
      <c r="Q1346" s="107" t="s">
        <v>3764</v>
      </c>
      <c r="R1346" s="6"/>
      <c r="S1346" s="6" t="s">
        <v>328</v>
      </c>
    </row>
    <row r="1347" spans="1:21" x14ac:dyDescent="0.2">
      <c r="A1347" s="5">
        <v>1807</v>
      </c>
      <c r="B1347" s="8">
        <v>660713</v>
      </c>
      <c r="H1347" s="8" t="s">
        <v>3872</v>
      </c>
      <c r="I1347" s="8" t="s">
        <v>3872</v>
      </c>
      <c r="J1347" s="5">
        <f>4164-16-8-16-8-16-8-16-5-2-1-1-2-2-3</f>
        <v>4060</v>
      </c>
      <c r="K1347" s="5" t="s">
        <v>292</v>
      </c>
      <c r="L1347" s="5" t="s">
        <v>3723</v>
      </c>
      <c r="M1347" s="5">
        <v>11</v>
      </c>
      <c r="N1347" s="5" t="s">
        <v>3724</v>
      </c>
      <c r="O1347" s="5" t="s">
        <v>574</v>
      </c>
      <c r="Q1347" s="10" t="s">
        <v>553</v>
      </c>
      <c r="R1347" s="6"/>
      <c r="S1347" s="6"/>
    </row>
    <row r="1348" spans="1:21" x14ac:dyDescent="0.2">
      <c r="A1348" s="5"/>
      <c r="B1348" s="8" t="s">
        <v>3873</v>
      </c>
      <c r="H1348" s="8" t="s">
        <v>3874</v>
      </c>
      <c r="I1348" s="8" t="s">
        <v>3874</v>
      </c>
      <c r="J1348" s="5">
        <f>18-18</f>
        <v>0</v>
      </c>
      <c r="K1348" s="5" t="s">
        <v>21</v>
      </c>
      <c r="L1348" s="5" t="s">
        <v>3723</v>
      </c>
      <c r="M1348" s="5">
        <v>11</v>
      </c>
      <c r="N1348" s="5" t="s">
        <v>3724</v>
      </c>
      <c r="O1348" s="5" t="s">
        <v>574</v>
      </c>
      <c r="U1348" t="s">
        <v>321</v>
      </c>
    </row>
    <row r="1349" spans="1:21" x14ac:dyDescent="0.2">
      <c r="A1349" s="5">
        <v>1808</v>
      </c>
      <c r="B1349" s="8" t="s">
        <v>3875</v>
      </c>
      <c r="H1349" s="8" t="s">
        <v>3876</v>
      </c>
      <c r="I1349" s="8" t="s">
        <v>3876</v>
      </c>
      <c r="J1349" s="5">
        <f>1982-120+7-6-48-2-2-22-18-3-1-2-8-3-8-1</f>
        <v>1745</v>
      </c>
      <c r="K1349" s="5" t="s">
        <v>292</v>
      </c>
      <c r="L1349" s="5" t="s">
        <v>3723</v>
      </c>
      <c r="M1349" s="5">
        <v>11</v>
      </c>
      <c r="N1349" s="5" t="s">
        <v>3724</v>
      </c>
      <c r="O1349" s="5" t="s">
        <v>574</v>
      </c>
      <c r="Q1349" s="10" t="s">
        <v>553</v>
      </c>
    </row>
    <row r="1350" spans="1:21" x14ac:dyDescent="0.2">
      <c r="A1350" s="5">
        <v>1825</v>
      </c>
      <c r="B1350" s="8" t="s">
        <v>3877</v>
      </c>
      <c r="H1350" s="8" t="s">
        <v>3878</v>
      </c>
      <c r="I1350" s="8" t="s">
        <v>3878</v>
      </c>
      <c r="J1350" s="5">
        <v>0</v>
      </c>
      <c r="K1350" s="5" t="s">
        <v>292</v>
      </c>
      <c r="L1350" s="5" t="s">
        <v>3723</v>
      </c>
      <c r="M1350" s="5">
        <v>12</v>
      </c>
      <c r="N1350" s="5" t="s">
        <v>3879</v>
      </c>
      <c r="O1350" s="5" t="s">
        <v>574</v>
      </c>
      <c r="Q1350" s="10" t="s">
        <v>553</v>
      </c>
      <c r="R1350" s="6"/>
      <c r="S1350" s="6" t="s">
        <v>328</v>
      </c>
    </row>
    <row r="1351" spans="1:21" x14ac:dyDescent="0.2">
      <c r="A1351" s="5">
        <v>1826</v>
      </c>
      <c r="B1351" s="40" t="s">
        <v>3880</v>
      </c>
      <c r="H1351" s="8" t="s">
        <v>3881</v>
      </c>
      <c r="I1351" s="8" t="s">
        <v>3882</v>
      </c>
      <c r="J1351" s="5">
        <f>119-16</f>
        <v>103</v>
      </c>
      <c r="K1351" s="5" t="s">
        <v>292</v>
      </c>
      <c r="L1351" s="5" t="s">
        <v>3723</v>
      </c>
      <c r="M1351" s="5">
        <v>12</v>
      </c>
      <c r="N1351" s="5" t="s">
        <v>3879</v>
      </c>
      <c r="O1351" s="5" t="s">
        <v>574</v>
      </c>
      <c r="Q1351" s="10" t="s">
        <v>553</v>
      </c>
      <c r="R1351" s="6"/>
      <c r="S1351" s="6" t="s">
        <v>328</v>
      </c>
    </row>
    <row r="1352" spans="1:21" x14ac:dyDescent="0.2">
      <c r="A1352" s="5">
        <v>1828</v>
      </c>
      <c r="B1352" s="8" t="s">
        <v>3883</v>
      </c>
      <c r="H1352" s="8" t="s">
        <v>3884</v>
      </c>
      <c r="I1352" s="8" t="s">
        <v>3885</v>
      </c>
      <c r="J1352" s="5">
        <v>0</v>
      </c>
      <c r="K1352" s="5" t="s">
        <v>292</v>
      </c>
      <c r="L1352" s="5" t="s">
        <v>3723</v>
      </c>
      <c r="M1352" s="5">
        <v>12</v>
      </c>
      <c r="N1352" s="5" t="s">
        <v>3879</v>
      </c>
      <c r="O1352" s="5" t="s">
        <v>574</v>
      </c>
      <c r="Q1352" s="10" t="s">
        <v>553</v>
      </c>
      <c r="R1352" s="6"/>
      <c r="S1352" s="6" t="s">
        <v>328</v>
      </c>
    </row>
    <row r="1353" spans="1:21" x14ac:dyDescent="0.2">
      <c r="A1353" s="5">
        <v>1829</v>
      </c>
      <c r="B1353" s="40" t="s">
        <v>3886</v>
      </c>
      <c r="H1353" s="8" t="s">
        <v>3887</v>
      </c>
      <c r="I1353" s="8" t="s">
        <v>3887</v>
      </c>
      <c r="J1353" s="5">
        <v>27</v>
      </c>
      <c r="K1353" s="5" t="s">
        <v>292</v>
      </c>
      <c r="L1353" s="5" t="s">
        <v>3723</v>
      </c>
      <c r="M1353" s="5">
        <v>12</v>
      </c>
      <c r="N1353" s="5" t="s">
        <v>3850</v>
      </c>
      <c r="O1353" s="5" t="s">
        <v>574</v>
      </c>
      <c r="Q1353" s="10" t="s">
        <v>553</v>
      </c>
      <c r="R1353" s="6"/>
      <c r="S1353" s="6"/>
      <c r="U1353" t="s">
        <v>321</v>
      </c>
    </row>
    <row r="1354" spans="1:21" x14ac:dyDescent="0.2">
      <c r="A1354" s="5"/>
      <c r="B1354" s="40" t="s">
        <v>3888</v>
      </c>
      <c r="H1354" s="8" t="s">
        <v>3889</v>
      </c>
      <c r="I1354" s="8" t="s">
        <v>3889</v>
      </c>
      <c r="J1354" s="5">
        <f>1188</f>
        <v>1188</v>
      </c>
      <c r="K1354" s="5" t="s">
        <v>21</v>
      </c>
      <c r="L1354" s="5" t="s">
        <v>3723</v>
      </c>
      <c r="M1354" s="5">
        <v>12</v>
      </c>
      <c r="N1354" s="5" t="s">
        <v>3879</v>
      </c>
      <c r="Q1354" s="10"/>
    </row>
    <row r="1355" spans="1:21" x14ac:dyDescent="0.2">
      <c r="A1355" s="5">
        <v>1343</v>
      </c>
      <c r="B1355" s="8" t="s">
        <v>3890</v>
      </c>
      <c r="H1355" s="8" t="s">
        <v>3891</v>
      </c>
      <c r="I1355" s="8" t="s">
        <v>3891</v>
      </c>
      <c r="J1355" s="5">
        <f>100</f>
        <v>100</v>
      </c>
      <c r="K1355" s="5" t="s">
        <v>292</v>
      </c>
      <c r="L1355" s="5" t="s">
        <v>3723</v>
      </c>
      <c r="M1355" s="5">
        <v>13</v>
      </c>
      <c r="N1355" s="5" t="s">
        <v>3892</v>
      </c>
      <c r="O1355" s="5" t="s">
        <v>520</v>
      </c>
      <c r="Q1355" s="5" t="s">
        <v>1279</v>
      </c>
    </row>
    <row r="1356" spans="1:21" x14ac:dyDescent="0.2">
      <c r="A1356" s="5"/>
      <c r="B1356" s="8" t="s">
        <v>3893</v>
      </c>
      <c r="H1356" s="8" t="s">
        <v>3894</v>
      </c>
      <c r="I1356" s="8" t="s">
        <v>3894</v>
      </c>
      <c r="J1356" s="5">
        <f>380-3-30</f>
        <v>347</v>
      </c>
      <c r="K1356" s="5" t="s">
        <v>292</v>
      </c>
      <c r="L1356" s="5" t="s">
        <v>3723</v>
      </c>
      <c r="M1356" s="5">
        <v>13</v>
      </c>
      <c r="N1356" s="5" t="s">
        <v>292</v>
      </c>
      <c r="Q1356" s="107" t="s">
        <v>3895</v>
      </c>
      <c r="R1356" s="6"/>
      <c r="S1356" s="6" t="s">
        <v>328</v>
      </c>
    </row>
    <row r="1357" spans="1:21" x14ac:dyDescent="0.2">
      <c r="A1357" s="5"/>
      <c r="B1357" s="8">
        <v>3006043</v>
      </c>
      <c r="I1357" s="8" t="s">
        <v>3896</v>
      </c>
      <c r="J1357" s="5">
        <f>41</f>
        <v>41</v>
      </c>
      <c r="K1357" s="5" t="s">
        <v>292</v>
      </c>
      <c r="L1357" s="5" t="s">
        <v>3723</v>
      </c>
      <c r="M1357" s="5">
        <v>13</v>
      </c>
      <c r="Q1357" s="107"/>
      <c r="R1357" s="6"/>
      <c r="S1357" s="6"/>
    </row>
    <row r="1358" spans="1:21" x14ac:dyDescent="0.2">
      <c r="A1358" s="5">
        <v>1745</v>
      </c>
      <c r="B1358" s="8" t="s">
        <v>3897</v>
      </c>
      <c r="H1358" s="8" t="s">
        <v>3898</v>
      </c>
      <c r="I1358" s="8" t="s">
        <v>3899</v>
      </c>
      <c r="J1358" s="5">
        <f>52-4-1-4+4</f>
        <v>47</v>
      </c>
      <c r="K1358" s="5" t="s">
        <v>292</v>
      </c>
      <c r="L1358" s="5" t="s">
        <v>3723</v>
      </c>
      <c r="M1358" s="5">
        <v>14</v>
      </c>
      <c r="N1358" s="5" t="s">
        <v>3850</v>
      </c>
      <c r="O1358" s="5" t="s">
        <v>574</v>
      </c>
      <c r="Q1358" s="10" t="s">
        <v>553</v>
      </c>
      <c r="R1358" s="6"/>
      <c r="S1358" s="6"/>
    </row>
    <row r="1359" spans="1:21" x14ac:dyDescent="0.2">
      <c r="A1359" s="5"/>
      <c r="B1359" s="8" t="s">
        <v>3900</v>
      </c>
      <c r="H1359" s="8" t="s">
        <v>3901</v>
      </c>
      <c r="I1359" s="8" t="s">
        <v>3902</v>
      </c>
      <c r="J1359" s="5">
        <f>29+4</f>
        <v>33</v>
      </c>
      <c r="K1359" s="5" t="s">
        <v>21</v>
      </c>
      <c r="L1359" s="5" t="s">
        <v>3723</v>
      </c>
      <c r="M1359" s="5">
        <v>14</v>
      </c>
      <c r="Q1359" s="10"/>
      <c r="R1359" s="6"/>
      <c r="S1359" s="6"/>
    </row>
    <row r="1360" spans="1:21" x14ac:dyDescent="0.2">
      <c r="A1360" s="5"/>
      <c r="B1360" s="8" t="s">
        <v>3903</v>
      </c>
      <c r="C1360" s="8" t="s">
        <v>3903</v>
      </c>
      <c r="H1360" s="8" t="s">
        <v>3904</v>
      </c>
      <c r="I1360" s="8" t="s">
        <v>3904</v>
      </c>
      <c r="J1360" s="5">
        <f>140-22-18-10-10-31-17+154-66-44-3-66+110-14-66-4+4+4-2-16+154+12-12-110-66+30-20-10+121-10-10+26-8-96+24+64-30-12-22-18+66-18+300-176-112-12-12+12+12+50</f>
        <v>140</v>
      </c>
      <c r="K1360" s="5" t="s">
        <v>21</v>
      </c>
      <c r="L1360" s="5" t="s">
        <v>3723</v>
      </c>
      <c r="M1360" s="5">
        <v>14</v>
      </c>
      <c r="Q1360" s="10" t="s">
        <v>3905</v>
      </c>
      <c r="R1360" s="6"/>
      <c r="S1360" s="6"/>
    </row>
    <row r="1361" spans="1:19" x14ac:dyDescent="0.2">
      <c r="A1361" s="5"/>
      <c r="B1361" s="8" t="s">
        <v>3906</v>
      </c>
      <c r="C1361" s="8" t="s">
        <v>3903</v>
      </c>
      <c r="H1361" s="8" t="s">
        <v>3904</v>
      </c>
      <c r="I1361" s="8" t="s">
        <v>3904</v>
      </c>
      <c r="J1361" s="5">
        <f>30-15+35-30-10+30+20+100-55-35</f>
        <v>70</v>
      </c>
      <c r="K1361" s="5" t="s">
        <v>21</v>
      </c>
      <c r="L1361" s="5" t="s">
        <v>3723</v>
      </c>
      <c r="M1361" s="5">
        <v>14</v>
      </c>
      <c r="Q1361" s="10" t="s">
        <v>3907</v>
      </c>
      <c r="R1361" s="6"/>
      <c r="S1361" s="6"/>
    </row>
    <row r="1362" spans="1:19" x14ac:dyDescent="0.2">
      <c r="A1362" s="5"/>
      <c r="B1362" s="8" t="s">
        <v>3908</v>
      </c>
      <c r="I1362" s="8" t="s">
        <v>3909</v>
      </c>
      <c r="J1362" s="5">
        <f>15-3-1-5-6+4</f>
        <v>4</v>
      </c>
      <c r="K1362" s="5" t="s">
        <v>21</v>
      </c>
      <c r="L1362" s="5" t="s">
        <v>3723</v>
      </c>
      <c r="M1362" s="5">
        <v>14</v>
      </c>
      <c r="Q1362" s="10"/>
      <c r="R1362" s="6"/>
      <c r="S1362" s="6"/>
    </row>
    <row r="1363" spans="1:19" x14ac:dyDescent="0.2">
      <c r="A1363" s="5">
        <v>1762</v>
      </c>
      <c r="B1363" s="8">
        <v>5001722</v>
      </c>
      <c r="H1363" s="8" t="s">
        <v>3910</v>
      </c>
      <c r="I1363" s="8" t="s">
        <v>3910</v>
      </c>
      <c r="J1363" s="5">
        <v>76</v>
      </c>
      <c r="K1363" s="5" t="s">
        <v>292</v>
      </c>
      <c r="L1363" s="5" t="s">
        <v>3723</v>
      </c>
      <c r="M1363" s="5">
        <v>15</v>
      </c>
      <c r="N1363" s="5" t="s">
        <v>3724</v>
      </c>
      <c r="O1363" s="5" t="s">
        <v>574</v>
      </c>
      <c r="Q1363" s="10" t="s">
        <v>3911</v>
      </c>
      <c r="R1363" s="6"/>
      <c r="S1363" s="6" t="s">
        <v>328</v>
      </c>
    </row>
    <row r="1364" spans="1:19" x14ac:dyDescent="0.2">
      <c r="A1364" s="5">
        <v>1763</v>
      </c>
      <c r="B1364" s="8">
        <v>6664607</v>
      </c>
      <c r="H1364" s="8" t="s">
        <v>3912</v>
      </c>
      <c r="I1364" s="8" t="s">
        <v>3912</v>
      </c>
      <c r="J1364" s="5">
        <f>99</f>
        <v>99</v>
      </c>
      <c r="K1364" s="5" t="s">
        <v>292</v>
      </c>
      <c r="L1364" s="5" t="s">
        <v>3723</v>
      </c>
      <c r="M1364" s="5">
        <v>15</v>
      </c>
      <c r="N1364" s="5" t="s">
        <v>3724</v>
      </c>
      <c r="O1364" s="5" t="s">
        <v>574</v>
      </c>
      <c r="Q1364" s="10" t="s">
        <v>553</v>
      </c>
      <c r="R1364" s="6"/>
      <c r="S1364" s="6" t="s">
        <v>328</v>
      </c>
    </row>
    <row r="1365" spans="1:19" x14ac:dyDescent="0.2">
      <c r="A1365" s="5">
        <v>1764</v>
      </c>
      <c r="B1365" s="8" t="s">
        <v>3913</v>
      </c>
      <c r="H1365" s="8" t="s">
        <v>3914</v>
      </c>
      <c r="I1365" s="8" t="s">
        <v>3914</v>
      </c>
      <c r="J1365" s="5">
        <v>49</v>
      </c>
      <c r="K1365" s="5" t="s">
        <v>292</v>
      </c>
      <c r="L1365" s="5" t="s">
        <v>3723</v>
      </c>
      <c r="M1365" s="5">
        <v>15</v>
      </c>
      <c r="N1365" s="5" t="s">
        <v>3724</v>
      </c>
      <c r="O1365" s="5" t="s">
        <v>574</v>
      </c>
      <c r="Q1365" s="10" t="s">
        <v>553</v>
      </c>
      <c r="R1365" s="6"/>
      <c r="S1365" s="6" t="s">
        <v>328</v>
      </c>
    </row>
    <row r="1366" spans="1:19" x14ac:dyDescent="0.2">
      <c r="A1366" s="5">
        <v>1765</v>
      </c>
      <c r="B1366" s="8">
        <v>543197</v>
      </c>
      <c r="H1366" s="8" t="s">
        <v>3915</v>
      </c>
      <c r="I1366" s="8" t="s">
        <v>3915</v>
      </c>
      <c r="J1366" s="5">
        <v>749</v>
      </c>
      <c r="K1366" s="5" t="s">
        <v>292</v>
      </c>
      <c r="L1366" s="5" t="s">
        <v>3723</v>
      </c>
      <c r="M1366" s="5">
        <v>15</v>
      </c>
      <c r="N1366" s="5" t="s">
        <v>3724</v>
      </c>
      <c r="O1366" s="5" t="s">
        <v>574</v>
      </c>
      <c r="Q1366" s="10" t="s">
        <v>553</v>
      </c>
      <c r="R1366" s="6"/>
      <c r="S1366" s="6" t="s">
        <v>328</v>
      </c>
    </row>
    <row r="1367" spans="1:19" x14ac:dyDescent="0.2">
      <c r="A1367" s="5">
        <v>1779</v>
      </c>
      <c r="B1367" s="8" t="s">
        <v>3916</v>
      </c>
      <c r="H1367" s="8" t="s">
        <v>3917</v>
      </c>
      <c r="I1367" s="8" t="s">
        <v>3917</v>
      </c>
      <c r="J1367" s="5">
        <v>22</v>
      </c>
      <c r="K1367" s="5" t="s">
        <v>292</v>
      </c>
      <c r="L1367" s="5" t="s">
        <v>3723</v>
      </c>
      <c r="M1367" s="5">
        <v>16</v>
      </c>
      <c r="N1367" s="5" t="s">
        <v>3797</v>
      </c>
      <c r="O1367" s="5" t="s">
        <v>574</v>
      </c>
      <c r="Q1367" s="10" t="s">
        <v>553</v>
      </c>
      <c r="R1367" s="6"/>
      <c r="S1367" s="6"/>
    </row>
    <row r="1368" spans="1:19" x14ac:dyDescent="0.2">
      <c r="A1368" s="5">
        <v>1780</v>
      </c>
      <c r="B1368" s="8" t="s">
        <v>3918</v>
      </c>
      <c r="H1368" s="8" t="s">
        <v>3919</v>
      </c>
      <c r="I1368" s="8" t="s">
        <v>3919</v>
      </c>
      <c r="J1368" s="5">
        <v>176</v>
      </c>
      <c r="K1368" s="5" t="s">
        <v>292</v>
      </c>
      <c r="L1368" s="5" t="s">
        <v>3723</v>
      </c>
      <c r="M1368" s="5">
        <v>16</v>
      </c>
      <c r="N1368" s="5" t="s">
        <v>3797</v>
      </c>
      <c r="Q1368" s="10" t="s">
        <v>553</v>
      </c>
      <c r="R1368" s="6"/>
      <c r="S1368" s="6" t="s">
        <v>328</v>
      </c>
    </row>
    <row r="1369" spans="1:19" x14ac:dyDescent="0.2">
      <c r="A1369" s="5">
        <v>1803</v>
      </c>
      <c r="B1369" s="8" t="s">
        <v>3920</v>
      </c>
      <c r="H1369" s="8" t="s">
        <v>3921</v>
      </c>
      <c r="I1369" s="8" t="s">
        <v>3921</v>
      </c>
      <c r="J1369" s="5">
        <v>8</v>
      </c>
      <c r="K1369" s="5" t="s">
        <v>292</v>
      </c>
      <c r="L1369" s="5" t="s">
        <v>3723</v>
      </c>
      <c r="M1369" s="5">
        <v>17</v>
      </c>
      <c r="N1369" s="5" t="s">
        <v>3847</v>
      </c>
      <c r="O1369" s="5" t="s">
        <v>574</v>
      </c>
      <c r="Q1369" s="10" t="s">
        <v>3922</v>
      </c>
      <c r="R1369" s="6"/>
      <c r="S1369" s="6" t="s">
        <v>328</v>
      </c>
    </row>
    <row r="1370" spans="1:19" x14ac:dyDescent="0.2">
      <c r="A1370" s="5">
        <v>1804</v>
      </c>
      <c r="B1370" s="8">
        <v>7027838</v>
      </c>
      <c r="H1370" s="8" t="s">
        <v>3923</v>
      </c>
      <c r="I1370" s="8" t="s">
        <v>3924</v>
      </c>
      <c r="J1370" s="5">
        <v>32</v>
      </c>
      <c r="K1370" s="5" t="s">
        <v>292</v>
      </c>
      <c r="L1370" s="5" t="s">
        <v>3723</v>
      </c>
      <c r="M1370" s="5">
        <v>17</v>
      </c>
      <c r="N1370" s="5" t="s">
        <v>3879</v>
      </c>
      <c r="O1370" s="5" t="s">
        <v>574</v>
      </c>
      <c r="Q1370" s="10" t="s">
        <v>3925</v>
      </c>
      <c r="R1370" s="6"/>
      <c r="S1370" s="6" t="s">
        <v>328</v>
      </c>
    </row>
    <row r="1371" spans="1:19" x14ac:dyDescent="0.2">
      <c r="A1371" s="5">
        <v>1805</v>
      </c>
      <c r="B1371" s="8">
        <v>825815</v>
      </c>
      <c r="H1371" s="8" t="s">
        <v>3926</v>
      </c>
      <c r="I1371" s="8" t="s">
        <v>3927</v>
      </c>
      <c r="J1371" s="5">
        <v>24</v>
      </c>
      <c r="K1371" s="5" t="s">
        <v>292</v>
      </c>
      <c r="L1371" s="5" t="s">
        <v>3723</v>
      </c>
      <c r="M1371" s="5">
        <v>17</v>
      </c>
      <c r="N1371" s="5" t="s">
        <v>3847</v>
      </c>
      <c r="O1371" s="5" t="s">
        <v>574</v>
      </c>
      <c r="Q1371" s="10" t="s">
        <v>553</v>
      </c>
      <c r="R1371" s="6"/>
      <c r="S1371" s="6" t="s">
        <v>328</v>
      </c>
    </row>
    <row r="1372" spans="1:19" x14ac:dyDescent="0.2">
      <c r="A1372" s="5">
        <v>1806</v>
      </c>
      <c r="B1372" s="8" t="s">
        <v>3928</v>
      </c>
      <c r="H1372" s="8" t="s">
        <v>3929</v>
      </c>
      <c r="I1372" s="8" t="s">
        <v>3929</v>
      </c>
      <c r="J1372" s="5">
        <v>0</v>
      </c>
      <c r="K1372" s="5" t="s">
        <v>292</v>
      </c>
      <c r="L1372" s="5" t="s">
        <v>3723</v>
      </c>
      <c r="M1372" s="5">
        <v>18</v>
      </c>
      <c r="N1372" s="5" t="s">
        <v>3724</v>
      </c>
      <c r="O1372" s="5" t="s">
        <v>574</v>
      </c>
      <c r="Q1372" s="10" t="s">
        <v>553</v>
      </c>
      <c r="R1372" s="6"/>
      <c r="S1372" s="6" t="s">
        <v>328</v>
      </c>
    </row>
    <row r="1373" spans="1:19" x14ac:dyDescent="0.2">
      <c r="A1373" s="5">
        <v>1811</v>
      </c>
      <c r="B1373" s="40" t="s">
        <v>3928</v>
      </c>
      <c r="H1373" s="8" t="s">
        <v>3929</v>
      </c>
      <c r="I1373" s="8" t="s">
        <v>3929</v>
      </c>
      <c r="J1373" s="5">
        <v>90</v>
      </c>
      <c r="K1373" s="5" t="s">
        <v>292</v>
      </c>
      <c r="L1373" s="5" t="s">
        <v>3723</v>
      </c>
      <c r="M1373" s="5">
        <v>18</v>
      </c>
      <c r="N1373" s="5" t="s">
        <v>3724</v>
      </c>
      <c r="O1373" s="5" t="s">
        <v>574</v>
      </c>
      <c r="Q1373" s="10" t="s">
        <v>553</v>
      </c>
      <c r="R1373" s="6"/>
      <c r="S1373" s="6" t="s">
        <v>328</v>
      </c>
    </row>
    <row r="1374" spans="1:19" x14ac:dyDescent="0.2">
      <c r="A1374" s="5">
        <v>1809</v>
      </c>
      <c r="B1374" s="40" t="s">
        <v>3868</v>
      </c>
      <c r="H1374" s="8" t="s">
        <v>3868</v>
      </c>
      <c r="I1374" s="8" t="s">
        <v>3868</v>
      </c>
      <c r="J1374" s="5">
        <f>24+20-5</f>
        <v>39</v>
      </c>
      <c r="K1374" s="5" t="s">
        <v>292</v>
      </c>
      <c r="L1374" s="5" t="s">
        <v>3723</v>
      </c>
      <c r="M1374" s="5">
        <v>18</v>
      </c>
      <c r="N1374" s="5" t="s">
        <v>3724</v>
      </c>
      <c r="O1374" s="5" t="s">
        <v>574</v>
      </c>
      <c r="Q1374" s="10" t="s">
        <v>553</v>
      </c>
      <c r="R1374" s="6"/>
      <c r="S1374" s="6" t="s">
        <v>328</v>
      </c>
    </row>
    <row r="1375" spans="1:19" x14ac:dyDescent="0.2">
      <c r="A1375" s="5">
        <v>1810</v>
      </c>
      <c r="B1375" s="40">
        <v>660740</v>
      </c>
      <c r="H1375" s="8" t="s">
        <v>3930</v>
      </c>
      <c r="I1375" s="8" t="s">
        <v>3930</v>
      </c>
      <c r="J1375" s="5">
        <f>6</f>
        <v>6</v>
      </c>
      <c r="K1375" s="5" t="s">
        <v>292</v>
      </c>
      <c r="L1375" s="5" t="s">
        <v>3723</v>
      </c>
      <c r="M1375" s="5">
        <v>18</v>
      </c>
      <c r="N1375" s="5" t="s">
        <v>3724</v>
      </c>
      <c r="O1375" s="5" t="s">
        <v>574</v>
      </c>
      <c r="Q1375" s="10" t="s">
        <v>553</v>
      </c>
      <c r="R1375" s="6"/>
      <c r="S1375" s="6" t="s">
        <v>328</v>
      </c>
    </row>
    <row r="1376" spans="1:19" x14ac:dyDescent="0.2">
      <c r="A1376" s="5">
        <v>1812</v>
      </c>
      <c r="B1376" s="8" t="s">
        <v>3931</v>
      </c>
      <c r="H1376" s="8" t="s">
        <v>3932</v>
      </c>
      <c r="I1376" s="8" t="s">
        <v>3932</v>
      </c>
      <c r="J1376" s="5">
        <v>485</v>
      </c>
      <c r="K1376" s="5" t="s">
        <v>292</v>
      </c>
      <c r="L1376" s="5" t="s">
        <v>3723</v>
      </c>
      <c r="M1376" s="5">
        <v>18</v>
      </c>
      <c r="N1376" s="5" t="s">
        <v>3724</v>
      </c>
      <c r="O1376" s="5" t="s">
        <v>574</v>
      </c>
      <c r="Q1376" s="10" t="s">
        <v>553</v>
      </c>
      <c r="R1376" s="6"/>
      <c r="S1376" s="6" t="s">
        <v>328</v>
      </c>
    </row>
    <row r="1377" spans="1:21" x14ac:dyDescent="0.2">
      <c r="A1377" s="5">
        <v>1813</v>
      </c>
      <c r="B1377" s="40">
        <v>660719</v>
      </c>
      <c r="H1377" s="8" t="s">
        <v>3933</v>
      </c>
      <c r="I1377" s="8" t="s">
        <v>3933</v>
      </c>
      <c r="J1377" s="5">
        <v>99</v>
      </c>
      <c r="K1377" s="5" t="s">
        <v>292</v>
      </c>
      <c r="L1377" s="5" t="s">
        <v>3723</v>
      </c>
      <c r="M1377" s="5">
        <v>18</v>
      </c>
      <c r="N1377" s="5" t="s">
        <v>3724</v>
      </c>
      <c r="O1377" s="5" t="s">
        <v>574</v>
      </c>
      <c r="Q1377" s="10" t="s">
        <v>553</v>
      </c>
      <c r="R1377" s="6"/>
      <c r="S1377" s="6" t="s">
        <v>328</v>
      </c>
      <c r="U1377" t="s">
        <v>321</v>
      </c>
    </row>
    <row r="1378" spans="1:21" x14ac:dyDescent="0.2">
      <c r="A1378" s="5">
        <v>1815</v>
      </c>
      <c r="B1378" s="40" t="s">
        <v>3934</v>
      </c>
      <c r="H1378" s="8" t="s">
        <v>3933</v>
      </c>
      <c r="I1378" s="8" t="s">
        <v>3933</v>
      </c>
      <c r="J1378" s="5">
        <v>414</v>
      </c>
      <c r="K1378" s="5" t="s">
        <v>292</v>
      </c>
      <c r="L1378" s="5" t="s">
        <v>3723</v>
      </c>
      <c r="M1378" s="5">
        <v>18</v>
      </c>
      <c r="N1378" s="5" t="s">
        <v>3724</v>
      </c>
      <c r="O1378" s="5" t="s">
        <v>574</v>
      </c>
      <c r="Q1378" s="10" t="s">
        <v>553</v>
      </c>
      <c r="R1378" s="6"/>
      <c r="S1378" s="6"/>
    </row>
    <row r="1379" spans="1:21" x14ac:dyDescent="0.2">
      <c r="A1379" s="5">
        <v>1816</v>
      </c>
      <c r="B1379" s="40" t="s">
        <v>3935</v>
      </c>
      <c r="H1379" s="8" t="s">
        <v>3936</v>
      </c>
      <c r="I1379" s="8" t="s">
        <v>3936</v>
      </c>
      <c r="J1379" s="5">
        <v>855</v>
      </c>
      <c r="K1379" s="5" t="s">
        <v>292</v>
      </c>
      <c r="L1379" s="5" t="s">
        <v>3723</v>
      </c>
      <c r="M1379" s="5">
        <v>18</v>
      </c>
      <c r="N1379" s="5" t="s">
        <v>3724</v>
      </c>
      <c r="O1379" s="5" t="s">
        <v>574</v>
      </c>
      <c r="Q1379" s="10" t="s">
        <v>553</v>
      </c>
      <c r="R1379" s="6"/>
      <c r="S1379" s="6" t="s">
        <v>328</v>
      </c>
      <c r="U1379" t="s">
        <v>321</v>
      </c>
    </row>
    <row r="1380" spans="1:21" x14ac:dyDescent="0.2">
      <c r="A1380" s="5">
        <v>1814</v>
      </c>
      <c r="B1380" s="40">
        <v>660735</v>
      </c>
      <c r="H1380" s="8" t="s">
        <v>3936</v>
      </c>
      <c r="I1380" s="8" t="s">
        <v>3936</v>
      </c>
      <c r="J1380" s="5">
        <f>692-35</f>
        <v>657</v>
      </c>
      <c r="K1380" s="5" t="s">
        <v>292</v>
      </c>
      <c r="L1380" s="5" t="s">
        <v>3723</v>
      </c>
      <c r="M1380" s="5">
        <v>18</v>
      </c>
      <c r="N1380" s="5" t="s">
        <v>3724</v>
      </c>
      <c r="O1380" s="5" t="s">
        <v>574</v>
      </c>
      <c r="Q1380" s="10" t="s">
        <v>553</v>
      </c>
      <c r="R1380" s="6"/>
      <c r="S1380" s="6"/>
    </row>
    <row r="1381" spans="1:21" x14ac:dyDescent="0.2">
      <c r="A1381" s="5"/>
      <c r="B1381" s="40" t="s">
        <v>3937</v>
      </c>
      <c r="H1381" s="8" t="s">
        <v>3938</v>
      </c>
      <c r="I1381" s="8" t="s">
        <v>3938</v>
      </c>
      <c r="J1381" s="5">
        <f>42</f>
        <v>42</v>
      </c>
      <c r="K1381" s="5" t="s">
        <v>292</v>
      </c>
      <c r="L1381" s="5" t="s">
        <v>3723</v>
      </c>
      <c r="M1381" s="5">
        <v>18</v>
      </c>
      <c r="N1381" s="5" t="s">
        <v>3724</v>
      </c>
      <c r="Q1381" s="5" t="s">
        <v>3939</v>
      </c>
      <c r="R1381" s="6"/>
      <c r="S1381" s="6"/>
    </row>
    <row r="1382" spans="1:21" x14ac:dyDescent="0.2">
      <c r="A1382" s="5"/>
      <c r="B1382" s="40" t="s">
        <v>3940</v>
      </c>
      <c r="H1382" s="8" t="s">
        <v>3941</v>
      </c>
      <c r="I1382" s="8" t="s">
        <v>3941</v>
      </c>
      <c r="J1382" s="5">
        <f>46-2</f>
        <v>44</v>
      </c>
      <c r="K1382" s="5" t="s">
        <v>292</v>
      </c>
      <c r="L1382" s="5" t="s">
        <v>3723</v>
      </c>
      <c r="M1382" s="5">
        <v>18</v>
      </c>
      <c r="N1382" s="5" t="s">
        <v>3724</v>
      </c>
      <c r="Q1382" s="5" t="s">
        <v>3939</v>
      </c>
      <c r="R1382" s="6"/>
      <c r="S1382" s="6" t="s">
        <v>328</v>
      </c>
    </row>
    <row r="1383" spans="1:21" x14ac:dyDescent="0.2">
      <c r="A1383" s="5"/>
      <c r="B1383" s="40" t="s">
        <v>3942</v>
      </c>
      <c r="H1383" s="8" t="s">
        <v>3943</v>
      </c>
      <c r="I1383" s="8" t="s">
        <v>3943</v>
      </c>
      <c r="J1383" s="5">
        <f>96+97-4-4-1-1-6+52-4-4</f>
        <v>221</v>
      </c>
      <c r="K1383" s="5" t="s">
        <v>292</v>
      </c>
      <c r="L1383" s="5" t="s">
        <v>3723</v>
      </c>
      <c r="M1383" s="5">
        <v>18</v>
      </c>
      <c r="N1383" s="5" t="s">
        <v>3724</v>
      </c>
      <c r="Q1383" s="107" t="s">
        <v>3944</v>
      </c>
      <c r="R1383" s="6"/>
      <c r="S1383" s="6" t="s">
        <v>328</v>
      </c>
    </row>
    <row r="1384" spans="1:21" x14ac:dyDescent="0.2">
      <c r="A1384" s="5"/>
      <c r="B1384" s="8" t="s">
        <v>3945</v>
      </c>
      <c r="H1384" s="8" t="s">
        <v>3946</v>
      </c>
      <c r="I1384" s="8" t="s">
        <v>3946</v>
      </c>
      <c r="J1384" s="5">
        <f>450-2-3-8-8-8+10-1</f>
        <v>430</v>
      </c>
      <c r="K1384" s="5" t="s">
        <v>292</v>
      </c>
      <c r="L1384" s="5" t="s">
        <v>3723</v>
      </c>
      <c r="M1384" s="5">
        <v>18</v>
      </c>
      <c r="Q1384" s="107"/>
      <c r="R1384" s="6"/>
      <c r="S1384" s="6"/>
    </row>
    <row r="1385" spans="1:21" x14ac:dyDescent="0.2">
      <c r="A1385" s="5"/>
      <c r="B1385" s="8" t="s">
        <v>3947</v>
      </c>
      <c r="H1385" s="8" t="s">
        <v>3948</v>
      </c>
      <c r="I1385" s="8" t="s">
        <v>3948</v>
      </c>
      <c r="J1385" s="5">
        <f>95</f>
        <v>95</v>
      </c>
      <c r="K1385" s="5" t="s">
        <v>292</v>
      </c>
      <c r="L1385" s="5" t="s">
        <v>3723</v>
      </c>
      <c r="M1385" s="5">
        <v>18</v>
      </c>
      <c r="Q1385" s="107" t="s">
        <v>3949</v>
      </c>
      <c r="R1385" s="6"/>
      <c r="S1385" s="6"/>
    </row>
    <row r="1386" spans="1:21" x14ac:dyDescent="0.2">
      <c r="A1386" s="5"/>
      <c r="B1386" s="8" t="s">
        <v>3950</v>
      </c>
      <c r="I1386" s="8" t="s">
        <v>3951</v>
      </c>
      <c r="J1386" s="5">
        <f>1000</f>
        <v>1000</v>
      </c>
      <c r="K1386" s="5" t="s">
        <v>292</v>
      </c>
      <c r="L1386" s="5" t="s">
        <v>3723</v>
      </c>
      <c r="M1386" s="5">
        <v>18</v>
      </c>
      <c r="Q1386" s="207" t="s">
        <v>3459</v>
      </c>
      <c r="R1386" s="6"/>
      <c r="S1386" s="6"/>
    </row>
    <row r="1387" spans="1:21" x14ac:dyDescent="0.2">
      <c r="A1387" s="5">
        <v>1827</v>
      </c>
      <c r="B1387" s="8" t="s">
        <v>3952</v>
      </c>
      <c r="H1387" s="8" t="s">
        <v>3953</v>
      </c>
      <c r="I1387" s="8" t="s">
        <v>3953</v>
      </c>
      <c r="J1387" s="5">
        <v>240</v>
      </c>
      <c r="K1387" s="5" t="s">
        <v>292</v>
      </c>
      <c r="L1387" s="5" t="s">
        <v>3723</v>
      </c>
      <c r="M1387" s="5">
        <v>19</v>
      </c>
      <c r="N1387" s="5" t="s">
        <v>3954</v>
      </c>
      <c r="O1387" s="5" t="s">
        <v>574</v>
      </c>
      <c r="Q1387" s="10" t="s">
        <v>553</v>
      </c>
      <c r="R1387" s="6"/>
      <c r="S1387" s="6" t="s">
        <v>328</v>
      </c>
    </row>
    <row r="1388" spans="1:21" x14ac:dyDescent="0.2">
      <c r="A1388" s="5">
        <v>1830</v>
      </c>
      <c r="B1388" s="8" t="s">
        <v>3955</v>
      </c>
      <c r="H1388" s="8" t="s">
        <v>3956</v>
      </c>
      <c r="I1388" s="8" t="s">
        <v>3956</v>
      </c>
      <c r="J1388" s="5">
        <f>6150-120-530-1990</f>
        <v>3510</v>
      </c>
      <c r="K1388" s="5" t="s">
        <v>292</v>
      </c>
      <c r="L1388" s="5" t="s">
        <v>3723</v>
      </c>
      <c r="M1388" s="5">
        <v>19</v>
      </c>
      <c r="N1388" s="5" t="s">
        <v>3724</v>
      </c>
      <c r="O1388" s="5" t="s">
        <v>574</v>
      </c>
      <c r="Q1388" s="10" t="s">
        <v>553</v>
      </c>
      <c r="R1388" s="6"/>
      <c r="S1388" s="6" t="s">
        <v>328</v>
      </c>
    </row>
    <row r="1389" spans="1:21" x14ac:dyDescent="0.2">
      <c r="A1389" s="5">
        <v>1831</v>
      </c>
      <c r="B1389" s="8" t="s">
        <v>3957</v>
      </c>
      <c r="H1389" s="8" t="s">
        <v>3956</v>
      </c>
      <c r="I1389" s="8" t="s">
        <v>3956</v>
      </c>
      <c r="J1389" s="5">
        <v>66</v>
      </c>
      <c r="K1389" s="5" t="s">
        <v>292</v>
      </c>
      <c r="L1389" s="5" t="s">
        <v>3723</v>
      </c>
      <c r="M1389" s="5">
        <v>19</v>
      </c>
      <c r="N1389" s="5" t="s">
        <v>3724</v>
      </c>
      <c r="O1389" s="5" t="s">
        <v>574</v>
      </c>
      <c r="Q1389" s="10" t="s">
        <v>553</v>
      </c>
      <c r="R1389" s="6"/>
      <c r="S1389" s="6" t="s">
        <v>328</v>
      </c>
    </row>
    <row r="1390" spans="1:21" x14ac:dyDescent="0.2">
      <c r="A1390" s="5">
        <v>1832</v>
      </c>
      <c r="B1390" s="8" t="s">
        <v>3958</v>
      </c>
      <c r="H1390" s="8" t="s">
        <v>3959</v>
      </c>
      <c r="I1390" s="8" t="s">
        <v>3959</v>
      </c>
      <c r="J1390" s="5">
        <v>262</v>
      </c>
      <c r="K1390" s="5" t="s">
        <v>292</v>
      </c>
      <c r="L1390" s="5" t="s">
        <v>3723</v>
      </c>
      <c r="M1390" s="5">
        <v>19</v>
      </c>
      <c r="N1390" s="5" t="s">
        <v>3724</v>
      </c>
      <c r="O1390" s="5" t="s">
        <v>574</v>
      </c>
      <c r="Q1390" s="10" t="s">
        <v>553</v>
      </c>
      <c r="R1390" s="6"/>
      <c r="S1390" s="6" t="s">
        <v>328</v>
      </c>
    </row>
    <row r="1391" spans="1:21" x14ac:dyDescent="0.2">
      <c r="A1391" s="5">
        <v>1833</v>
      </c>
      <c r="B1391" s="8" t="s">
        <v>3960</v>
      </c>
      <c r="H1391" s="8" t="s">
        <v>3959</v>
      </c>
      <c r="I1391" s="8" t="s">
        <v>3959</v>
      </c>
      <c r="J1391" s="5">
        <v>156</v>
      </c>
      <c r="K1391" s="5" t="s">
        <v>292</v>
      </c>
      <c r="L1391" s="5" t="s">
        <v>3723</v>
      </c>
      <c r="M1391" s="5">
        <v>19</v>
      </c>
      <c r="N1391" s="5" t="s">
        <v>3724</v>
      </c>
      <c r="O1391" s="5" t="s">
        <v>574</v>
      </c>
      <c r="Q1391" s="10" t="s">
        <v>553</v>
      </c>
    </row>
    <row r="1392" spans="1:21" x14ac:dyDescent="0.2">
      <c r="A1392" s="5"/>
      <c r="B1392" s="8" t="s">
        <v>3961</v>
      </c>
      <c r="I1392" s="8" t="s">
        <v>3962</v>
      </c>
      <c r="J1392" s="5">
        <f>4205</f>
        <v>4205</v>
      </c>
      <c r="K1392" s="5" t="s">
        <v>292</v>
      </c>
      <c r="L1392" s="5" t="s">
        <v>3723</v>
      </c>
      <c r="M1392" s="5">
        <v>19</v>
      </c>
      <c r="Q1392" s="10"/>
    </row>
    <row r="1393" spans="1:19" x14ac:dyDescent="0.2">
      <c r="A1393" s="5">
        <v>293</v>
      </c>
      <c r="B1393" s="8" t="s">
        <v>3963</v>
      </c>
      <c r="H1393" s="8" t="s">
        <v>3964</v>
      </c>
      <c r="I1393" s="8" t="s">
        <v>3964</v>
      </c>
      <c r="J1393" s="5">
        <v>45</v>
      </c>
      <c r="K1393" s="5" t="s">
        <v>292</v>
      </c>
      <c r="L1393" s="5" t="s">
        <v>3723</v>
      </c>
      <c r="M1393" s="5">
        <v>20</v>
      </c>
      <c r="N1393" s="5" t="s">
        <v>511</v>
      </c>
      <c r="O1393" s="5" t="s">
        <v>520</v>
      </c>
      <c r="Q1393" s="5" t="s">
        <v>3965</v>
      </c>
    </row>
    <row r="1394" spans="1:19" x14ac:dyDescent="0.2">
      <c r="A1394" s="5">
        <v>1252</v>
      </c>
      <c r="B1394" s="8" t="s">
        <v>3966</v>
      </c>
      <c r="H1394" s="8" t="s">
        <v>3967</v>
      </c>
      <c r="I1394" s="8" t="s">
        <v>3967</v>
      </c>
      <c r="J1394" s="5">
        <f>245-10-20-5-16-1-10+1-50-8-8-20-20-10</f>
        <v>68</v>
      </c>
      <c r="K1394" s="5" t="s">
        <v>292</v>
      </c>
      <c r="L1394" s="5" t="s">
        <v>3723</v>
      </c>
      <c r="M1394" s="5">
        <v>20</v>
      </c>
      <c r="N1394" s="5" t="s">
        <v>34</v>
      </c>
      <c r="O1394" s="5" t="s">
        <v>3510</v>
      </c>
      <c r="Q1394" s="5" t="s">
        <v>3968</v>
      </c>
    </row>
    <row r="1395" spans="1:19" x14ac:dyDescent="0.2">
      <c r="A1395" s="5">
        <v>1351</v>
      </c>
      <c r="B1395" s="8" t="s">
        <v>3969</v>
      </c>
      <c r="H1395" s="8" t="s">
        <v>3970</v>
      </c>
      <c r="I1395" s="8" t="s">
        <v>3970</v>
      </c>
      <c r="J1395" s="5">
        <f>23-21-1-1</f>
        <v>0</v>
      </c>
      <c r="K1395" s="5" t="s">
        <v>292</v>
      </c>
      <c r="L1395" s="5" t="s">
        <v>3723</v>
      </c>
      <c r="M1395" s="5">
        <v>20</v>
      </c>
      <c r="N1395" s="5" t="s">
        <v>3971</v>
      </c>
      <c r="O1395" s="5" t="s">
        <v>520</v>
      </c>
      <c r="Q1395" s="5" t="s">
        <v>3972</v>
      </c>
    </row>
    <row r="1396" spans="1:19" x14ac:dyDescent="0.2">
      <c r="A1396" s="5">
        <v>1352</v>
      </c>
      <c r="B1396" s="8" t="s">
        <v>3973</v>
      </c>
      <c r="D1396" s="8" t="s">
        <v>3974</v>
      </c>
      <c r="E1396" s="24">
        <v>43687</v>
      </c>
      <c r="F1396" s="8" t="s">
        <v>259</v>
      </c>
      <c r="G1396" s="8" t="s">
        <v>260</v>
      </c>
      <c r="H1396" s="8" t="s">
        <v>3975</v>
      </c>
      <c r="I1396" s="8" t="s">
        <v>3976</v>
      </c>
      <c r="J1396" s="5">
        <f>128</f>
        <v>128</v>
      </c>
      <c r="K1396" s="5" t="s">
        <v>292</v>
      </c>
      <c r="L1396" s="5" t="s">
        <v>3723</v>
      </c>
      <c r="M1396" s="5">
        <v>20</v>
      </c>
      <c r="N1396" s="5" t="s">
        <v>265</v>
      </c>
      <c r="O1396" s="5" t="s">
        <v>520</v>
      </c>
      <c r="Q1396" s="107" t="s">
        <v>3895</v>
      </c>
    </row>
    <row r="1397" spans="1:19" x14ac:dyDescent="0.2">
      <c r="A1397" s="5">
        <v>1354</v>
      </c>
      <c r="B1397" s="8" t="s">
        <v>3977</v>
      </c>
      <c r="H1397" s="8" t="s">
        <v>3978</v>
      </c>
      <c r="I1397" s="8" t="s">
        <v>3978</v>
      </c>
      <c r="J1397" s="5">
        <f>129-48-66-15+2-2+200-74-84-3-2-22-15</f>
        <v>0</v>
      </c>
      <c r="K1397" s="5" t="s">
        <v>292</v>
      </c>
      <c r="L1397" s="5" t="s">
        <v>3723</v>
      </c>
      <c r="M1397" s="5">
        <v>20</v>
      </c>
      <c r="N1397" s="5" t="s">
        <v>511</v>
      </c>
      <c r="O1397" s="5" t="s">
        <v>520</v>
      </c>
      <c r="Q1397" s="107" t="s">
        <v>3895</v>
      </c>
    </row>
    <row r="1398" spans="1:19" x14ac:dyDescent="0.2">
      <c r="A1398" s="5"/>
      <c r="B1398" s="8" t="s">
        <v>3979</v>
      </c>
      <c r="H1398" s="8" t="s">
        <v>3980</v>
      </c>
      <c r="I1398" s="8" t="s">
        <v>3980</v>
      </c>
      <c r="J1398" s="5">
        <f>134-3-2-20+15-100</f>
        <v>24</v>
      </c>
      <c r="K1398" s="5" t="s">
        <v>21</v>
      </c>
      <c r="L1398" s="5" t="s">
        <v>3723</v>
      </c>
      <c r="M1398" s="5">
        <v>20</v>
      </c>
      <c r="Q1398" s="107" t="s">
        <v>3981</v>
      </c>
    </row>
    <row r="1399" spans="1:19" x14ac:dyDescent="0.2">
      <c r="A1399" s="5">
        <v>1353</v>
      </c>
      <c r="B1399" s="8" t="s">
        <v>3982</v>
      </c>
      <c r="D1399" s="8" t="s">
        <v>3974</v>
      </c>
      <c r="E1399" s="24">
        <v>43687</v>
      </c>
      <c r="F1399" s="8" t="s">
        <v>259</v>
      </c>
      <c r="G1399" s="8" t="s">
        <v>260</v>
      </c>
      <c r="H1399" s="8" t="s">
        <v>3983</v>
      </c>
      <c r="I1399" s="8" t="s">
        <v>3984</v>
      </c>
      <c r="J1399" s="5">
        <f>170-24-1-10-6-2-20-42+18-6-30-6-2+2-30+200</f>
        <v>211</v>
      </c>
      <c r="K1399" s="5" t="s">
        <v>292</v>
      </c>
      <c r="L1399" s="5" t="s">
        <v>3723</v>
      </c>
      <c r="M1399" s="5">
        <v>20</v>
      </c>
      <c r="N1399" s="5" t="s">
        <v>265</v>
      </c>
      <c r="O1399" s="5" t="s">
        <v>520</v>
      </c>
      <c r="Q1399" s="107" t="s">
        <v>3895</v>
      </c>
    </row>
    <row r="1400" spans="1:19" x14ac:dyDescent="0.2">
      <c r="A1400" s="5">
        <v>1355</v>
      </c>
      <c r="B1400" s="8" t="s">
        <v>3985</v>
      </c>
      <c r="H1400" s="8" t="s">
        <v>3986</v>
      </c>
      <c r="I1400" s="8" t="s">
        <v>3986</v>
      </c>
      <c r="J1400" s="5">
        <f>0</f>
        <v>0</v>
      </c>
      <c r="K1400" s="5" t="s">
        <v>292</v>
      </c>
      <c r="L1400" s="5" t="s">
        <v>3723</v>
      </c>
      <c r="M1400" s="5">
        <v>20</v>
      </c>
      <c r="N1400" s="5" t="s">
        <v>3971</v>
      </c>
      <c r="O1400" s="5" t="s">
        <v>520</v>
      </c>
      <c r="Q1400" s="5" t="s">
        <v>3987</v>
      </c>
    </row>
    <row r="1401" spans="1:19" x14ac:dyDescent="0.2">
      <c r="A1401" s="5"/>
      <c r="B1401" s="8">
        <v>3001394</v>
      </c>
      <c r="H1401" s="8" t="s">
        <v>3988</v>
      </c>
      <c r="I1401" s="8" t="s">
        <v>3988</v>
      </c>
      <c r="J1401" s="5">
        <f>23</f>
        <v>23</v>
      </c>
      <c r="K1401" s="5" t="s">
        <v>21</v>
      </c>
      <c r="L1401" s="5" t="s">
        <v>3723</v>
      </c>
      <c r="M1401" s="5">
        <v>20</v>
      </c>
      <c r="N1401" s="5" t="s">
        <v>3989</v>
      </c>
      <c r="O1401" s="5" t="s">
        <v>520</v>
      </c>
      <c r="Q1401" s="5" t="s">
        <v>3990</v>
      </c>
    </row>
    <row r="1402" spans="1:19" x14ac:dyDescent="0.2">
      <c r="A1402" s="5"/>
      <c r="B1402" s="8">
        <v>3006027</v>
      </c>
      <c r="H1402" s="8" t="s">
        <v>3988</v>
      </c>
      <c r="I1402" s="8" t="s">
        <v>3988</v>
      </c>
      <c r="J1402" s="5">
        <f>29</f>
        <v>29</v>
      </c>
      <c r="K1402" s="5" t="s">
        <v>21</v>
      </c>
      <c r="L1402" s="5" t="s">
        <v>3723</v>
      </c>
      <c r="M1402" s="5">
        <v>20</v>
      </c>
      <c r="N1402" s="5" t="s">
        <v>3989</v>
      </c>
      <c r="Q1402" s="5" t="s">
        <v>3990</v>
      </c>
    </row>
    <row r="1403" spans="1:19" x14ac:dyDescent="0.2">
      <c r="B1403" s="8" t="s">
        <v>3991</v>
      </c>
      <c r="H1403" s="8" t="s">
        <v>3992</v>
      </c>
      <c r="I1403" s="8" t="s">
        <v>3992</v>
      </c>
      <c r="J1403" s="5">
        <f>11</f>
        <v>11</v>
      </c>
      <c r="K1403" s="5" t="s">
        <v>292</v>
      </c>
      <c r="L1403" s="5" t="s">
        <v>3723</v>
      </c>
      <c r="M1403" s="5">
        <v>20</v>
      </c>
      <c r="N1403" s="5" t="s">
        <v>849</v>
      </c>
    </row>
    <row r="1404" spans="1:19" x14ac:dyDescent="0.2">
      <c r="A1404" s="5"/>
      <c r="B1404" s="34" t="s">
        <v>3993</v>
      </c>
      <c r="H1404" s="8" t="s">
        <v>3994</v>
      </c>
      <c r="I1404" s="8" t="s">
        <v>3995</v>
      </c>
      <c r="J1404" s="5">
        <f>0</f>
        <v>0</v>
      </c>
      <c r="K1404" s="5" t="s">
        <v>292</v>
      </c>
      <c r="L1404" s="5" t="s">
        <v>3723</v>
      </c>
      <c r="M1404" s="5">
        <v>20</v>
      </c>
      <c r="N1404" s="5" t="s">
        <v>849</v>
      </c>
      <c r="Q1404" s="5" t="s">
        <v>3996</v>
      </c>
    </row>
    <row r="1405" spans="1:19" x14ac:dyDescent="0.2">
      <c r="A1405" s="5"/>
      <c r="B1405" s="34" t="s">
        <v>3997</v>
      </c>
      <c r="H1405" s="8" t="s">
        <v>3998</v>
      </c>
      <c r="I1405" s="8" t="s">
        <v>3998</v>
      </c>
      <c r="J1405" s="5">
        <f>21</f>
        <v>21</v>
      </c>
      <c r="K1405" s="5" t="s">
        <v>292</v>
      </c>
      <c r="L1405" s="5" t="s">
        <v>3723</v>
      </c>
      <c r="M1405" s="5">
        <v>20</v>
      </c>
      <c r="N1405" s="5" t="s">
        <v>849</v>
      </c>
      <c r="Q1405" s="107" t="s">
        <v>3965</v>
      </c>
    </row>
    <row r="1406" spans="1:19" x14ac:dyDescent="0.2">
      <c r="A1406" s="5"/>
      <c r="B1406" s="34" t="s">
        <v>3999</v>
      </c>
      <c r="H1406" s="8" t="s">
        <v>4000</v>
      </c>
      <c r="I1406" s="8" t="s">
        <v>4000</v>
      </c>
      <c r="J1406" s="5">
        <f>1</f>
        <v>1</v>
      </c>
      <c r="K1406" s="5" t="s">
        <v>292</v>
      </c>
      <c r="L1406" s="5" t="s">
        <v>3723</v>
      </c>
      <c r="M1406" s="5">
        <v>20</v>
      </c>
      <c r="N1406" s="5" t="s">
        <v>849</v>
      </c>
      <c r="Q1406" s="107"/>
    </row>
    <row r="1407" spans="1:19" x14ac:dyDescent="0.2">
      <c r="A1407" s="5"/>
      <c r="B1407" s="34" t="s">
        <v>4001</v>
      </c>
      <c r="H1407" s="8" t="s">
        <v>4002</v>
      </c>
      <c r="I1407" s="8" t="s">
        <v>4002</v>
      </c>
      <c r="J1407" s="5">
        <f>20-1</f>
        <v>19</v>
      </c>
      <c r="K1407" s="5" t="s">
        <v>21</v>
      </c>
      <c r="L1407" s="5" t="s">
        <v>3723</v>
      </c>
      <c r="M1407" s="5">
        <v>20</v>
      </c>
      <c r="Q1407" s="107"/>
      <c r="R1407" s="6"/>
      <c r="S1407" s="6" t="s">
        <v>328</v>
      </c>
    </row>
    <row r="1408" spans="1:19" x14ac:dyDescent="0.2">
      <c r="A1408" s="5">
        <v>1741</v>
      </c>
      <c r="B1408" s="8" t="s">
        <v>4003</v>
      </c>
      <c r="H1408" s="8" t="s">
        <v>4003</v>
      </c>
      <c r="I1408" s="8" t="s">
        <v>4003</v>
      </c>
      <c r="J1408" s="5">
        <v>2</v>
      </c>
      <c r="K1408" s="5" t="s">
        <v>292</v>
      </c>
      <c r="L1408" s="5" t="s">
        <v>3723</v>
      </c>
      <c r="M1408" s="5">
        <v>21</v>
      </c>
      <c r="N1408" s="5" t="s">
        <v>3845</v>
      </c>
      <c r="O1408" s="5" t="s">
        <v>574</v>
      </c>
      <c r="Q1408" s="10" t="s">
        <v>4004</v>
      </c>
      <c r="R1408" s="6"/>
      <c r="S1408" s="6"/>
    </row>
    <row r="1409" spans="1:19" x14ac:dyDescent="0.2">
      <c r="A1409" s="5">
        <v>1742</v>
      </c>
      <c r="B1409" s="8" t="s">
        <v>4005</v>
      </c>
      <c r="H1409" s="8" t="s">
        <v>4006</v>
      </c>
      <c r="I1409" s="8" t="s">
        <v>4006</v>
      </c>
      <c r="J1409" s="5">
        <v>3</v>
      </c>
      <c r="K1409" s="5" t="s">
        <v>292</v>
      </c>
      <c r="L1409" s="5" t="s">
        <v>3723</v>
      </c>
      <c r="M1409" s="5">
        <v>21</v>
      </c>
      <c r="N1409" s="5" t="s">
        <v>4007</v>
      </c>
      <c r="O1409" s="5" t="s">
        <v>574</v>
      </c>
      <c r="Q1409" s="10" t="s">
        <v>553</v>
      </c>
      <c r="R1409" s="6"/>
      <c r="S1409" s="6"/>
    </row>
    <row r="1410" spans="1:19" x14ac:dyDescent="0.2">
      <c r="A1410" s="5">
        <v>1743</v>
      </c>
      <c r="B1410" s="8" t="s">
        <v>4008</v>
      </c>
      <c r="H1410" s="8" t="s">
        <v>4009</v>
      </c>
      <c r="I1410" s="8" t="s">
        <v>4009</v>
      </c>
      <c r="J1410" s="5">
        <v>1</v>
      </c>
      <c r="K1410" s="5" t="s">
        <v>292</v>
      </c>
      <c r="L1410" s="5" t="s">
        <v>3723</v>
      </c>
      <c r="M1410" s="5">
        <v>21</v>
      </c>
      <c r="N1410" s="5" t="s">
        <v>3724</v>
      </c>
      <c r="O1410" s="5" t="s">
        <v>574</v>
      </c>
      <c r="Q1410" s="5" t="s">
        <v>4010</v>
      </c>
      <c r="R1410" s="6"/>
      <c r="S1410" s="6" t="s">
        <v>328</v>
      </c>
    </row>
    <row r="1411" spans="1:19" x14ac:dyDescent="0.2">
      <c r="A1411" s="5">
        <v>1744</v>
      </c>
      <c r="B1411" s="8" t="s">
        <v>4011</v>
      </c>
      <c r="H1411" s="8" t="s">
        <v>4006</v>
      </c>
      <c r="I1411" s="8" t="s">
        <v>4006</v>
      </c>
      <c r="J1411" s="5">
        <v>4</v>
      </c>
      <c r="K1411" s="5" t="s">
        <v>292</v>
      </c>
      <c r="L1411" s="5" t="s">
        <v>3723</v>
      </c>
      <c r="M1411" s="5">
        <v>21</v>
      </c>
      <c r="N1411" s="5" t="s">
        <v>3845</v>
      </c>
      <c r="O1411" s="5" t="s">
        <v>574</v>
      </c>
      <c r="Q1411" s="10" t="s">
        <v>553</v>
      </c>
      <c r="R1411" s="6"/>
      <c r="S1411" s="6"/>
    </row>
    <row r="1412" spans="1:19" x14ac:dyDescent="0.2">
      <c r="A1412" s="5">
        <v>1753</v>
      </c>
      <c r="B1412" s="8" t="s">
        <v>4012</v>
      </c>
      <c r="H1412" s="8" t="s">
        <v>4006</v>
      </c>
      <c r="I1412" s="8" t="s">
        <v>4006</v>
      </c>
      <c r="J1412" s="5">
        <v>9</v>
      </c>
      <c r="K1412" s="5" t="s">
        <v>292</v>
      </c>
      <c r="L1412" s="5" t="s">
        <v>3723</v>
      </c>
      <c r="M1412" s="5">
        <v>21</v>
      </c>
      <c r="N1412" s="5" t="s">
        <v>3724</v>
      </c>
      <c r="O1412" s="5" t="s">
        <v>574</v>
      </c>
      <c r="Q1412" s="5" t="s">
        <v>4010</v>
      </c>
      <c r="R1412" s="6"/>
      <c r="S1412" s="6" t="s">
        <v>328</v>
      </c>
    </row>
    <row r="1413" spans="1:19" x14ac:dyDescent="0.2">
      <c r="A1413" s="5">
        <v>1766</v>
      </c>
      <c r="B1413" s="8" t="s">
        <v>4013</v>
      </c>
      <c r="H1413" s="8" t="s">
        <v>4014</v>
      </c>
      <c r="I1413" s="8" t="s">
        <v>4014</v>
      </c>
      <c r="J1413" s="5">
        <v>6</v>
      </c>
      <c r="K1413" s="5" t="s">
        <v>292</v>
      </c>
      <c r="L1413" s="5" t="s">
        <v>3723</v>
      </c>
      <c r="M1413" s="5">
        <v>22</v>
      </c>
      <c r="N1413" s="5" t="s">
        <v>4015</v>
      </c>
      <c r="O1413" s="5" t="s">
        <v>574</v>
      </c>
      <c r="Q1413" s="10" t="s">
        <v>553</v>
      </c>
      <c r="R1413" s="6"/>
      <c r="S1413" s="6"/>
    </row>
    <row r="1414" spans="1:19" x14ac:dyDescent="0.2">
      <c r="A1414" s="5">
        <v>1767</v>
      </c>
      <c r="B1414" s="8" t="s">
        <v>4016</v>
      </c>
      <c r="H1414" s="8" t="s">
        <v>4017</v>
      </c>
      <c r="I1414" s="8" t="s">
        <v>4017</v>
      </c>
      <c r="J1414" s="5">
        <f>13-1-1</f>
        <v>11</v>
      </c>
      <c r="K1414" s="5" t="s">
        <v>292</v>
      </c>
      <c r="L1414" s="5" t="s">
        <v>3723</v>
      </c>
      <c r="M1414" s="5">
        <v>22</v>
      </c>
      <c r="N1414" s="5" t="s">
        <v>4018</v>
      </c>
      <c r="O1414" s="5" t="s">
        <v>574</v>
      </c>
      <c r="Q1414" s="5" t="s">
        <v>3285</v>
      </c>
      <c r="R1414" s="6"/>
      <c r="S1414" s="6" t="s">
        <v>328</v>
      </c>
    </row>
    <row r="1415" spans="1:19" x14ac:dyDescent="0.2">
      <c r="A1415" s="5">
        <v>1768</v>
      </c>
      <c r="B1415" s="8" t="s">
        <v>4019</v>
      </c>
      <c r="H1415" s="8" t="s">
        <v>4014</v>
      </c>
      <c r="I1415" s="8" t="s">
        <v>4014</v>
      </c>
      <c r="J1415" s="5">
        <v>6</v>
      </c>
      <c r="K1415" s="5" t="s">
        <v>292</v>
      </c>
      <c r="L1415" s="5" t="s">
        <v>3723</v>
      </c>
      <c r="M1415" s="5">
        <v>22</v>
      </c>
      <c r="N1415" s="5" t="s">
        <v>4020</v>
      </c>
      <c r="O1415" s="5" t="s">
        <v>574</v>
      </c>
      <c r="Q1415" s="10" t="s">
        <v>553</v>
      </c>
      <c r="R1415" s="6"/>
      <c r="S1415" s="6" t="s">
        <v>328</v>
      </c>
    </row>
    <row r="1416" spans="1:19" x14ac:dyDescent="0.2">
      <c r="A1416" s="5">
        <v>1769</v>
      </c>
      <c r="B1416" s="8" t="s">
        <v>4021</v>
      </c>
      <c r="H1416" s="8" t="s">
        <v>4022</v>
      </c>
      <c r="I1416" s="8" t="s">
        <v>4023</v>
      </c>
      <c r="J1416" s="5">
        <v>3</v>
      </c>
      <c r="K1416" s="5" t="s">
        <v>292</v>
      </c>
      <c r="L1416" s="5" t="s">
        <v>3723</v>
      </c>
      <c r="M1416" s="5">
        <v>22</v>
      </c>
      <c r="N1416" s="5" t="s">
        <v>4024</v>
      </c>
      <c r="O1416" s="5" t="s">
        <v>574</v>
      </c>
      <c r="Q1416" s="10" t="s">
        <v>553</v>
      </c>
      <c r="R1416" s="6"/>
      <c r="S1416" s="6" t="s">
        <v>328</v>
      </c>
    </row>
    <row r="1417" spans="1:19" x14ac:dyDescent="0.2">
      <c r="A1417" s="5">
        <v>1770</v>
      </c>
      <c r="B1417" s="8" t="s">
        <v>4025</v>
      </c>
      <c r="H1417" s="8" t="s">
        <v>4026</v>
      </c>
      <c r="I1417" s="8" t="s">
        <v>4026</v>
      </c>
      <c r="J1417" s="5">
        <v>3</v>
      </c>
      <c r="K1417" s="5" t="s">
        <v>4027</v>
      </c>
      <c r="L1417" s="5" t="s">
        <v>3723</v>
      </c>
      <c r="M1417" s="5">
        <v>22</v>
      </c>
      <c r="N1417" s="5" t="s">
        <v>4024</v>
      </c>
      <c r="O1417" s="5" t="s">
        <v>574</v>
      </c>
      <c r="Q1417" s="10" t="s">
        <v>553</v>
      </c>
      <c r="R1417" s="6"/>
      <c r="S1417" s="6" t="s">
        <v>328</v>
      </c>
    </row>
    <row r="1418" spans="1:19" x14ac:dyDescent="0.2">
      <c r="A1418" s="5">
        <v>1771</v>
      </c>
      <c r="B1418" s="8" t="s">
        <v>4028</v>
      </c>
      <c r="H1418" s="8" t="s">
        <v>4022</v>
      </c>
      <c r="I1418" s="8" t="s">
        <v>4022</v>
      </c>
      <c r="J1418" s="5">
        <v>4</v>
      </c>
      <c r="K1418" s="5" t="s">
        <v>292</v>
      </c>
      <c r="L1418" s="5" t="s">
        <v>3723</v>
      </c>
      <c r="M1418" s="5">
        <v>22</v>
      </c>
      <c r="N1418" s="5" t="s">
        <v>4024</v>
      </c>
      <c r="O1418" s="5" t="s">
        <v>574</v>
      </c>
      <c r="Q1418" s="10" t="s">
        <v>553</v>
      </c>
      <c r="R1418" s="6"/>
      <c r="S1418" s="6" t="s">
        <v>328</v>
      </c>
    </row>
    <row r="1419" spans="1:19" x14ac:dyDescent="0.2">
      <c r="A1419" s="5">
        <v>1772</v>
      </c>
      <c r="B1419" s="8" t="s">
        <v>4029</v>
      </c>
      <c r="H1419" s="8" t="s">
        <v>4026</v>
      </c>
      <c r="I1419" s="8" t="s">
        <v>4026</v>
      </c>
      <c r="J1419" s="5">
        <v>3</v>
      </c>
      <c r="K1419" s="5" t="s">
        <v>292</v>
      </c>
      <c r="L1419" s="5" t="s">
        <v>3723</v>
      </c>
      <c r="M1419" s="5">
        <v>22</v>
      </c>
      <c r="N1419" s="5" t="s">
        <v>4024</v>
      </c>
      <c r="O1419" s="5" t="s">
        <v>574</v>
      </c>
      <c r="Q1419" s="10" t="s">
        <v>553</v>
      </c>
      <c r="R1419" s="6"/>
      <c r="S1419" s="6" t="s">
        <v>328</v>
      </c>
    </row>
    <row r="1420" spans="1:19" x14ac:dyDescent="0.2">
      <c r="A1420" s="5">
        <v>1773</v>
      </c>
      <c r="B1420" s="8" t="s">
        <v>4030</v>
      </c>
      <c r="H1420" s="8" t="s">
        <v>4026</v>
      </c>
      <c r="I1420" s="8" t="s">
        <v>4026</v>
      </c>
      <c r="J1420" s="5">
        <v>15</v>
      </c>
      <c r="K1420" s="5" t="s">
        <v>292</v>
      </c>
      <c r="L1420" s="5" t="s">
        <v>3723</v>
      </c>
      <c r="M1420" s="5">
        <v>22</v>
      </c>
      <c r="N1420" s="5" t="s">
        <v>4024</v>
      </c>
      <c r="O1420" s="5" t="s">
        <v>574</v>
      </c>
      <c r="Q1420" s="10" t="s">
        <v>553</v>
      </c>
      <c r="R1420" s="6"/>
      <c r="S1420" s="6" t="s">
        <v>328</v>
      </c>
    </row>
    <row r="1421" spans="1:19" x14ac:dyDescent="0.2">
      <c r="A1421" s="5">
        <v>1774</v>
      </c>
      <c r="B1421" s="8" t="s">
        <v>4031</v>
      </c>
      <c r="H1421" s="8" t="s">
        <v>4026</v>
      </c>
      <c r="I1421" s="8" t="s">
        <v>4026</v>
      </c>
      <c r="J1421" s="5">
        <v>9</v>
      </c>
      <c r="K1421" s="5" t="s">
        <v>292</v>
      </c>
      <c r="L1421" s="5" t="s">
        <v>3723</v>
      </c>
      <c r="M1421" s="5">
        <v>22</v>
      </c>
      <c r="N1421" s="5" t="s">
        <v>4024</v>
      </c>
      <c r="O1421" s="5" t="s">
        <v>574</v>
      </c>
      <c r="Q1421" s="10" t="s">
        <v>553</v>
      </c>
      <c r="R1421" s="6"/>
      <c r="S1421" s="6" t="s">
        <v>328</v>
      </c>
    </row>
    <row r="1422" spans="1:19" x14ac:dyDescent="0.2">
      <c r="A1422" s="5">
        <v>1775</v>
      </c>
      <c r="B1422" s="8" t="s">
        <v>4032</v>
      </c>
      <c r="H1422" s="8" t="s">
        <v>4033</v>
      </c>
      <c r="I1422" s="8" t="s">
        <v>4033</v>
      </c>
      <c r="J1422" s="5">
        <v>14</v>
      </c>
      <c r="K1422" s="5" t="s">
        <v>292</v>
      </c>
      <c r="L1422" s="5" t="s">
        <v>3723</v>
      </c>
      <c r="M1422" s="5">
        <v>22</v>
      </c>
      <c r="N1422" s="5" t="s">
        <v>4024</v>
      </c>
      <c r="O1422" s="5" t="s">
        <v>574</v>
      </c>
      <c r="Q1422" s="10" t="s">
        <v>553</v>
      </c>
      <c r="R1422" s="6"/>
      <c r="S1422" s="6" t="s">
        <v>328</v>
      </c>
    </row>
    <row r="1423" spans="1:19" x14ac:dyDescent="0.2">
      <c r="A1423" s="5">
        <v>1776</v>
      </c>
      <c r="B1423" s="8" t="s">
        <v>4016</v>
      </c>
      <c r="H1423" s="8" t="s">
        <v>4017</v>
      </c>
      <c r="I1423" s="8" t="s">
        <v>4017</v>
      </c>
      <c r="J1423" s="5">
        <v>0</v>
      </c>
      <c r="K1423" s="5" t="s">
        <v>292</v>
      </c>
      <c r="L1423" s="5" t="s">
        <v>3723</v>
      </c>
      <c r="M1423" s="5">
        <v>22</v>
      </c>
      <c r="N1423" s="5" t="s">
        <v>4018</v>
      </c>
      <c r="O1423" s="5" t="s">
        <v>574</v>
      </c>
      <c r="Q1423" s="10" t="s">
        <v>4034</v>
      </c>
      <c r="R1423" s="6"/>
      <c r="S1423" s="6"/>
    </row>
    <row r="1424" spans="1:19" x14ac:dyDescent="0.2">
      <c r="A1424" s="5"/>
      <c r="B1424" s="8" t="s">
        <v>4035</v>
      </c>
      <c r="H1424" s="8" t="s">
        <v>4036</v>
      </c>
      <c r="I1424" s="8" t="s">
        <v>4037</v>
      </c>
      <c r="J1424" s="5">
        <f>56-2-25+32-8</f>
        <v>53</v>
      </c>
      <c r="K1424" s="5" t="s">
        <v>292</v>
      </c>
      <c r="L1424" s="5" t="s">
        <v>3723</v>
      </c>
      <c r="M1424" s="5">
        <v>23</v>
      </c>
      <c r="N1424" s="5" t="s">
        <v>4018</v>
      </c>
      <c r="O1424" s="5" t="s">
        <v>574</v>
      </c>
      <c r="Q1424" s="10"/>
      <c r="R1424" s="6"/>
      <c r="S1424" s="6"/>
    </row>
    <row r="1425" spans="1:19" x14ac:dyDescent="0.2">
      <c r="A1425" s="5"/>
      <c r="B1425" s="205" t="s">
        <v>4038</v>
      </c>
      <c r="I1425" s="8" t="s">
        <v>4037</v>
      </c>
      <c r="J1425" s="5">
        <f>200-72-64</f>
        <v>64</v>
      </c>
      <c r="K1425" s="5" t="s">
        <v>292</v>
      </c>
      <c r="L1425" s="5" t="s">
        <v>3723</v>
      </c>
      <c r="M1425" s="5">
        <v>23</v>
      </c>
      <c r="Q1425" s="10"/>
      <c r="R1425" s="6"/>
      <c r="S1425" s="6"/>
    </row>
    <row r="1426" spans="1:19" x14ac:dyDescent="0.2">
      <c r="A1426" s="5"/>
      <c r="B1426" s="8" t="s">
        <v>4039</v>
      </c>
      <c r="H1426" s="8" t="s">
        <v>4040</v>
      </c>
      <c r="I1426" s="8" t="s">
        <v>4037</v>
      </c>
      <c r="J1426" s="5">
        <f>10</f>
        <v>10</v>
      </c>
      <c r="K1426" s="5" t="s">
        <v>292</v>
      </c>
      <c r="L1426" s="5" t="s">
        <v>3723</v>
      </c>
      <c r="M1426" s="5">
        <v>23</v>
      </c>
      <c r="N1426" s="5" t="s">
        <v>4018</v>
      </c>
      <c r="O1426" s="5" t="s">
        <v>574</v>
      </c>
      <c r="Q1426" s="10"/>
      <c r="R1426" s="6"/>
      <c r="S1426" s="6"/>
    </row>
    <row r="1427" spans="1:19" x14ac:dyDescent="0.2">
      <c r="A1427" s="5"/>
      <c r="B1427" s="8" t="s">
        <v>4041</v>
      </c>
      <c r="H1427" s="8" t="s">
        <v>4042</v>
      </c>
      <c r="I1427" s="8" t="s">
        <v>4037</v>
      </c>
      <c r="J1427" s="5">
        <f>10</f>
        <v>10</v>
      </c>
      <c r="K1427" s="5" t="s">
        <v>292</v>
      </c>
      <c r="L1427" s="5" t="s">
        <v>3723</v>
      </c>
      <c r="M1427" s="5">
        <v>23</v>
      </c>
      <c r="N1427" s="5" t="s">
        <v>4018</v>
      </c>
      <c r="O1427" s="5" t="s">
        <v>574</v>
      </c>
      <c r="Q1427" s="10"/>
      <c r="R1427" s="6"/>
      <c r="S1427" s="6"/>
    </row>
    <row r="1428" spans="1:19" x14ac:dyDescent="0.2">
      <c r="A1428" s="5"/>
      <c r="B1428" s="8" t="s">
        <v>4043</v>
      </c>
      <c r="H1428" s="8" t="s">
        <v>4044</v>
      </c>
      <c r="I1428" s="8" t="s">
        <v>4037</v>
      </c>
      <c r="J1428" s="5">
        <f>12</f>
        <v>12</v>
      </c>
      <c r="K1428" s="5" t="s">
        <v>292</v>
      </c>
      <c r="L1428" s="5" t="s">
        <v>3723</v>
      </c>
      <c r="M1428" s="5">
        <v>23</v>
      </c>
      <c r="N1428" s="5" t="s">
        <v>4018</v>
      </c>
      <c r="O1428" s="5" t="s">
        <v>574</v>
      </c>
      <c r="Q1428" s="10"/>
      <c r="R1428" s="6"/>
      <c r="S1428" s="6"/>
    </row>
    <row r="1429" spans="1:19" x14ac:dyDescent="0.2">
      <c r="A1429" s="5"/>
      <c r="B1429" s="8" t="s">
        <v>4045</v>
      </c>
      <c r="H1429" s="8" t="s">
        <v>4046</v>
      </c>
      <c r="I1429" s="8" t="s">
        <v>4037</v>
      </c>
      <c r="J1429" s="5">
        <f>10-6+6</f>
        <v>10</v>
      </c>
      <c r="K1429" s="5" t="s">
        <v>292</v>
      </c>
      <c r="L1429" s="5" t="s">
        <v>3723</v>
      </c>
      <c r="M1429" s="5">
        <v>23</v>
      </c>
      <c r="N1429" s="5" t="s">
        <v>4018</v>
      </c>
      <c r="O1429" s="5" t="s">
        <v>574</v>
      </c>
      <c r="Q1429" s="10"/>
      <c r="R1429" s="6"/>
      <c r="S1429" s="6"/>
    </row>
    <row r="1430" spans="1:19" x14ac:dyDescent="0.2">
      <c r="A1430" s="5"/>
      <c r="B1430" s="8" t="s">
        <v>4047</v>
      </c>
      <c r="H1430" s="8" t="s">
        <v>4048</v>
      </c>
      <c r="I1430" s="8" t="s">
        <v>4037</v>
      </c>
      <c r="J1430" s="5">
        <f>10-6+6-2</f>
        <v>8</v>
      </c>
      <c r="K1430" s="5" t="s">
        <v>292</v>
      </c>
      <c r="L1430" s="5" t="s">
        <v>3723</v>
      </c>
      <c r="M1430" s="5">
        <v>23</v>
      </c>
      <c r="N1430" s="5" t="s">
        <v>4018</v>
      </c>
      <c r="O1430" s="5" t="s">
        <v>574</v>
      </c>
      <c r="Q1430" s="10"/>
      <c r="R1430" s="6"/>
      <c r="S1430" s="6"/>
    </row>
    <row r="1431" spans="1:19" x14ac:dyDescent="0.2">
      <c r="A1431" s="5">
        <v>1781</v>
      </c>
      <c r="B1431" s="8" t="s">
        <v>4049</v>
      </c>
      <c r="H1431" s="8" t="s">
        <v>4050</v>
      </c>
      <c r="I1431" s="8" t="s">
        <v>4037</v>
      </c>
      <c r="J1431" s="5">
        <f>92-4-12</f>
        <v>76</v>
      </c>
      <c r="K1431" s="5" t="s">
        <v>292</v>
      </c>
      <c r="L1431" s="5" t="s">
        <v>3723</v>
      </c>
      <c r="M1431" s="5">
        <v>23</v>
      </c>
      <c r="N1431" s="5" t="s">
        <v>3797</v>
      </c>
      <c r="O1431" s="5" t="s">
        <v>574</v>
      </c>
      <c r="Q1431" s="10" t="s">
        <v>4051</v>
      </c>
      <c r="R1431" s="6"/>
      <c r="S1431" s="6" t="s">
        <v>328</v>
      </c>
    </row>
    <row r="1432" spans="1:19" x14ac:dyDescent="0.2">
      <c r="A1432" s="5">
        <v>1782</v>
      </c>
      <c r="B1432" s="8" t="s">
        <v>4052</v>
      </c>
      <c r="H1432" s="8" t="s">
        <v>4053</v>
      </c>
      <c r="I1432" s="8" t="s">
        <v>4037</v>
      </c>
      <c r="J1432" s="5">
        <f>45-2</f>
        <v>43</v>
      </c>
      <c r="K1432" s="5" t="s">
        <v>292</v>
      </c>
      <c r="L1432" s="5" t="s">
        <v>3723</v>
      </c>
      <c r="M1432" s="5">
        <v>23</v>
      </c>
      <c r="N1432" s="5" t="s">
        <v>3797</v>
      </c>
      <c r="O1432" s="5" t="s">
        <v>574</v>
      </c>
      <c r="Q1432" s="10" t="s">
        <v>553</v>
      </c>
      <c r="R1432" s="6"/>
      <c r="S1432" s="6"/>
    </row>
    <row r="1433" spans="1:19" x14ac:dyDescent="0.2">
      <c r="A1433" s="5">
        <v>1783</v>
      </c>
      <c r="B1433" s="8" t="s">
        <v>4054</v>
      </c>
      <c r="H1433" s="8" t="s">
        <v>4055</v>
      </c>
      <c r="I1433" s="8" t="s">
        <v>4037</v>
      </c>
      <c r="J1433" s="5">
        <f>175-4-4-5-4-2-8-4</f>
        <v>144</v>
      </c>
      <c r="K1433" s="5" t="s">
        <v>292</v>
      </c>
      <c r="L1433" s="5" t="s">
        <v>3723</v>
      </c>
      <c r="M1433" s="5">
        <v>23</v>
      </c>
      <c r="N1433" s="5" t="s">
        <v>3797</v>
      </c>
      <c r="O1433" s="5" t="s">
        <v>574</v>
      </c>
      <c r="Q1433" s="5" t="s">
        <v>4056</v>
      </c>
      <c r="R1433" s="6"/>
      <c r="S1433" s="6"/>
    </row>
    <row r="1434" spans="1:19" x14ac:dyDescent="0.2">
      <c r="A1434" s="5">
        <v>1783</v>
      </c>
      <c r="B1434" s="8" t="s">
        <v>4057</v>
      </c>
      <c r="H1434" s="8" t="s">
        <v>4058</v>
      </c>
      <c r="I1434" s="8" t="s">
        <v>4037</v>
      </c>
      <c r="J1434" s="5">
        <f>20</f>
        <v>20</v>
      </c>
      <c r="K1434" s="5" t="s">
        <v>292</v>
      </c>
      <c r="L1434" s="5" t="s">
        <v>3723</v>
      </c>
      <c r="M1434" s="5">
        <v>23</v>
      </c>
      <c r="N1434" s="5" t="s">
        <v>3797</v>
      </c>
      <c r="O1434" s="5" t="s">
        <v>574</v>
      </c>
      <c r="Q1434" s="5" t="s">
        <v>4056</v>
      </c>
      <c r="R1434" s="6"/>
      <c r="S1434" s="6"/>
    </row>
    <row r="1435" spans="1:19" x14ac:dyDescent="0.2">
      <c r="A1435" s="5">
        <v>1783</v>
      </c>
      <c r="B1435" s="8" t="s">
        <v>4059</v>
      </c>
      <c r="H1435" s="8" t="s">
        <v>4060</v>
      </c>
      <c r="I1435" s="8" t="s">
        <v>4037</v>
      </c>
      <c r="J1435" s="5">
        <f>10-3</f>
        <v>7</v>
      </c>
      <c r="K1435" s="5" t="s">
        <v>292</v>
      </c>
      <c r="L1435" s="5" t="s">
        <v>3723</v>
      </c>
      <c r="M1435" s="5">
        <v>23</v>
      </c>
      <c r="N1435" s="5" t="s">
        <v>3797</v>
      </c>
      <c r="O1435" s="5" t="s">
        <v>574</v>
      </c>
      <c r="Q1435" s="5" t="s">
        <v>4056</v>
      </c>
      <c r="R1435" s="6"/>
      <c r="S1435" s="6"/>
    </row>
    <row r="1436" spans="1:19" x14ac:dyDescent="0.2">
      <c r="A1436" s="5">
        <v>1783</v>
      </c>
      <c r="B1436" s="8" t="s">
        <v>4061</v>
      </c>
      <c r="H1436" s="8" t="s">
        <v>4062</v>
      </c>
      <c r="I1436" s="8" t="s">
        <v>4037</v>
      </c>
      <c r="J1436" s="5">
        <f>10-8</f>
        <v>2</v>
      </c>
      <c r="K1436" s="5" t="s">
        <v>292</v>
      </c>
      <c r="L1436" s="5" t="s">
        <v>3723</v>
      </c>
      <c r="M1436" s="5">
        <v>23</v>
      </c>
      <c r="N1436" s="5" t="s">
        <v>3797</v>
      </c>
      <c r="O1436" s="5" t="s">
        <v>574</v>
      </c>
      <c r="Q1436" s="5" t="s">
        <v>4056</v>
      </c>
      <c r="R1436" s="6"/>
      <c r="S1436" s="6"/>
    </row>
    <row r="1437" spans="1:19" x14ac:dyDescent="0.2">
      <c r="A1437" s="5">
        <v>1783</v>
      </c>
      <c r="B1437" s="8" t="s">
        <v>4063</v>
      </c>
      <c r="H1437" s="8" t="s">
        <v>4064</v>
      </c>
      <c r="I1437" s="8" t="s">
        <v>4037</v>
      </c>
      <c r="J1437" s="5">
        <f>11+45-11</f>
        <v>45</v>
      </c>
      <c r="K1437" s="5" t="s">
        <v>292</v>
      </c>
      <c r="L1437" s="5" t="s">
        <v>3723</v>
      </c>
      <c r="M1437" s="5">
        <v>23</v>
      </c>
      <c r="N1437" s="5" t="s">
        <v>3797</v>
      </c>
      <c r="O1437" s="5" t="s">
        <v>574</v>
      </c>
      <c r="Q1437" s="5" t="s">
        <v>4056</v>
      </c>
      <c r="R1437" s="6"/>
      <c r="S1437" s="6"/>
    </row>
    <row r="1438" spans="1:19" x14ac:dyDescent="0.2">
      <c r="A1438" s="5">
        <v>1784</v>
      </c>
      <c r="B1438" s="8" t="s">
        <v>4065</v>
      </c>
      <c r="H1438" s="8" t="s">
        <v>4066</v>
      </c>
      <c r="I1438" s="8" t="s">
        <v>4037</v>
      </c>
      <c r="J1438" s="5">
        <f>71+62-4-12-10-1-6-1-3-3-3</f>
        <v>90</v>
      </c>
      <c r="K1438" s="5" t="s">
        <v>292</v>
      </c>
      <c r="L1438" s="5" t="s">
        <v>3723</v>
      </c>
      <c r="M1438" s="5">
        <v>23</v>
      </c>
      <c r="N1438" s="5" t="s">
        <v>3797</v>
      </c>
      <c r="O1438" s="5" t="s">
        <v>574</v>
      </c>
      <c r="Q1438" s="5" t="s">
        <v>4067</v>
      </c>
      <c r="R1438" s="6"/>
      <c r="S1438" s="6"/>
    </row>
    <row r="1439" spans="1:19" x14ac:dyDescent="0.2">
      <c r="A1439" s="5">
        <v>1784</v>
      </c>
      <c r="B1439" s="8" t="s">
        <v>4068</v>
      </c>
      <c r="H1439" s="8" t="s">
        <v>4069</v>
      </c>
      <c r="I1439" s="8" t="s">
        <v>4037</v>
      </c>
      <c r="J1439" s="5">
        <f>20</f>
        <v>20</v>
      </c>
      <c r="K1439" s="5" t="s">
        <v>292</v>
      </c>
      <c r="L1439" s="5" t="s">
        <v>3723</v>
      </c>
      <c r="M1439" s="5">
        <v>23</v>
      </c>
      <c r="N1439" s="5" t="s">
        <v>3797</v>
      </c>
      <c r="O1439" s="5" t="s">
        <v>574</v>
      </c>
      <c r="Q1439" s="5" t="s">
        <v>4067</v>
      </c>
      <c r="R1439" s="6"/>
      <c r="S1439" s="6"/>
    </row>
    <row r="1440" spans="1:19" x14ac:dyDescent="0.2">
      <c r="A1440" s="5">
        <v>1784</v>
      </c>
      <c r="B1440" s="8" t="s">
        <v>4070</v>
      </c>
      <c r="H1440" s="8" t="s">
        <v>4071</v>
      </c>
      <c r="I1440" s="8" t="s">
        <v>4037</v>
      </c>
      <c r="J1440" s="5">
        <f>10-8</f>
        <v>2</v>
      </c>
      <c r="K1440" s="5" t="s">
        <v>292</v>
      </c>
      <c r="L1440" s="5" t="s">
        <v>3723</v>
      </c>
      <c r="M1440" s="5">
        <v>23</v>
      </c>
      <c r="N1440" s="5" t="s">
        <v>3797</v>
      </c>
      <c r="O1440" s="5" t="s">
        <v>574</v>
      </c>
      <c r="Q1440" s="5" t="s">
        <v>4067</v>
      </c>
      <c r="R1440" s="6"/>
      <c r="S1440" s="6"/>
    </row>
    <row r="1441" spans="1:19" x14ac:dyDescent="0.2">
      <c r="A1441" s="5">
        <v>1784</v>
      </c>
      <c r="B1441" s="8" t="s">
        <v>4072</v>
      </c>
      <c r="H1441" s="8" t="s">
        <v>4073</v>
      </c>
      <c r="I1441" s="8" t="s">
        <v>4037</v>
      </c>
      <c r="J1441" s="5">
        <v>10</v>
      </c>
      <c r="K1441" s="5" t="s">
        <v>292</v>
      </c>
      <c r="L1441" s="5" t="s">
        <v>3723</v>
      </c>
      <c r="M1441" s="5">
        <v>23</v>
      </c>
      <c r="N1441" s="5" t="s">
        <v>3797</v>
      </c>
      <c r="O1441" s="5" t="s">
        <v>574</v>
      </c>
      <c r="Q1441" s="5" t="s">
        <v>4067</v>
      </c>
      <c r="R1441" s="6"/>
      <c r="S1441" s="6"/>
    </row>
    <row r="1442" spans="1:19" x14ac:dyDescent="0.2">
      <c r="A1442" s="5">
        <v>1784</v>
      </c>
      <c r="B1442" s="8" t="s">
        <v>4074</v>
      </c>
      <c r="H1442" s="8" t="s">
        <v>4075</v>
      </c>
      <c r="I1442" s="8" t="s">
        <v>4037</v>
      </c>
      <c r="J1442" s="5">
        <f>7</f>
        <v>7</v>
      </c>
      <c r="K1442" s="5" t="s">
        <v>292</v>
      </c>
      <c r="L1442" s="5" t="s">
        <v>3723</v>
      </c>
      <c r="M1442" s="5">
        <v>23</v>
      </c>
      <c r="N1442" s="5" t="s">
        <v>3797</v>
      </c>
      <c r="O1442" s="5" t="s">
        <v>574</v>
      </c>
      <c r="Q1442" s="5" t="s">
        <v>4067</v>
      </c>
      <c r="R1442" s="6"/>
      <c r="S1442" s="6"/>
    </row>
    <row r="1443" spans="1:19" x14ac:dyDescent="0.2">
      <c r="A1443" s="5">
        <v>1784</v>
      </c>
      <c r="B1443" s="8" t="s">
        <v>4076</v>
      </c>
      <c r="H1443" s="8" t="s">
        <v>4077</v>
      </c>
      <c r="I1443" s="8" t="s">
        <v>4037</v>
      </c>
      <c r="J1443" s="5">
        <f>1</f>
        <v>1</v>
      </c>
      <c r="K1443" s="5" t="s">
        <v>292</v>
      </c>
      <c r="L1443" s="5" t="s">
        <v>3723</v>
      </c>
      <c r="M1443" s="5">
        <v>23</v>
      </c>
      <c r="N1443" s="5" t="s">
        <v>3797</v>
      </c>
      <c r="O1443" s="5" t="s">
        <v>574</v>
      </c>
      <c r="Q1443" s="5" t="s">
        <v>4067</v>
      </c>
      <c r="R1443" s="6"/>
      <c r="S1443" s="6"/>
    </row>
    <row r="1444" spans="1:19" x14ac:dyDescent="0.2">
      <c r="A1444" s="5">
        <v>1790</v>
      </c>
      <c r="B1444" s="8" t="s">
        <v>4078</v>
      </c>
      <c r="H1444" s="8" t="s">
        <v>4079</v>
      </c>
      <c r="I1444" s="8" t="s">
        <v>4037</v>
      </c>
      <c r="J1444" s="5">
        <f>28-4</f>
        <v>24</v>
      </c>
      <c r="K1444" s="5" t="s">
        <v>292</v>
      </c>
      <c r="L1444" s="5" t="s">
        <v>3723</v>
      </c>
      <c r="M1444" s="5">
        <v>23</v>
      </c>
      <c r="N1444" s="5" t="s">
        <v>3797</v>
      </c>
      <c r="O1444" s="5" t="s">
        <v>574</v>
      </c>
      <c r="Q1444" s="5" t="s">
        <v>4080</v>
      </c>
    </row>
    <row r="1445" spans="1:19" x14ac:dyDescent="0.2">
      <c r="A1445" s="5">
        <v>1785</v>
      </c>
      <c r="B1445" s="8" t="s">
        <v>4081</v>
      </c>
      <c r="H1445" s="8" t="s">
        <v>4082</v>
      </c>
      <c r="I1445" s="8" t="s">
        <v>4037</v>
      </c>
      <c r="J1445" s="5">
        <v>519</v>
      </c>
      <c r="K1445" s="5" t="s">
        <v>292</v>
      </c>
      <c r="L1445" s="5" t="s">
        <v>3723</v>
      </c>
      <c r="M1445" s="5">
        <v>23</v>
      </c>
      <c r="N1445" s="5" t="s">
        <v>3797</v>
      </c>
      <c r="O1445" s="5" t="s">
        <v>574</v>
      </c>
      <c r="Q1445" s="10" t="s">
        <v>553</v>
      </c>
      <c r="R1445" s="6"/>
      <c r="S1445" s="6"/>
    </row>
    <row r="1446" spans="1:19" x14ac:dyDescent="0.2">
      <c r="A1446" s="5">
        <v>1785</v>
      </c>
      <c r="B1446" s="8" t="s">
        <v>4083</v>
      </c>
      <c r="H1446" s="8" t="s">
        <v>4084</v>
      </c>
      <c r="I1446" s="8" t="s">
        <v>4037</v>
      </c>
      <c r="J1446" s="5">
        <f>10-2</f>
        <v>8</v>
      </c>
      <c r="K1446" s="5" t="s">
        <v>292</v>
      </c>
      <c r="L1446" s="5" t="s">
        <v>3723</v>
      </c>
      <c r="M1446" s="5">
        <v>23</v>
      </c>
      <c r="N1446" s="5" t="s">
        <v>3797</v>
      </c>
      <c r="O1446" s="5" t="s">
        <v>574</v>
      </c>
      <c r="Q1446" s="10" t="s">
        <v>553</v>
      </c>
      <c r="R1446" s="6"/>
      <c r="S1446" s="6"/>
    </row>
    <row r="1447" spans="1:19" x14ac:dyDescent="0.2">
      <c r="A1447" s="5">
        <v>1785</v>
      </c>
      <c r="B1447" s="8" t="s">
        <v>4085</v>
      </c>
      <c r="H1447" s="8" t="s">
        <v>4086</v>
      </c>
      <c r="I1447" s="8" t="s">
        <v>4037</v>
      </c>
      <c r="J1447" s="5">
        <f>10-1</f>
        <v>9</v>
      </c>
      <c r="K1447" s="5" t="s">
        <v>292</v>
      </c>
      <c r="L1447" s="5" t="s">
        <v>3723</v>
      </c>
      <c r="M1447" s="5">
        <v>23</v>
      </c>
      <c r="N1447" s="5" t="s">
        <v>3797</v>
      </c>
      <c r="O1447" s="5" t="s">
        <v>574</v>
      </c>
      <c r="Q1447" s="10" t="s">
        <v>553</v>
      </c>
      <c r="R1447" s="6"/>
      <c r="S1447" s="6"/>
    </row>
    <row r="1448" spans="1:19" x14ac:dyDescent="0.2">
      <c r="A1448" s="5">
        <v>1785</v>
      </c>
      <c r="B1448" s="8" t="s">
        <v>4087</v>
      </c>
      <c r="H1448" s="8" t="s">
        <v>4088</v>
      </c>
      <c r="I1448" s="8" t="s">
        <v>4037</v>
      </c>
      <c r="J1448" s="5">
        <f>25</f>
        <v>25</v>
      </c>
      <c r="K1448" s="5" t="s">
        <v>292</v>
      </c>
      <c r="L1448" s="5" t="s">
        <v>3723</v>
      </c>
      <c r="M1448" s="5">
        <v>23</v>
      </c>
      <c r="N1448" s="5" t="s">
        <v>3797</v>
      </c>
      <c r="O1448" s="5" t="s">
        <v>574</v>
      </c>
      <c r="Q1448" s="10" t="s">
        <v>553</v>
      </c>
      <c r="R1448" s="6"/>
      <c r="S1448" s="6"/>
    </row>
    <row r="1449" spans="1:19" x14ac:dyDescent="0.2">
      <c r="A1449" s="5">
        <v>1785</v>
      </c>
      <c r="B1449" s="8" t="s">
        <v>4089</v>
      </c>
      <c r="H1449" s="8" t="s">
        <v>4090</v>
      </c>
      <c r="I1449" s="8" t="s">
        <v>4037</v>
      </c>
      <c r="J1449" s="5">
        <f>10</f>
        <v>10</v>
      </c>
      <c r="K1449" s="5" t="s">
        <v>292</v>
      </c>
      <c r="L1449" s="5" t="s">
        <v>3723</v>
      </c>
      <c r="M1449" s="5">
        <v>23</v>
      </c>
      <c r="N1449" s="5" t="s">
        <v>3797</v>
      </c>
      <c r="O1449" s="5" t="s">
        <v>574</v>
      </c>
      <c r="Q1449" s="10" t="s">
        <v>553</v>
      </c>
      <c r="R1449" s="6"/>
      <c r="S1449" s="6"/>
    </row>
    <row r="1450" spans="1:19" x14ac:dyDescent="0.2">
      <c r="A1450" s="5">
        <v>1786</v>
      </c>
      <c r="B1450" s="8" t="s">
        <v>4091</v>
      </c>
      <c r="H1450" s="8" t="s">
        <v>4092</v>
      </c>
      <c r="I1450" s="8" t="s">
        <v>4037</v>
      </c>
      <c r="J1450" s="5">
        <f t="shared" ref="J1450:J1457" si="0">10-10+10</f>
        <v>10</v>
      </c>
      <c r="K1450" s="5" t="s">
        <v>292</v>
      </c>
      <c r="L1450" s="5" t="s">
        <v>3723</v>
      </c>
      <c r="M1450" s="5">
        <v>23</v>
      </c>
      <c r="N1450" s="5" t="s">
        <v>3797</v>
      </c>
      <c r="O1450" s="5" t="s">
        <v>574</v>
      </c>
      <c r="Q1450" s="10" t="s">
        <v>4093</v>
      </c>
      <c r="R1450" s="6"/>
      <c r="S1450" s="6"/>
    </row>
    <row r="1451" spans="1:19" x14ac:dyDescent="0.2">
      <c r="A1451" s="5">
        <v>1786</v>
      </c>
      <c r="B1451" s="8" t="s">
        <v>4094</v>
      </c>
      <c r="H1451" s="8" t="s">
        <v>4095</v>
      </c>
      <c r="I1451" s="8" t="s">
        <v>4037</v>
      </c>
      <c r="J1451" s="5">
        <f t="shared" si="0"/>
        <v>10</v>
      </c>
      <c r="K1451" s="5" t="s">
        <v>292</v>
      </c>
      <c r="L1451" s="5" t="s">
        <v>3723</v>
      </c>
      <c r="M1451" s="5">
        <v>23</v>
      </c>
      <c r="N1451" s="5" t="s">
        <v>3797</v>
      </c>
      <c r="O1451" s="5" t="s">
        <v>574</v>
      </c>
      <c r="Q1451" s="10" t="s">
        <v>4093</v>
      </c>
      <c r="R1451" s="6"/>
      <c r="S1451" s="6"/>
    </row>
    <row r="1452" spans="1:19" x14ac:dyDescent="0.2">
      <c r="A1452" s="5">
        <v>1786</v>
      </c>
      <c r="B1452" s="8" t="s">
        <v>4096</v>
      </c>
      <c r="H1452" s="8" t="s">
        <v>4097</v>
      </c>
      <c r="I1452" s="8" t="s">
        <v>4037</v>
      </c>
      <c r="J1452" s="5">
        <f t="shared" si="0"/>
        <v>10</v>
      </c>
      <c r="K1452" s="5" t="s">
        <v>292</v>
      </c>
      <c r="L1452" s="5" t="s">
        <v>3723</v>
      </c>
      <c r="M1452" s="5">
        <v>23</v>
      </c>
      <c r="N1452" s="5" t="s">
        <v>3797</v>
      </c>
      <c r="O1452" s="5" t="s">
        <v>574</v>
      </c>
      <c r="Q1452" s="10" t="s">
        <v>4093</v>
      </c>
      <c r="R1452" s="6"/>
      <c r="S1452" s="6"/>
    </row>
    <row r="1453" spans="1:19" x14ac:dyDescent="0.2">
      <c r="A1453" s="5">
        <v>1786</v>
      </c>
      <c r="B1453" s="8" t="s">
        <v>4098</v>
      </c>
      <c r="H1453" s="8" t="s">
        <v>4099</v>
      </c>
      <c r="I1453" s="8" t="s">
        <v>4037</v>
      </c>
      <c r="J1453" s="5">
        <f t="shared" si="0"/>
        <v>10</v>
      </c>
      <c r="K1453" s="5" t="s">
        <v>292</v>
      </c>
      <c r="L1453" s="5" t="s">
        <v>3723</v>
      </c>
      <c r="M1453" s="5">
        <v>23</v>
      </c>
      <c r="N1453" s="5" t="s">
        <v>3797</v>
      </c>
      <c r="O1453" s="5" t="s">
        <v>574</v>
      </c>
      <c r="Q1453" s="10" t="s">
        <v>4093</v>
      </c>
      <c r="R1453" s="6"/>
      <c r="S1453" s="6"/>
    </row>
    <row r="1454" spans="1:19" x14ac:dyDescent="0.2">
      <c r="A1454" s="5"/>
      <c r="B1454" s="8" t="s">
        <v>4100</v>
      </c>
      <c r="H1454" s="8" t="s">
        <v>4101</v>
      </c>
      <c r="I1454" s="8" t="s">
        <v>4037</v>
      </c>
      <c r="J1454" s="5">
        <f t="shared" si="0"/>
        <v>10</v>
      </c>
      <c r="K1454" s="5" t="s">
        <v>292</v>
      </c>
      <c r="L1454" s="5" t="s">
        <v>3723</v>
      </c>
      <c r="M1454" s="5">
        <v>23</v>
      </c>
      <c r="N1454" s="5" t="s">
        <v>3797</v>
      </c>
      <c r="O1454" s="5" t="s">
        <v>574</v>
      </c>
      <c r="Q1454" s="10"/>
      <c r="R1454" s="6"/>
      <c r="S1454" s="6"/>
    </row>
    <row r="1455" spans="1:19" x14ac:dyDescent="0.2">
      <c r="A1455" s="5">
        <v>1786</v>
      </c>
      <c r="B1455" s="8" t="s">
        <v>4102</v>
      </c>
      <c r="H1455" s="8" t="s">
        <v>4103</v>
      </c>
      <c r="I1455" s="8" t="s">
        <v>4037</v>
      </c>
      <c r="J1455" s="5">
        <f t="shared" si="0"/>
        <v>10</v>
      </c>
      <c r="K1455" s="5" t="s">
        <v>292</v>
      </c>
      <c r="L1455" s="5" t="s">
        <v>3723</v>
      </c>
      <c r="M1455" s="5">
        <v>23</v>
      </c>
      <c r="N1455" s="5" t="s">
        <v>3797</v>
      </c>
      <c r="O1455" s="5" t="s">
        <v>574</v>
      </c>
      <c r="Q1455" s="10" t="s">
        <v>4093</v>
      </c>
      <c r="R1455" s="6"/>
      <c r="S1455" s="6"/>
    </row>
    <row r="1456" spans="1:19" x14ac:dyDescent="0.2">
      <c r="A1456" s="5">
        <v>1786</v>
      </c>
      <c r="B1456" s="8" t="s">
        <v>4104</v>
      </c>
      <c r="H1456" s="8" t="s">
        <v>4105</v>
      </c>
      <c r="I1456" s="8" t="s">
        <v>4037</v>
      </c>
      <c r="J1456" s="5">
        <f t="shared" si="0"/>
        <v>10</v>
      </c>
      <c r="K1456" s="5" t="s">
        <v>292</v>
      </c>
      <c r="L1456" s="5" t="s">
        <v>3723</v>
      </c>
      <c r="M1456" s="5">
        <v>23</v>
      </c>
      <c r="N1456" s="5" t="s">
        <v>3797</v>
      </c>
      <c r="O1456" s="5" t="s">
        <v>574</v>
      </c>
      <c r="Q1456" s="10" t="s">
        <v>4093</v>
      </c>
      <c r="R1456" s="6"/>
      <c r="S1456" s="6"/>
    </row>
    <row r="1457" spans="1:21" x14ac:dyDescent="0.2">
      <c r="A1457" s="5">
        <v>1786</v>
      </c>
      <c r="B1457" s="8" t="s">
        <v>4106</v>
      </c>
      <c r="H1457" s="8" t="s">
        <v>4107</v>
      </c>
      <c r="I1457" s="8" t="s">
        <v>4037</v>
      </c>
      <c r="J1457" s="5">
        <f t="shared" si="0"/>
        <v>10</v>
      </c>
      <c r="K1457" s="5" t="s">
        <v>292</v>
      </c>
      <c r="L1457" s="5" t="s">
        <v>3723</v>
      </c>
      <c r="M1457" s="5">
        <v>23</v>
      </c>
      <c r="N1457" s="5" t="s">
        <v>3797</v>
      </c>
      <c r="O1457" s="5" t="s">
        <v>574</v>
      </c>
      <c r="Q1457" s="10" t="s">
        <v>4093</v>
      </c>
      <c r="R1457" s="6"/>
      <c r="S1457" s="6"/>
    </row>
    <row r="1458" spans="1:21" x14ac:dyDescent="0.2">
      <c r="A1458" s="5">
        <v>1787</v>
      </c>
      <c r="B1458" s="8" t="s">
        <v>4108</v>
      </c>
      <c r="C1458" s="34"/>
      <c r="H1458" s="8" t="s">
        <v>4109</v>
      </c>
      <c r="I1458" s="8" t="s">
        <v>4037</v>
      </c>
      <c r="J1458" s="5">
        <f>79</f>
        <v>79</v>
      </c>
      <c r="K1458" s="5" t="s">
        <v>292</v>
      </c>
      <c r="L1458" s="5" t="s">
        <v>3723</v>
      </c>
      <c r="M1458" s="5">
        <v>23</v>
      </c>
      <c r="N1458" s="5" t="s">
        <v>3797</v>
      </c>
      <c r="O1458" s="5" t="s">
        <v>574</v>
      </c>
      <c r="Q1458" s="10" t="s">
        <v>553</v>
      </c>
      <c r="R1458" s="6"/>
      <c r="S1458" s="6"/>
    </row>
    <row r="1459" spans="1:21" x14ac:dyDescent="0.2">
      <c r="A1459" s="5">
        <v>1788</v>
      </c>
      <c r="B1459" s="8" t="s">
        <v>4110</v>
      </c>
      <c r="H1459" s="8" t="s">
        <v>4111</v>
      </c>
      <c r="I1459" s="8" t="s">
        <v>4037</v>
      </c>
      <c r="J1459" s="5">
        <f>34+10</f>
        <v>44</v>
      </c>
      <c r="K1459" s="5" t="s">
        <v>292</v>
      </c>
      <c r="L1459" s="5" t="s">
        <v>3723</v>
      </c>
      <c r="M1459" s="5">
        <v>23</v>
      </c>
      <c r="N1459" s="5" t="s">
        <v>3797</v>
      </c>
      <c r="O1459" s="5" t="s">
        <v>574</v>
      </c>
      <c r="Q1459" s="5" t="s">
        <v>553</v>
      </c>
      <c r="R1459" s="6"/>
      <c r="S1459" s="6"/>
    </row>
    <row r="1460" spans="1:21" x14ac:dyDescent="0.2">
      <c r="A1460" s="5">
        <v>1788</v>
      </c>
      <c r="B1460" s="8" t="s">
        <v>4110</v>
      </c>
      <c r="H1460" s="8" t="s">
        <v>4112</v>
      </c>
      <c r="I1460" s="8" t="s">
        <v>4037</v>
      </c>
      <c r="J1460" s="5">
        <f>10</f>
        <v>10</v>
      </c>
      <c r="K1460" s="5" t="s">
        <v>292</v>
      </c>
      <c r="L1460" s="5" t="s">
        <v>3723</v>
      </c>
      <c r="M1460" s="5">
        <v>23</v>
      </c>
      <c r="N1460" s="5" t="s">
        <v>3797</v>
      </c>
      <c r="O1460" s="5" t="s">
        <v>574</v>
      </c>
      <c r="Q1460" s="5" t="s">
        <v>553</v>
      </c>
      <c r="R1460" s="6"/>
      <c r="S1460" s="6"/>
    </row>
    <row r="1461" spans="1:21" x14ac:dyDescent="0.2">
      <c r="A1461" s="5">
        <v>1788</v>
      </c>
      <c r="B1461" s="8" t="s">
        <v>4113</v>
      </c>
      <c r="H1461" s="8" t="s">
        <v>4114</v>
      </c>
      <c r="I1461" s="8" t="s">
        <v>4037</v>
      </c>
      <c r="J1461" s="5">
        <f>10</f>
        <v>10</v>
      </c>
      <c r="K1461" s="5" t="s">
        <v>292</v>
      </c>
      <c r="L1461" s="5" t="s">
        <v>3723</v>
      </c>
      <c r="M1461" s="5">
        <v>23</v>
      </c>
      <c r="N1461" s="5" t="s">
        <v>3797</v>
      </c>
      <c r="O1461" s="5" t="s">
        <v>574</v>
      </c>
      <c r="Q1461" s="5" t="s">
        <v>553</v>
      </c>
      <c r="R1461" s="6"/>
      <c r="S1461" s="6"/>
    </row>
    <row r="1462" spans="1:21" x14ac:dyDescent="0.2">
      <c r="A1462" s="5">
        <v>1788</v>
      </c>
      <c r="B1462" s="8" t="s">
        <v>4115</v>
      </c>
      <c r="H1462" s="8" t="s">
        <v>4116</v>
      </c>
      <c r="I1462" s="8" t="s">
        <v>4037</v>
      </c>
      <c r="J1462" s="5">
        <f>1</f>
        <v>1</v>
      </c>
      <c r="K1462" s="5" t="s">
        <v>292</v>
      </c>
      <c r="L1462" s="5" t="s">
        <v>3723</v>
      </c>
      <c r="M1462" s="5">
        <v>23</v>
      </c>
      <c r="N1462" s="5" t="s">
        <v>3797</v>
      </c>
      <c r="O1462" s="5" t="s">
        <v>574</v>
      </c>
      <c r="Q1462" s="5" t="s">
        <v>553</v>
      </c>
      <c r="R1462" s="6"/>
      <c r="S1462" s="6"/>
    </row>
    <row r="1463" spans="1:21" x14ac:dyDescent="0.2">
      <c r="A1463" s="5">
        <v>1789</v>
      </c>
      <c r="B1463" s="8" t="s">
        <v>4117</v>
      </c>
      <c r="H1463" s="8" t="s">
        <v>4118</v>
      </c>
      <c r="I1463" s="8" t="s">
        <v>4037</v>
      </c>
      <c r="J1463" s="5">
        <f>37</f>
        <v>37</v>
      </c>
      <c r="K1463" s="5" t="s">
        <v>292</v>
      </c>
      <c r="L1463" s="5" t="s">
        <v>3723</v>
      </c>
      <c r="M1463" s="5">
        <v>23</v>
      </c>
      <c r="N1463" s="5" t="s">
        <v>3797</v>
      </c>
      <c r="O1463" s="5" t="s">
        <v>574</v>
      </c>
      <c r="Q1463" s="5" t="s">
        <v>4119</v>
      </c>
      <c r="R1463" s="6"/>
      <c r="S1463" s="6"/>
    </row>
    <row r="1464" spans="1:21" x14ac:dyDescent="0.2">
      <c r="A1464" s="5">
        <v>1346</v>
      </c>
      <c r="B1464" s="8" t="s">
        <v>4120</v>
      </c>
      <c r="H1464" s="8" t="s">
        <v>4121</v>
      </c>
      <c r="I1464" s="8" t="s">
        <v>4121</v>
      </c>
      <c r="J1464" s="5">
        <v>2</v>
      </c>
      <c r="K1464" s="5" t="s">
        <v>292</v>
      </c>
      <c r="L1464" s="5" t="s">
        <v>3723</v>
      </c>
      <c r="M1464" s="5">
        <v>24</v>
      </c>
      <c r="N1464" s="5" t="s">
        <v>3356</v>
      </c>
      <c r="O1464" s="5" t="s">
        <v>520</v>
      </c>
      <c r="Q1464" s="5" t="s">
        <v>4122</v>
      </c>
    </row>
    <row r="1465" spans="1:21" x14ac:dyDescent="0.2">
      <c r="A1465" s="5">
        <v>1347</v>
      </c>
      <c r="B1465" s="8" t="s">
        <v>4123</v>
      </c>
      <c r="H1465" s="8" t="s">
        <v>4124</v>
      </c>
      <c r="I1465" s="8" t="s">
        <v>4124</v>
      </c>
      <c r="J1465" s="5">
        <v>6</v>
      </c>
      <c r="K1465" s="5" t="s">
        <v>292</v>
      </c>
      <c r="L1465" s="5" t="s">
        <v>3723</v>
      </c>
      <c r="M1465" s="5">
        <v>24</v>
      </c>
      <c r="N1465" s="5" t="s">
        <v>3356</v>
      </c>
      <c r="O1465" s="5" t="s">
        <v>520</v>
      </c>
      <c r="Q1465" s="5" t="s">
        <v>4125</v>
      </c>
      <c r="R1465" s="6"/>
      <c r="S1465" s="6" t="s">
        <v>328</v>
      </c>
    </row>
    <row r="1466" spans="1:21" x14ac:dyDescent="0.2">
      <c r="A1466" s="5">
        <v>1799</v>
      </c>
      <c r="B1466" s="8" t="s">
        <v>4126</v>
      </c>
      <c r="H1466" s="8" t="s">
        <v>4127</v>
      </c>
      <c r="I1466" s="8" t="s">
        <v>4127</v>
      </c>
      <c r="J1466" s="5">
        <v>2</v>
      </c>
      <c r="K1466" s="5" t="s">
        <v>292</v>
      </c>
      <c r="L1466" s="5" t="s">
        <v>3723</v>
      </c>
      <c r="M1466" s="5">
        <v>24</v>
      </c>
      <c r="N1466" s="5" t="s">
        <v>3797</v>
      </c>
      <c r="O1466" s="5" t="s">
        <v>574</v>
      </c>
      <c r="Q1466" s="10" t="s">
        <v>553</v>
      </c>
      <c r="R1466" s="6"/>
      <c r="S1466" s="6" t="s">
        <v>328</v>
      </c>
    </row>
    <row r="1467" spans="1:21" x14ac:dyDescent="0.2">
      <c r="A1467" s="5">
        <v>1800</v>
      </c>
      <c r="B1467" s="8" t="s">
        <v>4128</v>
      </c>
      <c r="H1467" s="8" t="s">
        <v>3863</v>
      </c>
      <c r="I1467" s="8" t="s">
        <v>3863</v>
      </c>
      <c r="J1467" s="5">
        <v>8</v>
      </c>
      <c r="K1467" s="5" t="s">
        <v>292</v>
      </c>
      <c r="L1467" s="5" t="s">
        <v>3723</v>
      </c>
      <c r="M1467" s="5">
        <v>24</v>
      </c>
      <c r="N1467" s="5" t="s">
        <v>3847</v>
      </c>
      <c r="O1467" s="5" t="s">
        <v>574</v>
      </c>
      <c r="Q1467" s="10" t="s">
        <v>553</v>
      </c>
      <c r="R1467" s="6"/>
      <c r="S1467" s="6" t="s">
        <v>328</v>
      </c>
    </row>
    <row r="1468" spans="1:21" x14ac:dyDescent="0.2">
      <c r="A1468" s="5">
        <v>1801</v>
      </c>
      <c r="B1468" s="8" t="s">
        <v>4129</v>
      </c>
      <c r="H1468" s="8" t="s">
        <v>4130</v>
      </c>
      <c r="I1468" s="8" t="s">
        <v>4130</v>
      </c>
      <c r="J1468" s="5">
        <v>4</v>
      </c>
      <c r="K1468" s="5" t="s">
        <v>292</v>
      </c>
      <c r="L1468" s="5" t="s">
        <v>3723</v>
      </c>
      <c r="M1468" s="5">
        <v>24</v>
      </c>
      <c r="N1468" s="5" t="s">
        <v>3850</v>
      </c>
      <c r="O1468" s="5" t="s">
        <v>574</v>
      </c>
      <c r="Q1468" s="10" t="s">
        <v>553</v>
      </c>
      <c r="R1468" s="6"/>
      <c r="S1468" s="6" t="s">
        <v>328</v>
      </c>
      <c r="U1468" t="s">
        <v>321</v>
      </c>
    </row>
    <row r="1469" spans="1:21" x14ac:dyDescent="0.2">
      <c r="A1469" s="5">
        <v>1802</v>
      </c>
      <c r="B1469" s="8" t="s">
        <v>4131</v>
      </c>
      <c r="H1469" s="8" t="s">
        <v>3863</v>
      </c>
      <c r="I1469" s="8" t="s">
        <v>3863</v>
      </c>
      <c r="J1469" s="5">
        <v>18</v>
      </c>
      <c r="K1469" s="5" t="s">
        <v>292</v>
      </c>
      <c r="L1469" s="5" t="s">
        <v>3723</v>
      </c>
      <c r="M1469" s="5">
        <v>24</v>
      </c>
      <c r="N1469" s="5" t="s">
        <v>3850</v>
      </c>
      <c r="O1469" s="5" t="s">
        <v>574</v>
      </c>
      <c r="Q1469" s="10" t="s">
        <v>553</v>
      </c>
    </row>
    <row r="1470" spans="1:21" x14ac:dyDescent="0.2">
      <c r="A1470" s="5">
        <v>277</v>
      </c>
      <c r="B1470" s="8" t="s">
        <v>4132</v>
      </c>
      <c r="H1470" s="8" t="s">
        <v>4133</v>
      </c>
      <c r="I1470" s="8" t="s">
        <v>4133</v>
      </c>
      <c r="J1470" s="5">
        <f>10+2</f>
        <v>12</v>
      </c>
      <c r="K1470" s="5" t="s">
        <v>292</v>
      </c>
      <c r="L1470" s="5" t="s">
        <v>3723</v>
      </c>
      <c r="M1470" s="5">
        <v>25</v>
      </c>
      <c r="N1470" s="5" t="s">
        <v>511</v>
      </c>
      <c r="O1470" s="5" t="s">
        <v>520</v>
      </c>
      <c r="Q1470" s="5" t="s">
        <v>4134</v>
      </c>
    </row>
    <row r="1471" spans="1:21" x14ac:dyDescent="0.2">
      <c r="A1471" s="5"/>
      <c r="B1471" s="8" t="s">
        <v>4135</v>
      </c>
      <c r="H1471" s="8" t="s">
        <v>4136</v>
      </c>
      <c r="I1471" s="8" t="s">
        <v>4136</v>
      </c>
      <c r="J1471" s="5">
        <f>8-2-2-2</f>
        <v>2</v>
      </c>
      <c r="K1471" s="5" t="s">
        <v>292</v>
      </c>
      <c r="L1471" s="5" t="s">
        <v>3723</v>
      </c>
      <c r="M1471" s="5">
        <v>24</v>
      </c>
      <c r="R1471" s="6"/>
      <c r="S1471" s="6" t="s">
        <v>328</v>
      </c>
    </row>
    <row r="1472" spans="1:21" x14ac:dyDescent="0.2">
      <c r="A1472" s="5">
        <v>1754</v>
      </c>
      <c r="B1472" s="8">
        <v>686418</v>
      </c>
      <c r="H1472" s="8" t="s">
        <v>4137</v>
      </c>
      <c r="I1472" s="8" t="s">
        <v>4137</v>
      </c>
      <c r="J1472" s="5">
        <v>12</v>
      </c>
      <c r="K1472" s="5" t="s">
        <v>292</v>
      </c>
      <c r="L1472" s="5" t="s">
        <v>3723</v>
      </c>
      <c r="M1472" s="5">
        <v>25</v>
      </c>
      <c r="N1472" s="5" t="s">
        <v>3845</v>
      </c>
      <c r="O1472" s="5" t="s">
        <v>574</v>
      </c>
      <c r="Q1472" s="10" t="s">
        <v>553</v>
      </c>
      <c r="R1472" s="6"/>
      <c r="S1472" s="6"/>
    </row>
    <row r="1473" spans="1:19" x14ac:dyDescent="0.2">
      <c r="A1473" s="5"/>
      <c r="B1473" s="8" t="s">
        <v>4138</v>
      </c>
      <c r="H1473" s="8" t="s">
        <v>4139</v>
      </c>
      <c r="I1473" s="8" t="s">
        <v>4139</v>
      </c>
      <c r="J1473" s="5">
        <f>147-96+100</f>
        <v>151</v>
      </c>
      <c r="K1473" s="5" t="s">
        <v>292</v>
      </c>
      <c r="L1473" s="5" t="s">
        <v>3723</v>
      </c>
      <c r="M1473" s="5">
        <v>26</v>
      </c>
      <c r="N1473" s="5" t="s">
        <v>3845</v>
      </c>
      <c r="Q1473" s="10"/>
      <c r="R1473" s="6"/>
      <c r="S1473" s="6" t="s">
        <v>328</v>
      </c>
    </row>
    <row r="1474" spans="1:19" x14ac:dyDescent="0.2">
      <c r="A1474" s="5">
        <v>1834</v>
      </c>
      <c r="B1474" s="8" t="s">
        <v>4140</v>
      </c>
      <c r="H1474" s="8" t="s">
        <v>4141</v>
      </c>
      <c r="I1474" s="8" t="s">
        <v>4141</v>
      </c>
      <c r="J1474" s="5">
        <v>802</v>
      </c>
      <c r="K1474" s="5" t="s">
        <v>292</v>
      </c>
      <c r="L1474" s="5" t="s">
        <v>3723</v>
      </c>
      <c r="M1474" s="5">
        <v>26</v>
      </c>
      <c r="N1474" s="5" t="s">
        <v>3724</v>
      </c>
      <c r="O1474" s="5" t="s">
        <v>574</v>
      </c>
      <c r="Q1474" s="10" t="s">
        <v>553</v>
      </c>
      <c r="R1474" s="6"/>
      <c r="S1474" s="6" t="s">
        <v>328</v>
      </c>
    </row>
    <row r="1475" spans="1:19" x14ac:dyDescent="0.2">
      <c r="A1475" s="5">
        <v>1835</v>
      </c>
      <c r="B1475" s="8" t="s">
        <v>4142</v>
      </c>
      <c r="H1475" s="8" t="s">
        <v>4141</v>
      </c>
      <c r="I1475" s="8" t="s">
        <v>4141</v>
      </c>
      <c r="J1475" s="5">
        <f>2093-5</f>
        <v>2088</v>
      </c>
      <c r="K1475" s="5" t="s">
        <v>292</v>
      </c>
      <c r="L1475" s="5" t="s">
        <v>3723</v>
      </c>
      <c r="M1475" s="5">
        <v>26</v>
      </c>
      <c r="N1475" s="5" t="s">
        <v>3724</v>
      </c>
      <c r="O1475" s="5" t="s">
        <v>574</v>
      </c>
      <c r="Q1475" s="10" t="s">
        <v>553</v>
      </c>
      <c r="R1475" s="6"/>
      <c r="S1475" s="6" t="s">
        <v>328</v>
      </c>
    </row>
    <row r="1476" spans="1:19" x14ac:dyDescent="0.2">
      <c r="A1476" s="5">
        <v>1836</v>
      </c>
      <c r="B1476" s="8" t="s">
        <v>4143</v>
      </c>
      <c r="H1476" s="8" t="s">
        <v>4144</v>
      </c>
      <c r="I1476" s="8" t="s">
        <v>4144</v>
      </c>
      <c r="J1476" s="5">
        <v>35</v>
      </c>
      <c r="K1476" s="5" t="s">
        <v>292</v>
      </c>
      <c r="L1476" s="5" t="s">
        <v>3723</v>
      </c>
      <c r="M1476" s="5">
        <v>26</v>
      </c>
      <c r="N1476" s="5" t="s">
        <v>3724</v>
      </c>
      <c r="O1476" s="5" t="s">
        <v>574</v>
      </c>
      <c r="Q1476" s="5" t="s">
        <v>553</v>
      </c>
      <c r="R1476" s="6"/>
      <c r="S1476" s="6" t="s">
        <v>328</v>
      </c>
    </row>
    <row r="1477" spans="1:19" x14ac:dyDescent="0.2">
      <c r="A1477" s="5">
        <v>1837</v>
      </c>
      <c r="B1477" s="8" t="s">
        <v>4145</v>
      </c>
      <c r="H1477" s="8" t="s">
        <v>4144</v>
      </c>
      <c r="I1477" s="8" t="s">
        <v>4144</v>
      </c>
      <c r="J1477" s="5">
        <v>8</v>
      </c>
      <c r="K1477" s="5" t="s">
        <v>292</v>
      </c>
      <c r="L1477" s="5" t="s">
        <v>3723</v>
      </c>
      <c r="M1477" s="5">
        <v>26</v>
      </c>
      <c r="N1477" s="5" t="s">
        <v>3724</v>
      </c>
      <c r="O1477" s="5" t="s">
        <v>574</v>
      </c>
      <c r="Q1477" s="5" t="s">
        <v>553</v>
      </c>
      <c r="R1477" s="6"/>
      <c r="S1477" s="6" t="s">
        <v>328</v>
      </c>
    </row>
    <row r="1478" spans="1:19" x14ac:dyDescent="0.2">
      <c r="A1478" s="5">
        <v>1838</v>
      </c>
      <c r="B1478" s="8" t="s">
        <v>4146</v>
      </c>
      <c r="H1478" s="8" t="s">
        <v>4147</v>
      </c>
      <c r="I1478" s="8" t="s">
        <v>4147</v>
      </c>
      <c r="J1478" s="5">
        <v>143</v>
      </c>
      <c r="K1478" s="5" t="s">
        <v>292</v>
      </c>
      <c r="L1478" s="5" t="s">
        <v>3723</v>
      </c>
      <c r="M1478" s="5">
        <v>26</v>
      </c>
      <c r="N1478" s="5" t="s">
        <v>3724</v>
      </c>
      <c r="O1478" s="5" t="s">
        <v>574</v>
      </c>
      <c r="Q1478" s="5" t="s">
        <v>553</v>
      </c>
      <c r="R1478" s="6"/>
      <c r="S1478" s="6" t="s">
        <v>328</v>
      </c>
    </row>
    <row r="1479" spans="1:19" x14ac:dyDescent="0.2">
      <c r="A1479" s="5">
        <v>1839</v>
      </c>
      <c r="B1479" s="8" t="s">
        <v>4148</v>
      </c>
      <c r="H1479" s="8" t="s">
        <v>4149</v>
      </c>
      <c r="I1479" s="8" t="s">
        <v>4149</v>
      </c>
      <c r="J1479" s="5">
        <v>37</v>
      </c>
      <c r="K1479" s="5" t="s">
        <v>292</v>
      </c>
      <c r="L1479" s="5" t="s">
        <v>3723</v>
      </c>
      <c r="M1479" s="5">
        <v>26</v>
      </c>
      <c r="N1479" s="5" t="s">
        <v>3724</v>
      </c>
      <c r="O1479" s="5" t="s">
        <v>574</v>
      </c>
      <c r="Q1479" s="5" t="s">
        <v>553</v>
      </c>
      <c r="R1479" s="6"/>
      <c r="S1479" s="6" t="s">
        <v>328</v>
      </c>
    </row>
    <row r="1480" spans="1:19" x14ac:dyDescent="0.2">
      <c r="A1480" s="5">
        <v>1840</v>
      </c>
      <c r="B1480" s="8">
        <v>660758</v>
      </c>
      <c r="H1480" s="8" t="s">
        <v>4144</v>
      </c>
      <c r="I1480" s="8" t="s">
        <v>4150</v>
      </c>
      <c r="J1480" s="5">
        <f>485-6+80-12-1-4-4-22-22+9-15-16-16-2</f>
        <v>454</v>
      </c>
      <c r="K1480" s="5" t="s">
        <v>292</v>
      </c>
      <c r="L1480" s="5" t="s">
        <v>3723</v>
      </c>
      <c r="M1480" s="5">
        <v>26</v>
      </c>
      <c r="N1480" s="5" t="s">
        <v>3724</v>
      </c>
      <c r="O1480" s="5" t="s">
        <v>574</v>
      </c>
      <c r="Q1480" s="5" t="s">
        <v>553</v>
      </c>
    </row>
    <row r="1481" spans="1:19" x14ac:dyDescent="0.2">
      <c r="A1481" s="5">
        <v>2374</v>
      </c>
      <c r="B1481" s="8">
        <v>660709</v>
      </c>
      <c r="H1481" s="8" t="s">
        <v>4151</v>
      </c>
      <c r="I1481" s="8" t="s">
        <v>4151</v>
      </c>
      <c r="J1481" s="5">
        <f>200-10</f>
        <v>190</v>
      </c>
      <c r="K1481" s="5" t="s">
        <v>292</v>
      </c>
      <c r="L1481" s="5" t="s">
        <v>3723</v>
      </c>
      <c r="M1481" s="5">
        <v>26</v>
      </c>
      <c r="N1481" s="5" t="s">
        <v>408</v>
      </c>
      <c r="O1481" s="5" t="s">
        <v>789</v>
      </c>
      <c r="Q1481" s="5" t="s">
        <v>3814</v>
      </c>
      <c r="R1481" s="6"/>
      <c r="S1481" s="6"/>
    </row>
    <row r="1482" spans="1:19" x14ac:dyDescent="0.2">
      <c r="A1482" s="5">
        <v>1849</v>
      </c>
      <c r="B1482" s="8" t="s">
        <v>4152</v>
      </c>
      <c r="H1482" s="8" t="s">
        <v>4153</v>
      </c>
      <c r="I1482" s="8" t="s">
        <v>4153</v>
      </c>
      <c r="J1482" s="5">
        <f>648+500</f>
        <v>1148</v>
      </c>
      <c r="K1482" s="5" t="s">
        <v>292</v>
      </c>
      <c r="L1482" s="5" t="s">
        <v>3723</v>
      </c>
      <c r="M1482" s="5">
        <v>27</v>
      </c>
      <c r="N1482" s="5" t="s">
        <v>3724</v>
      </c>
      <c r="O1482" s="5" t="s">
        <v>574</v>
      </c>
      <c r="Q1482" s="5" t="s">
        <v>4154</v>
      </c>
      <c r="R1482" s="6"/>
      <c r="S1482" s="6"/>
    </row>
    <row r="1483" spans="1:19" x14ac:dyDescent="0.2">
      <c r="A1483" s="5"/>
      <c r="B1483" s="8" t="s">
        <v>4155</v>
      </c>
      <c r="H1483" s="8" t="s">
        <v>4156</v>
      </c>
      <c r="I1483" s="8" t="s">
        <v>4156</v>
      </c>
      <c r="J1483" s="5">
        <v>12</v>
      </c>
      <c r="K1483" s="5" t="s">
        <v>292</v>
      </c>
      <c r="L1483" s="5" t="s">
        <v>3723</v>
      </c>
      <c r="M1483" s="5">
        <v>27</v>
      </c>
      <c r="N1483" s="5" t="s">
        <v>3724</v>
      </c>
      <c r="O1483" s="5" t="s">
        <v>574</v>
      </c>
      <c r="R1483" s="6"/>
      <c r="S1483" s="6"/>
    </row>
    <row r="1484" spans="1:19" x14ac:dyDescent="0.2">
      <c r="A1484" s="5"/>
      <c r="B1484" s="8" t="s">
        <v>4157</v>
      </c>
      <c r="H1484" s="8" t="s">
        <v>4158</v>
      </c>
      <c r="I1484" s="8" t="s">
        <v>4158</v>
      </c>
      <c r="J1484" s="5">
        <v>6</v>
      </c>
      <c r="K1484" s="5" t="s">
        <v>292</v>
      </c>
      <c r="L1484" s="5" t="s">
        <v>3723</v>
      </c>
      <c r="M1484" s="5">
        <v>27</v>
      </c>
      <c r="O1484" s="5" t="s">
        <v>574</v>
      </c>
      <c r="R1484" s="6"/>
      <c r="S1484" s="6"/>
    </row>
    <row r="1485" spans="1:19" x14ac:dyDescent="0.2">
      <c r="A1485" s="5"/>
      <c r="B1485" s="8" t="s">
        <v>4159</v>
      </c>
      <c r="H1485" s="8" t="s">
        <v>4160</v>
      </c>
      <c r="I1485" s="8" t="s">
        <v>4160</v>
      </c>
      <c r="J1485" s="5">
        <f>4</f>
        <v>4</v>
      </c>
      <c r="K1485" s="5" t="s">
        <v>21</v>
      </c>
      <c r="L1485" s="5" t="s">
        <v>3723</v>
      </c>
      <c r="M1485" s="5">
        <v>27</v>
      </c>
      <c r="R1485" s="6"/>
      <c r="S1485" s="6"/>
    </row>
    <row r="1486" spans="1:19" x14ac:dyDescent="0.2">
      <c r="A1486" s="5"/>
      <c r="B1486" s="8" t="s">
        <v>4161</v>
      </c>
      <c r="H1486" s="8" t="s">
        <v>4162</v>
      </c>
      <c r="I1486" s="8" t="s">
        <v>4163</v>
      </c>
      <c r="J1486" s="5">
        <f>12-4+20-2+8-20+2+2+362+54-242-154-2-8</f>
        <v>28</v>
      </c>
      <c r="K1486" s="5" t="s">
        <v>21</v>
      </c>
      <c r="L1486" s="5" t="s">
        <v>3723</v>
      </c>
      <c r="M1486" s="5">
        <v>27</v>
      </c>
      <c r="R1486" s="6"/>
      <c r="S1486" s="6"/>
    </row>
    <row r="1487" spans="1:19" x14ac:dyDescent="0.2">
      <c r="A1487" s="5"/>
      <c r="B1487" s="8" t="s">
        <v>4164</v>
      </c>
      <c r="H1487" s="8" t="s">
        <v>4165</v>
      </c>
      <c r="I1487" s="8" t="s">
        <v>4166</v>
      </c>
      <c r="J1487" s="5">
        <f>2</f>
        <v>2</v>
      </c>
      <c r="K1487" s="5" t="s">
        <v>21</v>
      </c>
      <c r="L1487" s="5" t="s">
        <v>3723</v>
      </c>
      <c r="M1487" s="5">
        <v>27</v>
      </c>
      <c r="R1487" s="6"/>
      <c r="S1487" s="6"/>
    </row>
    <row r="1488" spans="1:19" x14ac:dyDescent="0.2">
      <c r="A1488" s="5"/>
      <c r="B1488" s="8" t="s">
        <v>4167</v>
      </c>
      <c r="H1488" s="8" t="s">
        <v>4168</v>
      </c>
      <c r="I1488" s="8" t="s">
        <v>4169</v>
      </c>
      <c r="J1488" s="5">
        <f>4-4</f>
        <v>0</v>
      </c>
      <c r="K1488" s="5" t="s">
        <v>21</v>
      </c>
      <c r="L1488" s="5" t="s">
        <v>3723</v>
      </c>
      <c r="M1488" s="5">
        <v>27</v>
      </c>
      <c r="R1488" s="6"/>
      <c r="S1488" s="6"/>
    </row>
    <row r="1489" spans="1:21" x14ac:dyDescent="0.2">
      <c r="A1489" s="5">
        <v>1735</v>
      </c>
      <c r="B1489" s="8" t="s">
        <v>4170</v>
      </c>
      <c r="H1489" s="8" t="s">
        <v>4171</v>
      </c>
      <c r="I1489" s="8" t="s">
        <v>4171</v>
      </c>
      <c r="J1489" s="5">
        <f>32-6-3-1-1-4-2-6-3+43-44-1-2-1+8+28</f>
        <v>37</v>
      </c>
      <c r="K1489" s="5" t="s">
        <v>292</v>
      </c>
      <c r="L1489" s="5" t="s">
        <v>3723</v>
      </c>
      <c r="M1489" s="5">
        <v>28</v>
      </c>
      <c r="N1489" s="5" t="s">
        <v>3724</v>
      </c>
      <c r="O1489" s="5" t="s">
        <v>574</v>
      </c>
      <c r="Q1489" s="10" t="s">
        <v>553</v>
      </c>
      <c r="R1489" s="6"/>
      <c r="S1489" s="6" t="s">
        <v>328</v>
      </c>
    </row>
    <row r="1490" spans="1:21" x14ac:dyDescent="0.2">
      <c r="A1490" s="5"/>
      <c r="B1490" s="8" t="s">
        <v>4172</v>
      </c>
      <c r="I1490" s="8" t="s">
        <v>4173</v>
      </c>
      <c r="J1490" s="5">
        <f>4-1</f>
        <v>3</v>
      </c>
      <c r="K1490" s="5" t="s">
        <v>292</v>
      </c>
      <c r="L1490" s="5" t="s">
        <v>3723</v>
      </c>
      <c r="M1490" s="5">
        <v>28</v>
      </c>
      <c r="Q1490" s="10"/>
      <c r="R1490" s="6"/>
      <c r="S1490" s="6"/>
    </row>
    <row r="1491" spans="1:21" x14ac:dyDescent="0.2">
      <c r="A1491" s="5">
        <v>1736</v>
      </c>
      <c r="B1491" s="8" t="s">
        <v>4174</v>
      </c>
      <c r="H1491" s="8" t="s">
        <v>4175</v>
      </c>
      <c r="I1491" s="8" t="s">
        <v>4175</v>
      </c>
      <c r="J1491" s="5">
        <v>2</v>
      </c>
      <c r="K1491" s="5" t="s">
        <v>292</v>
      </c>
      <c r="L1491" s="5" t="s">
        <v>3723</v>
      </c>
      <c r="M1491" s="5">
        <v>28</v>
      </c>
      <c r="N1491" s="5" t="s">
        <v>4176</v>
      </c>
      <c r="O1491" s="5" t="s">
        <v>574</v>
      </c>
      <c r="Q1491" s="10" t="s">
        <v>553</v>
      </c>
      <c r="R1491" s="6"/>
      <c r="S1491" s="6" t="s">
        <v>328</v>
      </c>
    </row>
    <row r="1492" spans="1:21" x14ac:dyDescent="0.2">
      <c r="A1492" s="5">
        <v>1737</v>
      </c>
      <c r="B1492" s="8" t="s">
        <v>4177</v>
      </c>
      <c r="H1492" s="8" t="s">
        <v>4178</v>
      </c>
      <c r="I1492" s="8" t="s">
        <v>4178</v>
      </c>
      <c r="J1492" s="5">
        <v>10</v>
      </c>
      <c r="K1492" s="5" t="s">
        <v>292</v>
      </c>
      <c r="L1492" s="5" t="s">
        <v>3723</v>
      </c>
      <c r="M1492" s="5">
        <v>28</v>
      </c>
      <c r="N1492" s="5" t="s">
        <v>3824</v>
      </c>
      <c r="O1492" s="5" t="s">
        <v>574</v>
      </c>
      <c r="Q1492" s="10" t="s">
        <v>553</v>
      </c>
      <c r="R1492" s="6"/>
      <c r="S1492" s="6" t="s">
        <v>328</v>
      </c>
    </row>
    <row r="1493" spans="1:21" x14ac:dyDescent="0.2">
      <c r="A1493" s="5">
        <v>1738</v>
      </c>
      <c r="B1493" s="8">
        <v>3054585</v>
      </c>
      <c r="H1493" s="8" t="s">
        <v>4179</v>
      </c>
      <c r="I1493" s="8" t="s">
        <v>4180</v>
      </c>
      <c r="J1493" s="5">
        <v>1</v>
      </c>
      <c r="K1493" s="5" t="s">
        <v>292</v>
      </c>
      <c r="L1493" s="5" t="s">
        <v>3723</v>
      </c>
      <c r="M1493" s="5">
        <v>28</v>
      </c>
      <c r="N1493" s="5" t="s">
        <v>3829</v>
      </c>
      <c r="O1493" s="5" t="s">
        <v>574</v>
      </c>
      <c r="Q1493" s="10" t="s">
        <v>553</v>
      </c>
      <c r="R1493" s="6"/>
      <c r="S1493" s="6" t="s">
        <v>328</v>
      </c>
    </row>
    <row r="1494" spans="1:21" x14ac:dyDescent="0.2">
      <c r="A1494" s="5">
        <v>1739</v>
      </c>
      <c r="B1494" s="8" t="s">
        <v>4181</v>
      </c>
      <c r="H1494" s="8" t="s">
        <v>4182</v>
      </c>
      <c r="I1494" s="8" t="s">
        <v>4183</v>
      </c>
      <c r="J1494" s="5">
        <v>1</v>
      </c>
      <c r="K1494" s="5" t="s">
        <v>292</v>
      </c>
      <c r="L1494" s="5" t="s">
        <v>3723</v>
      </c>
      <c r="M1494" s="5">
        <v>28</v>
      </c>
      <c r="N1494" s="5" t="s">
        <v>3829</v>
      </c>
      <c r="O1494" s="5" t="s">
        <v>574</v>
      </c>
      <c r="Q1494" s="10" t="s">
        <v>553</v>
      </c>
      <c r="R1494" s="6"/>
      <c r="S1494" s="6" t="s">
        <v>328</v>
      </c>
    </row>
    <row r="1495" spans="1:21" x14ac:dyDescent="0.2">
      <c r="A1495" s="5">
        <v>1740</v>
      </c>
      <c r="B1495" s="8" t="s">
        <v>4184</v>
      </c>
      <c r="H1495" s="8" t="s">
        <v>4185</v>
      </c>
      <c r="I1495" s="8" t="s">
        <v>4185</v>
      </c>
      <c r="J1495" s="5">
        <f>7+8</f>
        <v>15</v>
      </c>
      <c r="K1495" s="5" t="s">
        <v>292</v>
      </c>
      <c r="L1495" s="5" t="s">
        <v>3723</v>
      </c>
      <c r="M1495" s="5">
        <v>28</v>
      </c>
      <c r="N1495" s="5" t="s">
        <v>4186</v>
      </c>
      <c r="O1495" s="5" t="s">
        <v>574</v>
      </c>
      <c r="Q1495" s="10" t="s">
        <v>553</v>
      </c>
      <c r="R1495" s="6"/>
      <c r="S1495" s="13"/>
    </row>
    <row r="1496" spans="1:21" x14ac:dyDescent="0.2">
      <c r="A1496" s="5">
        <v>1665</v>
      </c>
      <c r="B1496" s="8" t="s">
        <v>4187</v>
      </c>
      <c r="H1496" s="8" t="s">
        <v>4188</v>
      </c>
      <c r="I1496" s="8" t="s">
        <v>4188</v>
      </c>
      <c r="J1496" s="5">
        <f>2300-100-200-100-100-100-15-100-200-400</f>
        <v>985</v>
      </c>
      <c r="K1496" s="5" t="s">
        <v>4027</v>
      </c>
      <c r="L1496" s="5" t="s">
        <v>3723</v>
      </c>
      <c r="M1496" s="5">
        <v>29</v>
      </c>
      <c r="N1496" s="5" t="s">
        <v>4189</v>
      </c>
      <c r="O1496" s="5" t="s">
        <v>574</v>
      </c>
      <c r="Q1496" s="5" t="s">
        <v>4190</v>
      </c>
      <c r="R1496" s="6"/>
      <c r="S1496" s="6" t="s">
        <v>328</v>
      </c>
    </row>
    <row r="1497" spans="1:21" x14ac:dyDescent="0.2">
      <c r="A1497" s="5">
        <v>1666</v>
      </c>
      <c r="B1497" s="8" t="s">
        <v>4191</v>
      </c>
      <c r="H1497" s="8" t="s">
        <v>4192</v>
      </c>
      <c r="I1497" s="8" t="s">
        <v>4193</v>
      </c>
      <c r="J1497" s="5">
        <f>340-100-50</f>
        <v>190</v>
      </c>
      <c r="K1497" s="5" t="s">
        <v>292</v>
      </c>
      <c r="L1497" s="5" t="s">
        <v>3723</v>
      </c>
      <c r="M1497" s="5">
        <v>29</v>
      </c>
      <c r="N1497" s="5" t="s">
        <v>4189</v>
      </c>
      <c r="O1497" s="5" t="s">
        <v>574</v>
      </c>
      <c r="Q1497" s="10" t="s">
        <v>553</v>
      </c>
      <c r="R1497" s="6"/>
      <c r="S1497" s="6"/>
    </row>
    <row r="1498" spans="1:21" x14ac:dyDescent="0.2">
      <c r="A1498" s="5"/>
      <c r="B1498" s="8" t="s">
        <v>553</v>
      </c>
      <c r="H1498" s="8" t="s">
        <v>4194</v>
      </c>
      <c r="I1498" s="8" t="s">
        <v>4194</v>
      </c>
      <c r="J1498" s="5">
        <f>68-20</f>
        <v>48</v>
      </c>
      <c r="K1498" s="5" t="s">
        <v>292</v>
      </c>
      <c r="L1498" s="5" t="s">
        <v>3723</v>
      </c>
      <c r="M1498" s="5">
        <v>29</v>
      </c>
      <c r="N1498" s="5" t="s">
        <v>4189</v>
      </c>
      <c r="Q1498" s="10"/>
      <c r="R1498" s="6"/>
      <c r="S1498" s="6"/>
      <c r="U1498" t="s">
        <v>2789</v>
      </c>
    </row>
    <row r="1499" spans="1:21" x14ac:dyDescent="0.2">
      <c r="A1499" s="5">
        <v>1694</v>
      </c>
      <c r="B1499" s="8" t="s">
        <v>4195</v>
      </c>
      <c r="H1499" s="8" t="s">
        <v>4196</v>
      </c>
      <c r="I1499" s="8" t="s">
        <v>4196</v>
      </c>
      <c r="J1499" s="5">
        <f>140-4-40-1-4-2-2-2-2-2-2-2-2-4-60+80+16-40+100</f>
        <v>167</v>
      </c>
      <c r="K1499" s="5" t="s">
        <v>292</v>
      </c>
      <c r="L1499" s="5" t="s">
        <v>3723</v>
      </c>
      <c r="M1499" s="5">
        <v>30</v>
      </c>
      <c r="N1499" s="5" t="s">
        <v>4197</v>
      </c>
      <c r="O1499" s="5" t="s">
        <v>574</v>
      </c>
      <c r="Q1499" s="5" t="s">
        <v>4198</v>
      </c>
      <c r="R1499" s="6"/>
      <c r="S1499" s="6"/>
    </row>
    <row r="1500" spans="1:21" x14ac:dyDescent="0.2">
      <c r="A1500" s="5">
        <v>1684</v>
      </c>
      <c r="B1500" s="8">
        <v>128811</v>
      </c>
      <c r="H1500" s="8" t="s">
        <v>4199</v>
      </c>
      <c r="I1500" s="8" t="s">
        <v>4199</v>
      </c>
      <c r="J1500" s="5">
        <f>474-2+4</f>
        <v>476</v>
      </c>
      <c r="K1500" s="5" t="s">
        <v>292</v>
      </c>
      <c r="L1500" s="5" t="s">
        <v>3723</v>
      </c>
      <c r="M1500" s="5">
        <v>30</v>
      </c>
      <c r="N1500" s="5" t="s">
        <v>4197</v>
      </c>
      <c r="O1500" s="5" t="s">
        <v>574</v>
      </c>
      <c r="Q1500" s="10" t="s">
        <v>553</v>
      </c>
      <c r="R1500" s="6"/>
      <c r="S1500" s="6" t="s">
        <v>328</v>
      </c>
    </row>
    <row r="1501" spans="1:21" x14ac:dyDescent="0.2">
      <c r="A1501" s="5">
        <v>1685</v>
      </c>
      <c r="B1501" s="8">
        <v>128827</v>
      </c>
      <c r="H1501" s="8" t="s">
        <v>4200</v>
      </c>
      <c r="I1501" s="8" t="s">
        <v>4200</v>
      </c>
      <c r="J1501" s="5">
        <f>94</f>
        <v>94</v>
      </c>
      <c r="K1501" s="5" t="s">
        <v>292</v>
      </c>
      <c r="L1501" s="5" t="s">
        <v>3723</v>
      </c>
      <c r="M1501" s="5">
        <v>30</v>
      </c>
      <c r="N1501" s="5" t="s">
        <v>4197</v>
      </c>
      <c r="Q1501" s="107"/>
      <c r="R1501" s="6"/>
      <c r="S1501" s="6" t="s">
        <v>328</v>
      </c>
    </row>
    <row r="1502" spans="1:21" x14ac:dyDescent="0.2">
      <c r="A1502" s="5">
        <v>1686</v>
      </c>
      <c r="B1502" s="8">
        <v>689574</v>
      </c>
      <c r="H1502" s="8" t="s">
        <v>4201</v>
      </c>
      <c r="I1502" s="8" t="s">
        <v>4201</v>
      </c>
      <c r="J1502" s="5">
        <f>500-10-6</f>
        <v>484</v>
      </c>
      <c r="K1502" s="5" t="s">
        <v>292</v>
      </c>
      <c r="L1502" s="5" t="s">
        <v>3723</v>
      </c>
      <c r="M1502" s="5">
        <v>30</v>
      </c>
      <c r="N1502" s="5" t="s">
        <v>4197</v>
      </c>
      <c r="O1502" s="5" t="s">
        <v>574</v>
      </c>
      <c r="Q1502" s="10" t="s">
        <v>553</v>
      </c>
      <c r="R1502" s="6"/>
      <c r="S1502" s="6" t="s">
        <v>328</v>
      </c>
    </row>
    <row r="1503" spans="1:21" x14ac:dyDescent="0.2">
      <c r="A1503" s="5">
        <v>1687</v>
      </c>
      <c r="B1503" s="8" t="s">
        <v>4202</v>
      </c>
      <c r="H1503" s="8" t="s">
        <v>4203</v>
      </c>
      <c r="I1503" s="8" t="s">
        <v>4203</v>
      </c>
      <c r="J1503" s="5">
        <f>7</f>
        <v>7</v>
      </c>
      <c r="K1503" s="5" t="s">
        <v>292</v>
      </c>
      <c r="L1503" s="5" t="s">
        <v>3723</v>
      </c>
      <c r="M1503" s="5">
        <v>30</v>
      </c>
      <c r="N1503" s="5" t="s">
        <v>4197</v>
      </c>
      <c r="Q1503" s="107" t="s">
        <v>553</v>
      </c>
      <c r="R1503" s="6"/>
      <c r="S1503" s="6" t="s">
        <v>328</v>
      </c>
    </row>
    <row r="1504" spans="1:21" x14ac:dyDescent="0.2">
      <c r="A1504" s="5">
        <v>1688</v>
      </c>
      <c r="B1504" s="8" t="s">
        <v>4204</v>
      </c>
      <c r="H1504" s="8" t="s">
        <v>4205</v>
      </c>
      <c r="I1504" s="8" t="s">
        <v>4205</v>
      </c>
      <c r="J1504" s="5">
        <f>17</f>
        <v>17</v>
      </c>
      <c r="K1504" s="5" t="s">
        <v>292</v>
      </c>
      <c r="L1504" s="5" t="s">
        <v>3723</v>
      </c>
      <c r="M1504" s="5">
        <v>30</v>
      </c>
      <c r="N1504" s="5" t="s">
        <v>4197</v>
      </c>
      <c r="O1504" s="5" t="s">
        <v>574</v>
      </c>
      <c r="Q1504" s="10" t="s">
        <v>553</v>
      </c>
      <c r="R1504" s="6"/>
      <c r="S1504" s="6" t="s">
        <v>328</v>
      </c>
    </row>
    <row r="1505" spans="1:19" x14ac:dyDescent="0.2">
      <c r="A1505" s="5">
        <v>1689</v>
      </c>
      <c r="B1505" s="8" t="s">
        <v>4206</v>
      </c>
      <c r="H1505" s="8" t="s">
        <v>4207</v>
      </c>
      <c r="I1505" s="8" t="s">
        <v>4207</v>
      </c>
      <c r="J1505" s="5">
        <f>88-80+100-2-2-40-2-4-20-20+30</f>
        <v>48</v>
      </c>
      <c r="K1505" s="5" t="s">
        <v>292</v>
      </c>
      <c r="L1505" s="5" t="s">
        <v>3723</v>
      </c>
      <c r="M1505" s="5">
        <v>30</v>
      </c>
      <c r="N1505" s="5" t="s">
        <v>4197</v>
      </c>
      <c r="Q1505" s="107" t="s">
        <v>4208</v>
      </c>
      <c r="R1505" s="6"/>
      <c r="S1505" s="6" t="s">
        <v>328</v>
      </c>
    </row>
    <row r="1506" spans="1:19" x14ac:dyDescent="0.2">
      <c r="A1506" s="5">
        <v>1690</v>
      </c>
      <c r="B1506" s="8" t="s">
        <v>4209</v>
      </c>
      <c r="H1506" s="8" t="s">
        <v>4210</v>
      </c>
      <c r="I1506" s="8" t="s">
        <v>4210</v>
      </c>
      <c r="J1506" s="5">
        <f>9-1</f>
        <v>8</v>
      </c>
      <c r="K1506" s="5" t="s">
        <v>292</v>
      </c>
      <c r="L1506" s="5" t="s">
        <v>3723</v>
      </c>
      <c r="M1506" s="5">
        <v>30</v>
      </c>
      <c r="N1506" s="5" t="s">
        <v>4197</v>
      </c>
      <c r="O1506" s="5" t="s">
        <v>574</v>
      </c>
      <c r="Q1506" s="10" t="s">
        <v>553</v>
      </c>
      <c r="R1506" s="6"/>
      <c r="S1506" s="6" t="s">
        <v>328</v>
      </c>
    </row>
    <row r="1507" spans="1:19" x14ac:dyDescent="0.2">
      <c r="A1507" s="5">
        <v>1691</v>
      </c>
      <c r="B1507" s="8" t="s">
        <v>4211</v>
      </c>
      <c r="H1507" s="8" t="s">
        <v>4212</v>
      </c>
      <c r="I1507" s="8" t="s">
        <v>4212</v>
      </c>
      <c r="J1507" s="5">
        <f>54-1-1-3-1-20-14</f>
        <v>14</v>
      </c>
      <c r="K1507" s="5" t="s">
        <v>292</v>
      </c>
      <c r="L1507" s="5" t="s">
        <v>3723</v>
      </c>
      <c r="M1507" s="5">
        <v>30</v>
      </c>
      <c r="N1507" s="5" t="s">
        <v>4197</v>
      </c>
      <c r="Q1507" s="107" t="s">
        <v>553</v>
      </c>
      <c r="R1507" s="6"/>
      <c r="S1507" s="6"/>
    </row>
    <row r="1508" spans="1:19" x14ac:dyDescent="0.2">
      <c r="A1508" s="5">
        <v>1693</v>
      </c>
      <c r="B1508" s="8" t="s">
        <v>4213</v>
      </c>
      <c r="H1508" s="8" t="s">
        <v>4214</v>
      </c>
      <c r="I1508" s="8" t="s">
        <v>4214</v>
      </c>
      <c r="J1508" s="5">
        <f>74-1-1+19</f>
        <v>91</v>
      </c>
      <c r="K1508" s="5" t="s">
        <v>292</v>
      </c>
      <c r="L1508" s="5" t="s">
        <v>3723</v>
      </c>
      <c r="M1508" s="5">
        <v>30</v>
      </c>
      <c r="N1508" s="5" t="s">
        <v>4197</v>
      </c>
      <c r="Q1508" s="107"/>
      <c r="R1508" s="6"/>
      <c r="S1508" s="6"/>
    </row>
    <row r="1509" spans="1:19" x14ac:dyDescent="0.2">
      <c r="A1509" s="5">
        <v>1695</v>
      </c>
      <c r="B1509" s="8" t="s">
        <v>4215</v>
      </c>
      <c r="H1509" s="8" t="s">
        <v>4216</v>
      </c>
      <c r="I1509" s="8" t="s">
        <v>4216</v>
      </c>
      <c r="J1509" s="5">
        <f>146-1</f>
        <v>145</v>
      </c>
      <c r="K1509" s="5" t="s">
        <v>292</v>
      </c>
      <c r="L1509" s="5" t="s">
        <v>3723</v>
      </c>
      <c r="M1509" s="5">
        <v>30</v>
      </c>
      <c r="N1509" s="5" t="s">
        <v>4197</v>
      </c>
      <c r="Q1509" s="107" t="s">
        <v>4217</v>
      </c>
      <c r="R1509" s="6"/>
      <c r="S1509" s="6" t="s">
        <v>328</v>
      </c>
    </row>
    <row r="1510" spans="1:19" ht="17.25" customHeight="1" x14ac:dyDescent="0.2">
      <c r="A1510" s="5">
        <v>1698</v>
      </c>
      <c r="B1510" s="8" t="s">
        <v>4218</v>
      </c>
      <c r="H1510" s="8" t="s">
        <v>4219</v>
      </c>
      <c r="I1510" s="8" t="s">
        <v>4219</v>
      </c>
      <c r="J1510" s="5">
        <f>2</f>
        <v>2</v>
      </c>
      <c r="K1510" s="5" t="s">
        <v>292</v>
      </c>
      <c r="L1510" s="5" t="s">
        <v>3723</v>
      </c>
      <c r="M1510" s="5">
        <v>30</v>
      </c>
      <c r="N1510" s="5" t="s">
        <v>4197</v>
      </c>
      <c r="O1510" s="5" t="s">
        <v>574</v>
      </c>
      <c r="Q1510" s="10" t="s">
        <v>553</v>
      </c>
      <c r="R1510" s="6"/>
      <c r="S1510" s="6" t="s">
        <v>328</v>
      </c>
    </row>
    <row r="1511" spans="1:19" ht="17.25" customHeight="1" x14ac:dyDescent="0.2">
      <c r="A1511" s="5"/>
      <c r="B1511" s="8" t="s">
        <v>4220</v>
      </c>
      <c r="I1511" s="8" t="s">
        <v>4221</v>
      </c>
      <c r="J1511" s="5">
        <f>127-60-50</f>
        <v>17</v>
      </c>
      <c r="K1511" s="5" t="s">
        <v>292</v>
      </c>
      <c r="L1511" s="5" t="s">
        <v>3723</v>
      </c>
      <c r="M1511" s="5">
        <v>30</v>
      </c>
      <c r="Q1511" s="10"/>
      <c r="R1511" s="6"/>
      <c r="S1511" s="6"/>
    </row>
    <row r="1512" spans="1:19" ht="17.25" customHeight="1" x14ac:dyDescent="0.2">
      <c r="A1512" s="5"/>
      <c r="B1512" s="8" t="s">
        <v>4222</v>
      </c>
      <c r="I1512" s="8" t="s">
        <v>4221</v>
      </c>
      <c r="J1512" s="5">
        <f>18</f>
        <v>18</v>
      </c>
      <c r="K1512" s="5" t="s">
        <v>292</v>
      </c>
      <c r="L1512" s="5" t="s">
        <v>3723</v>
      </c>
      <c r="M1512" s="5">
        <v>30</v>
      </c>
      <c r="Q1512" s="10"/>
      <c r="R1512" s="6"/>
      <c r="S1512" s="6"/>
    </row>
    <row r="1513" spans="1:19" x14ac:dyDescent="0.2">
      <c r="A1513" s="5">
        <v>1700</v>
      </c>
      <c r="B1513" s="8" t="s">
        <v>4223</v>
      </c>
      <c r="H1513" s="8" t="s">
        <v>4224</v>
      </c>
      <c r="I1513" s="8" t="s">
        <v>4224</v>
      </c>
      <c r="J1513" s="5">
        <f>7</f>
        <v>7</v>
      </c>
      <c r="K1513" s="5" t="s">
        <v>292</v>
      </c>
      <c r="L1513" s="5" t="s">
        <v>3723</v>
      </c>
      <c r="M1513" s="5">
        <v>30</v>
      </c>
      <c r="N1513" s="5" t="s">
        <v>4197</v>
      </c>
      <c r="O1513" s="5" t="s">
        <v>574</v>
      </c>
      <c r="Q1513" s="10" t="s">
        <v>553</v>
      </c>
      <c r="R1513" s="6"/>
      <c r="S1513" s="6" t="s">
        <v>328</v>
      </c>
    </row>
    <row r="1514" spans="1:19" x14ac:dyDescent="0.2">
      <c r="A1514" s="5">
        <v>1701</v>
      </c>
      <c r="B1514" s="8" t="s">
        <v>4225</v>
      </c>
      <c r="C1514" s="34"/>
      <c r="H1514" s="108" t="s">
        <v>4226</v>
      </c>
      <c r="I1514" s="108" t="s">
        <v>4226</v>
      </c>
      <c r="J1514" s="5">
        <f>234-1-1-1-1-4-3-1-1-1-1-1-3-3+57+3-1-9-8</f>
        <v>254</v>
      </c>
      <c r="K1514" s="5" t="s">
        <v>21</v>
      </c>
      <c r="L1514" s="5" t="s">
        <v>3723</v>
      </c>
      <c r="M1514" s="5">
        <v>30</v>
      </c>
      <c r="N1514" s="5" t="s">
        <v>4197</v>
      </c>
      <c r="O1514" s="5" t="s">
        <v>574</v>
      </c>
      <c r="Q1514" s="10"/>
      <c r="R1514" s="6"/>
      <c r="S1514" s="6"/>
    </row>
    <row r="1515" spans="1:19" x14ac:dyDescent="0.2">
      <c r="A1515" s="5"/>
      <c r="B1515" s="8" t="s">
        <v>226</v>
      </c>
      <c r="H1515" s="8" t="s">
        <v>4227</v>
      </c>
      <c r="I1515" s="8" t="s">
        <v>4227</v>
      </c>
      <c r="J1515" s="5">
        <f>100-72-19-2+7-3-1-3+100-10-9</f>
        <v>88</v>
      </c>
      <c r="K1515" s="5" t="s">
        <v>292</v>
      </c>
      <c r="L1515" s="5" t="s">
        <v>3723</v>
      </c>
      <c r="M1515" s="5">
        <v>30</v>
      </c>
      <c r="N1515" s="5" t="s">
        <v>4197</v>
      </c>
      <c r="Q1515" s="107" t="s">
        <v>4228</v>
      </c>
      <c r="R1515" s="6"/>
      <c r="S1515" s="6"/>
    </row>
    <row r="1516" spans="1:19" x14ac:dyDescent="0.2">
      <c r="A1516" s="5"/>
      <c r="B1516" s="8" t="s">
        <v>4229</v>
      </c>
      <c r="H1516" s="108" t="s">
        <v>4230</v>
      </c>
      <c r="I1516" s="108" t="s">
        <v>4230</v>
      </c>
      <c r="J1516" s="5">
        <f>338-21-6-15-2+4-7-3-8-5+8-2-2-2-18-16-40-45</f>
        <v>158</v>
      </c>
      <c r="K1516" s="5" t="s">
        <v>292</v>
      </c>
      <c r="L1516" s="5" t="s">
        <v>3723</v>
      </c>
      <c r="M1516" s="5">
        <v>30</v>
      </c>
      <c r="N1516" s="5" t="s">
        <v>4197</v>
      </c>
      <c r="O1516" s="5" t="s">
        <v>574</v>
      </c>
      <c r="Q1516" s="5" t="s">
        <v>4231</v>
      </c>
      <c r="R1516" s="6"/>
      <c r="S1516" s="6"/>
    </row>
    <row r="1517" spans="1:19" x14ac:dyDescent="0.2">
      <c r="A1517" s="5"/>
      <c r="B1517" s="8" t="s">
        <v>4232</v>
      </c>
      <c r="H1517" s="8" t="s">
        <v>4233</v>
      </c>
      <c r="I1517" s="8" t="s">
        <v>4233</v>
      </c>
      <c r="J1517" s="5">
        <f>100-48+18-1-1-2-12-8-8-8-14-2+100-1-37-2-4+8-32+1-3</f>
        <v>44</v>
      </c>
      <c r="K1517" s="5" t="s">
        <v>292</v>
      </c>
      <c r="L1517" s="5" t="s">
        <v>3723</v>
      </c>
      <c r="M1517" s="5">
        <v>30</v>
      </c>
      <c r="N1517" s="5" t="s">
        <v>4197</v>
      </c>
      <c r="Q1517" s="107" t="s">
        <v>4234</v>
      </c>
      <c r="R1517" s="6"/>
      <c r="S1517" s="6"/>
    </row>
    <row r="1518" spans="1:19" x14ac:dyDescent="0.2">
      <c r="A1518" s="5"/>
      <c r="B1518" s="133" t="s">
        <v>4235</v>
      </c>
      <c r="H1518" s="108" t="s">
        <v>4236</v>
      </c>
      <c r="I1518" s="108" t="s">
        <v>4236</v>
      </c>
      <c r="J1518" s="5">
        <f>50-4-6-2-8-2-2-2-1-1-2-2-2-2-2-4-6+20-6+2-2-2+50-18-16</f>
        <v>30</v>
      </c>
      <c r="K1518" s="5" t="s">
        <v>21</v>
      </c>
      <c r="L1518" s="5" t="s">
        <v>3723</v>
      </c>
      <c r="M1518" s="5">
        <v>30</v>
      </c>
      <c r="N1518" s="5" t="s">
        <v>4197</v>
      </c>
      <c r="Q1518" s="107" t="s">
        <v>4237</v>
      </c>
      <c r="R1518" s="6"/>
      <c r="S1518" s="6"/>
    </row>
    <row r="1519" spans="1:19" x14ac:dyDescent="0.2">
      <c r="A1519" s="5"/>
      <c r="B1519" s="8" t="s">
        <v>4238</v>
      </c>
      <c r="H1519" s="8" t="s">
        <v>4239</v>
      </c>
      <c r="I1519" s="8" t="s">
        <v>4239</v>
      </c>
      <c r="J1519" s="5">
        <f>18</f>
        <v>18</v>
      </c>
      <c r="K1519" s="5" t="s">
        <v>292</v>
      </c>
      <c r="L1519" s="5" t="s">
        <v>3723</v>
      </c>
      <c r="M1519" s="5">
        <v>30</v>
      </c>
      <c r="N1519" s="5" t="s">
        <v>4197</v>
      </c>
      <c r="O1519" s="5" t="s">
        <v>574</v>
      </c>
      <c r="R1519" s="6"/>
      <c r="S1519" s="6"/>
    </row>
    <row r="1520" spans="1:19" x14ac:dyDescent="0.2">
      <c r="A1520" s="5"/>
      <c r="B1520" s="8" t="s">
        <v>4240</v>
      </c>
      <c r="H1520" s="8" t="s">
        <v>4241</v>
      </c>
      <c r="I1520" s="8" t="s">
        <v>4241</v>
      </c>
      <c r="J1520" s="5">
        <f>6-1</f>
        <v>5</v>
      </c>
      <c r="K1520" s="5" t="s">
        <v>292</v>
      </c>
      <c r="L1520" s="5" t="s">
        <v>3723</v>
      </c>
      <c r="M1520" s="5">
        <v>30</v>
      </c>
      <c r="N1520" s="5" t="s">
        <v>4197</v>
      </c>
      <c r="O1520" s="5" t="s">
        <v>574</v>
      </c>
      <c r="Q1520" s="10" t="s">
        <v>553</v>
      </c>
      <c r="R1520" s="6"/>
      <c r="S1520" s="6"/>
    </row>
    <row r="1521" spans="1:19" x14ac:dyDescent="0.2">
      <c r="A1521" s="5"/>
      <c r="B1521" s="8" t="s">
        <v>4242</v>
      </c>
      <c r="H1521" s="8" t="s">
        <v>4243</v>
      </c>
      <c r="I1521" s="8" t="s">
        <v>4243</v>
      </c>
      <c r="J1521" s="5">
        <f>8-1-1</f>
        <v>6</v>
      </c>
      <c r="K1521" s="5" t="s">
        <v>292</v>
      </c>
      <c r="L1521" s="5" t="s">
        <v>3723</v>
      </c>
      <c r="M1521" s="5">
        <v>30</v>
      </c>
      <c r="N1521" s="5" t="s">
        <v>4197</v>
      </c>
      <c r="O1521" s="5" t="s">
        <v>574</v>
      </c>
      <c r="Q1521" s="10" t="s">
        <v>553</v>
      </c>
      <c r="R1521" s="6"/>
      <c r="S1521" s="6"/>
    </row>
    <row r="1522" spans="1:19" x14ac:dyDescent="0.2">
      <c r="A1522" s="5"/>
      <c r="B1522" s="8" t="s">
        <v>4244</v>
      </c>
      <c r="H1522" s="8" t="s">
        <v>4245</v>
      </c>
      <c r="I1522" s="8" t="s">
        <v>4245</v>
      </c>
      <c r="J1522" s="5">
        <f>206-2</f>
        <v>204</v>
      </c>
      <c r="K1522" s="5" t="s">
        <v>292</v>
      </c>
      <c r="L1522" s="5" t="s">
        <v>3723</v>
      </c>
      <c r="M1522" s="5">
        <v>30</v>
      </c>
      <c r="N1522" s="5" t="s">
        <v>4197</v>
      </c>
      <c r="O1522" s="5" t="s">
        <v>574</v>
      </c>
      <c r="Q1522" s="10" t="s">
        <v>553</v>
      </c>
      <c r="R1522" s="6"/>
      <c r="S1522" s="6"/>
    </row>
    <row r="1523" spans="1:19" x14ac:dyDescent="0.2">
      <c r="A1523" s="5"/>
      <c r="B1523" s="8" t="s">
        <v>4246</v>
      </c>
      <c r="H1523" s="8" t="s">
        <v>4247</v>
      </c>
      <c r="I1523" s="8" t="s">
        <v>4247</v>
      </c>
      <c r="J1523" s="5">
        <v>349</v>
      </c>
      <c r="K1523" s="5" t="s">
        <v>292</v>
      </c>
      <c r="L1523" s="5" t="s">
        <v>3723</v>
      </c>
      <c r="M1523" s="5">
        <v>30</v>
      </c>
      <c r="N1523" s="5" t="s">
        <v>4197</v>
      </c>
      <c r="O1523" s="5" t="s">
        <v>574</v>
      </c>
      <c r="Q1523" s="10" t="s">
        <v>553</v>
      </c>
      <c r="R1523" s="6"/>
      <c r="S1523" s="6"/>
    </row>
    <row r="1524" spans="1:19" x14ac:dyDescent="0.2">
      <c r="A1524" s="5"/>
      <c r="B1524" s="8" t="s">
        <v>4248</v>
      </c>
      <c r="H1524" s="8" t="s">
        <v>4249</v>
      </c>
      <c r="I1524" s="8" t="s">
        <v>4249</v>
      </c>
      <c r="J1524" s="5">
        <f>5-3</f>
        <v>2</v>
      </c>
      <c r="K1524" s="5" t="s">
        <v>292</v>
      </c>
      <c r="L1524" s="5" t="s">
        <v>3723</v>
      </c>
      <c r="M1524" s="5">
        <v>30</v>
      </c>
      <c r="N1524" s="5" t="s">
        <v>4197</v>
      </c>
      <c r="Q1524" s="107" t="s">
        <v>4250</v>
      </c>
      <c r="R1524" s="6"/>
      <c r="S1524" s="6"/>
    </row>
    <row r="1525" spans="1:19" x14ac:dyDescent="0.2">
      <c r="A1525" s="5"/>
      <c r="B1525" s="8" t="s">
        <v>4251</v>
      </c>
      <c r="H1525" s="8" t="s">
        <v>4252</v>
      </c>
      <c r="I1525" s="8" t="s">
        <v>4252</v>
      </c>
      <c r="J1525" s="5">
        <f>80</f>
        <v>80</v>
      </c>
      <c r="K1525" s="5" t="s">
        <v>292</v>
      </c>
      <c r="L1525" s="5" t="s">
        <v>3723</v>
      </c>
      <c r="M1525" s="5">
        <v>30</v>
      </c>
      <c r="N1525" s="5" t="s">
        <v>4197</v>
      </c>
      <c r="Q1525" s="107"/>
      <c r="R1525" s="6"/>
      <c r="S1525" s="6"/>
    </row>
    <row r="1526" spans="1:19" x14ac:dyDescent="0.2">
      <c r="A1526" s="5"/>
      <c r="B1526" s="8" t="s">
        <v>226</v>
      </c>
      <c r="H1526" s="8" t="s">
        <v>4253</v>
      </c>
      <c r="I1526" s="8" t="s">
        <v>4253</v>
      </c>
      <c r="J1526" s="5">
        <f>1-1+64-8-1-10-20-21+10-4-2-1</f>
        <v>7</v>
      </c>
      <c r="K1526" s="5" t="s">
        <v>292</v>
      </c>
      <c r="L1526" s="5" t="s">
        <v>3723</v>
      </c>
      <c r="M1526" s="5">
        <v>30</v>
      </c>
      <c r="N1526" s="5" t="s">
        <v>4197</v>
      </c>
      <c r="Q1526" s="107" t="s">
        <v>4254</v>
      </c>
      <c r="R1526" s="6"/>
      <c r="S1526" s="6"/>
    </row>
    <row r="1527" spans="1:19" x14ac:dyDescent="0.2">
      <c r="A1527" s="5"/>
      <c r="B1527" s="8" t="s">
        <v>229</v>
      </c>
      <c r="H1527" s="8" t="s">
        <v>4255</v>
      </c>
      <c r="I1527" s="8" t="s">
        <v>4255</v>
      </c>
      <c r="J1527" s="5">
        <f>3+76-1-8-2-8+2-8-2-2-5-10-10-14+20-1-2+24-1-8-8-1-1+200-2-13+39</f>
        <v>257</v>
      </c>
      <c r="K1527" s="5" t="s">
        <v>292</v>
      </c>
      <c r="L1527" s="5" t="s">
        <v>3723</v>
      </c>
      <c r="M1527" s="5">
        <v>30</v>
      </c>
      <c r="N1527" s="5" t="s">
        <v>4197</v>
      </c>
      <c r="Q1527" s="107" t="s">
        <v>4254</v>
      </c>
      <c r="R1527" s="6"/>
      <c r="S1527" s="6"/>
    </row>
    <row r="1528" spans="1:19" x14ac:dyDescent="0.2">
      <c r="A1528" s="5"/>
      <c r="B1528" s="8" t="s">
        <v>4256</v>
      </c>
      <c r="H1528" s="8" t="s">
        <v>4257</v>
      </c>
      <c r="I1528" s="8" t="s">
        <v>4257</v>
      </c>
      <c r="J1528" s="5">
        <v>6</v>
      </c>
      <c r="K1528" s="5" t="s">
        <v>292</v>
      </c>
      <c r="L1528" s="5" t="s">
        <v>3723</v>
      </c>
      <c r="M1528" s="5">
        <v>30</v>
      </c>
      <c r="N1528" s="5" t="s">
        <v>4197</v>
      </c>
      <c r="O1528" s="5" t="s">
        <v>574</v>
      </c>
      <c r="R1528" s="6"/>
      <c r="S1528" s="6"/>
    </row>
    <row r="1529" spans="1:19" x14ac:dyDescent="0.2">
      <c r="A1529" s="5"/>
      <c r="B1529" s="8" t="s">
        <v>4258</v>
      </c>
      <c r="H1529" s="8" t="s">
        <v>4259</v>
      </c>
      <c r="I1529" s="8" t="s">
        <v>4259</v>
      </c>
      <c r="J1529" s="5">
        <f>60-20+60-20+20-2-10-1-1</f>
        <v>86</v>
      </c>
      <c r="K1529" s="5" t="s">
        <v>292</v>
      </c>
      <c r="L1529" s="5" t="s">
        <v>3723</v>
      </c>
      <c r="M1529" s="5">
        <v>30</v>
      </c>
      <c r="N1529" s="5" t="s">
        <v>4197</v>
      </c>
      <c r="Q1529" s="107" t="s">
        <v>4250</v>
      </c>
      <c r="R1529" s="6"/>
      <c r="S1529" s="6"/>
    </row>
    <row r="1530" spans="1:19" x14ac:dyDescent="0.2">
      <c r="A1530" s="5"/>
      <c r="B1530" s="8" t="s">
        <v>4260</v>
      </c>
      <c r="H1530" s="8" t="s">
        <v>4261</v>
      </c>
      <c r="I1530" s="8" t="s">
        <v>4261</v>
      </c>
      <c r="J1530" s="5">
        <f>301-1-1-10-20-1-30+100-5-5-10-2-1-1-10+10-6</f>
        <v>308</v>
      </c>
      <c r="K1530" s="5" t="s">
        <v>292</v>
      </c>
      <c r="L1530" s="5" t="s">
        <v>3723</v>
      </c>
      <c r="M1530" s="5">
        <v>30</v>
      </c>
      <c r="N1530" s="5" t="s">
        <v>4197</v>
      </c>
      <c r="O1530" s="5" t="s">
        <v>574</v>
      </c>
      <c r="Q1530" s="5" t="s">
        <v>4262</v>
      </c>
      <c r="R1530" s="6"/>
      <c r="S1530" s="6"/>
    </row>
    <row r="1531" spans="1:19" x14ac:dyDescent="0.2">
      <c r="A1531" s="5"/>
      <c r="B1531" s="8" t="s">
        <v>4263</v>
      </c>
      <c r="H1531" s="8" t="s">
        <v>4264</v>
      </c>
      <c r="I1531" s="8" t="s">
        <v>4265</v>
      </c>
      <c r="J1531" s="5">
        <f>24+20-5+5-5+27+4</f>
        <v>70</v>
      </c>
      <c r="K1531" s="5" t="s">
        <v>292</v>
      </c>
      <c r="L1531" s="5" t="s">
        <v>3723</v>
      </c>
      <c r="M1531" s="5">
        <v>30</v>
      </c>
      <c r="N1531" s="5" t="s">
        <v>4197</v>
      </c>
      <c r="Q1531" s="107" t="s">
        <v>4266</v>
      </c>
      <c r="R1531" s="6"/>
      <c r="S1531" s="6"/>
    </row>
    <row r="1532" spans="1:19" x14ac:dyDescent="0.2">
      <c r="A1532" s="5"/>
      <c r="B1532" s="8" t="s">
        <v>232</v>
      </c>
      <c r="H1532" s="8" t="s">
        <v>4267</v>
      </c>
      <c r="I1532" s="8" t="s">
        <v>4267</v>
      </c>
      <c r="J1532" s="5">
        <f>52+52-40-28-5+61-6-50-12-8-15-1</f>
        <v>0</v>
      </c>
      <c r="K1532" s="5" t="s">
        <v>292</v>
      </c>
      <c r="L1532" s="5" t="s">
        <v>3723</v>
      </c>
      <c r="M1532" s="5">
        <v>30</v>
      </c>
      <c r="N1532" s="5" t="s">
        <v>4197</v>
      </c>
      <c r="Q1532" s="107" t="s">
        <v>4268</v>
      </c>
      <c r="R1532" s="6"/>
      <c r="S1532" s="6"/>
    </row>
    <row r="1533" spans="1:19" x14ac:dyDescent="0.2">
      <c r="A1533" s="5"/>
      <c r="B1533" s="8" t="s">
        <v>4269</v>
      </c>
      <c r="H1533" s="8" t="s">
        <v>4270</v>
      </c>
      <c r="I1533" s="8" t="s">
        <v>4270</v>
      </c>
      <c r="J1533" s="5">
        <f>171-1-1-2+11-4-1-1-1-9-8-8-9</f>
        <v>137</v>
      </c>
      <c r="K1533" s="5" t="s">
        <v>292</v>
      </c>
      <c r="L1533" s="5" t="s">
        <v>3723</v>
      </c>
      <c r="M1533" s="5">
        <v>30</v>
      </c>
      <c r="N1533" s="5" t="s">
        <v>4197</v>
      </c>
      <c r="O1533" s="5" t="s">
        <v>574</v>
      </c>
      <c r="Q1533" s="5" t="s">
        <v>4271</v>
      </c>
      <c r="R1533" s="6"/>
      <c r="S1533" s="6"/>
    </row>
    <row r="1534" spans="1:19" x14ac:dyDescent="0.2">
      <c r="A1534" s="5"/>
      <c r="B1534" s="8" t="s">
        <v>4272</v>
      </c>
      <c r="H1534" s="108" t="s">
        <v>4273</v>
      </c>
      <c r="I1534" s="108" t="s">
        <v>4273</v>
      </c>
      <c r="J1534" s="5">
        <f>8-5-1-2</f>
        <v>0</v>
      </c>
      <c r="K1534" s="5" t="s">
        <v>292</v>
      </c>
      <c r="L1534" s="5" t="s">
        <v>3723</v>
      </c>
      <c r="M1534" s="5">
        <v>30</v>
      </c>
      <c r="N1534" s="5" t="s">
        <v>4197</v>
      </c>
      <c r="O1534" s="5" t="s">
        <v>574</v>
      </c>
      <c r="Q1534" s="5" t="s">
        <v>4274</v>
      </c>
      <c r="R1534" s="6"/>
      <c r="S1534" s="6"/>
    </row>
    <row r="1535" spans="1:19" x14ac:dyDescent="0.2">
      <c r="A1535" s="5"/>
      <c r="B1535" s="8" t="s">
        <v>4275</v>
      </c>
      <c r="H1535" s="8" t="s">
        <v>4276</v>
      </c>
      <c r="I1535" s="8" t="s">
        <v>4276</v>
      </c>
      <c r="J1535" s="5">
        <f>20-17+42</f>
        <v>45</v>
      </c>
      <c r="K1535" s="5" t="s">
        <v>21</v>
      </c>
      <c r="L1535" s="5" t="s">
        <v>3723</v>
      </c>
      <c r="M1535" s="5">
        <v>30</v>
      </c>
      <c r="N1535" s="5" t="s">
        <v>4197</v>
      </c>
      <c r="O1535" s="5" t="s">
        <v>574</v>
      </c>
      <c r="R1535" s="6"/>
      <c r="S1535" s="6" t="s">
        <v>328</v>
      </c>
    </row>
    <row r="1536" spans="1:19" x14ac:dyDescent="0.2">
      <c r="A1536" s="5"/>
      <c r="B1536" s="8" t="s">
        <v>4277</v>
      </c>
      <c r="H1536" s="8" t="s">
        <v>4278</v>
      </c>
      <c r="I1536" s="8" t="s">
        <v>4276</v>
      </c>
      <c r="J1536" s="5">
        <f>17+1</f>
        <v>18</v>
      </c>
      <c r="K1536" s="5" t="s">
        <v>21</v>
      </c>
      <c r="L1536" s="5" t="s">
        <v>3723</v>
      </c>
      <c r="M1536" s="5">
        <v>30</v>
      </c>
      <c r="N1536" s="5" t="s">
        <v>4197</v>
      </c>
      <c r="O1536" s="5" t="s">
        <v>574</v>
      </c>
      <c r="R1536" s="6"/>
      <c r="S1536" s="6" t="s">
        <v>328</v>
      </c>
    </row>
    <row r="1537" spans="1:21" x14ac:dyDescent="0.2">
      <c r="A1537" s="5"/>
      <c r="B1537" s="8" t="s">
        <v>4279</v>
      </c>
      <c r="H1537" s="8" t="s">
        <v>4280</v>
      </c>
      <c r="I1537" s="8" t="s">
        <v>4280</v>
      </c>
      <c r="J1537" s="5">
        <f>5+6-10-1</f>
        <v>0</v>
      </c>
      <c r="K1537" s="5" t="s">
        <v>21</v>
      </c>
      <c r="L1537" s="5" t="s">
        <v>3723</v>
      </c>
      <c r="M1537" s="5">
        <v>30</v>
      </c>
      <c r="N1537" s="5" t="s">
        <v>4197</v>
      </c>
      <c r="R1537" s="6"/>
      <c r="S1537" s="6"/>
    </row>
    <row r="1538" spans="1:21" x14ac:dyDescent="0.2">
      <c r="A1538" s="5"/>
      <c r="B1538" s="8" t="s">
        <v>4281</v>
      </c>
      <c r="H1538" s="8" t="s">
        <v>4282</v>
      </c>
      <c r="I1538" s="8" t="s">
        <v>4282</v>
      </c>
      <c r="J1538" s="5">
        <f>10-1-2</f>
        <v>7</v>
      </c>
      <c r="K1538" s="5" t="s">
        <v>21</v>
      </c>
      <c r="L1538" s="5" t="s">
        <v>3723</v>
      </c>
      <c r="M1538" s="5">
        <v>30</v>
      </c>
      <c r="N1538" s="5" t="s">
        <v>4197</v>
      </c>
      <c r="Q1538" s="5" t="s">
        <v>4283</v>
      </c>
      <c r="R1538" s="6"/>
      <c r="S1538" s="6"/>
    </row>
    <row r="1539" spans="1:21" x14ac:dyDescent="0.2">
      <c r="A1539" s="5"/>
      <c r="B1539" s="8" t="s">
        <v>4284</v>
      </c>
      <c r="I1539" s="8" t="s">
        <v>225</v>
      </c>
      <c r="J1539" s="5">
        <f>100-8-2-4</f>
        <v>86</v>
      </c>
      <c r="K1539" s="5" t="s">
        <v>21</v>
      </c>
      <c r="L1539" s="5" t="s">
        <v>3723</v>
      </c>
      <c r="M1539" s="5">
        <v>30</v>
      </c>
      <c r="R1539" s="6"/>
      <c r="S1539" s="6"/>
    </row>
    <row r="1540" spans="1:21" x14ac:dyDescent="0.2">
      <c r="A1540" s="5"/>
      <c r="B1540" s="8" t="s">
        <v>4285</v>
      </c>
      <c r="I1540" s="8" t="s">
        <v>225</v>
      </c>
      <c r="J1540" s="5">
        <f>100-8</f>
        <v>92</v>
      </c>
      <c r="K1540" s="5" t="s">
        <v>21</v>
      </c>
      <c r="L1540" s="5" t="s">
        <v>3723</v>
      </c>
      <c r="M1540" s="5">
        <v>30</v>
      </c>
      <c r="R1540" s="6"/>
      <c r="S1540" s="6"/>
    </row>
    <row r="1541" spans="1:21" x14ac:dyDescent="0.2">
      <c r="A1541" s="5"/>
      <c r="B1541" s="8" t="s">
        <v>4286</v>
      </c>
      <c r="I1541" s="8" t="s">
        <v>225</v>
      </c>
      <c r="J1541" s="5">
        <f>50-24+3</f>
        <v>29</v>
      </c>
      <c r="K1541" s="5" t="s">
        <v>21</v>
      </c>
      <c r="L1541" s="5" t="s">
        <v>3723</v>
      </c>
      <c r="M1541" s="5">
        <v>30</v>
      </c>
      <c r="R1541" s="6"/>
      <c r="S1541" s="6"/>
    </row>
    <row r="1542" spans="1:21" x14ac:dyDescent="0.2">
      <c r="A1542" s="5"/>
      <c r="B1542" s="8" t="s">
        <v>4287</v>
      </c>
      <c r="H1542" s="8" t="s">
        <v>4288</v>
      </c>
      <c r="I1542" s="8" t="s">
        <v>4288</v>
      </c>
      <c r="J1542" s="5">
        <f>1780</f>
        <v>1780</v>
      </c>
      <c r="K1542" s="5" t="s">
        <v>21</v>
      </c>
      <c r="L1542" s="5" t="s">
        <v>3723</v>
      </c>
      <c r="M1542" s="5">
        <v>30</v>
      </c>
      <c r="Q1542" s="5" t="s">
        <v>4289</v>
      </c>
      <c r="R1542" s="6"/>
      <c r="S1542" s="6"/>
    </row>
    <row r="1543" spans="1:21" x14ac:dyDescent="0.2">
      <c r="A1543" s="5"/>
      <c r="B1543" s="8" t="s">
        <v>4290</v>
      </c>
      <c r="H1543" s="8" t="s">
        <v>4291</v>
      </c>
      <c r="I1543" s="8" t="s">
        <v>4291</v>
      </c>
      <c r="J1543" s="5">
        <f>1843</f>
        <v>1843</v>
      </c>
      <c r="K1543" s="5" t="s">
        <v>21</v>
      </c>
      <c r="L1543" s="5" t="s">
        <v>3723</v>
      </c>
      <c r="M1543" s="5">
        <v>30</v>
      </c>
      <c r="Q1543" s="5" t="s">
        <v>4289</v>
      </c>
      <c r="R1543" s="6"/>
      <c r="S1543" s="6"/>
    </row>
    <row r="1544" spans="1:21" x14ac:dyDescent="0.2">
      <c r="A1544" s="5">
        <v>1704</v>
      </c>
      <c r="B1544" s="8" t="s">
        <v>4292</v>
      </c>
      <c r="H1544" s="8" t="s">
        <v>4293</v>
      </c>
      <c r="I1544" s="8" t="s">
        <v>4293</v>
      </c>
      <c r="J1544" s="5">
        <v>60</v>
      </c>
      <c r="K1544" s="5" t="s">
        <v>292</v>
      </c>
      <c r="L1544" s="5" t="s">
        <v>3723</v>
      </c>
      <c r="M1544" s="5">
        <v>31</v>
      </c>
      <c r="N1544" s="5" t="s">
        <v>3850</v>
      </c>
      <c r="O1544" s="5" t="s">
        <v>574</v>
      </c>
      <c r="Q1544" s="10" t="s">
        <v>553</v>
      </c>
      <c r="R1544" s="6"/>
      <c r="S1544" s="6" t="s">
        <v>328</v>
      </c>
      <c r="U1544" t="s">
        <v>321</v>
      </c>
    </row>
    <row r="1545" spans="1:21" x14ac:dyDescent="0.2">
      <c r="A1545" s="5">
        <v>1715</v>
      </c>
      <c r="B1545" s="8" t="s">
        <v>4294</v>
      </c>
      <c r="H1545" s="8" t="s">
        <v>4295</v>
      </c>
      <c r="I1545" s="8" t="s">
        <v>4295</v>
      </c>
      <c r="J1545" s="5">
        <f>5</f>
        <v>5</v>
      </c>
      <c r="K1545" s="5" t="s">
        <v>292</v>
      </c>
      <c r="L1545" s="5" t="s">
        <v>3723</v>
      </c>
      <c r="M1545" s="5">
        <v>32</v>
      </c>
      <c r="N1545" s="5" t="s">
        <v>4186</v>
      </c>
      <c r="O1545" s="5" t="s">
        <v>574</v>
      </c>
      <c r="Q1545" s="5" t="s">
        <v>4296</v>
      </c>
      <c r="R1545" s="6"/>
      <c r="S1545" s="6"/>
    </row>
    <row r="1546" spans="1:21" x14ac:dyDescent="0.2">
      <c r="A1546" s="5"/>
      <c r="B1546" s="8" t="s">
        <v>4297</v>
      </c>
      <c r="H1546" s="8" t="s">
        <v>4298</v>
      </c>
      <c r="I1546" s="8" t="s">
        <v>4298</v>
      </c>
      <c r="J1546" s="5">
        <f>6</f>
        <v>6</v>
      </c>
      <c r="K1546" s="5" t="s">
        <v>292</v>
      </c>
      <c r="L1546" s="5" t="s">
        <v>3723</v>
      </c>
      <c r="M1546" s="5">
        <v>32</v>
      </c>
      <c r="N1546" s="5" t="s">
        <v>4186</v>
      </c>
      <c r="O1546" s="5" t="s">
        <v>574</v>
      </c>
    </row>
    <row r="1547" spans="1:21" x14ac:dyDescent="0.2">
      <c r="A1547" s="5">
        <v>1720</v>
      </c>
      <c r="B1547" s="8" t="s">
        <v>4299</v>
      </c>
      <c r="H1547" s="8" t="s">
        <v>4300</v>
      </c>
      <c r="I1547" s="8" t="s">
        <v>4300</v>
      </c>
      <c r="J1547" s="5">
        <f>79</f>
        <v>79</v>
      </c>
      <c r="K1547" s="5" t="s">
        <v>292</v>
      </c>
      <c r="L1547" s="5" t="s">
        <v>3723</v>
      </c>
      <c r="M1547" s="5">
        <v>33</v>
      </c>
      <c r="N1547" s="5" t="s">
        <v>3724</v>
      </c>
      <c r="O1547" s="5" t="s">
        <v>574</v>
      </c>
      <c r="Q1547" s="10" t="s">
        <v>553</v>
      </c>
      <c r="R1547" s="6"/>
      <c r="S1547" s="6" t="s">
        <v>328</v>
      </c>
    </row>
    <row r="1548" spans="1:21" x14ac:dyDescent="0.2">
      <c r="A1548" s="5">
        <v>1721</v>
      </c>
      <c r="B1548" s="8" t="s">
        <v>4301</v>
      </c>
      <c r="C1548" s="34"/>
      <c r="H1548" s="8" t="s">
        <v>4302</v>
      </c>
      <c r="I1548" s="8" t="s">
        <v>4302</v>
      </c>
      <c r="J1548" s="5">
        <f>82</f>
        <v>82</v>
      </c>
      <c r="K1548" s="5" t="s">
        <v>292</v>
      </c>
      <c r="L1548" s="5" t="s">
        <v>3723</v>
      </c>
      <c r="M1548" s="5">
        <v>33</v>
      </c>
      <c r="N1548" s="5" t="s">
        <v>3724</v>
      </c>
      <c r="O1548" s="5" t="s">
        <v>574</v>
      </c>
      <c r="Q1548" s="10" t="s">
        <v>553</v>
      </c>
      <c r="R1548" s="6"/>
      <c r="S1548" s="6" t="s">
        <v>328</v>
      </c>
    </row>
    <row r="1549" spans="1:21" x14ac:dyDescent="0.2">
      <c r="A1549" s="5">
        <v>1722</v>
      </c>
      <c r="B1549" s="8" t="s">
        <v>4303</v>
      </c>
      <c r="H1549" s="8" t="s">
        <v>4304</v>
      </c>
      <c r="I1549" s="8" t="s">
        <v>4304</v>
      </c>
      <c r="J1549" s="5">
        <f>80</f>
        <v>80</v>
      </c>
      <c r="K1549" s="5" t="s">
        <v>292</v>
      </c>
      <c r="L1549" s="5" t="s">
        <v>3723</v>
      </c>
      <c r="M1549" s="5">
        <v>33</v>
      </c>
      <c r="N1549" s="5" t="s">
        <v>3724</v>
      </c>
      <c r="O1549" s="5" t="s">
        <v>574</v>
      </c>
      <c r="Q1549" s="10" t="s">
        <v>553</v>
      </c>
      <c r="R1549" s="6"/>
      <c r="S1549" s="13" t="s">
        <v>328</v>
      </c>
    </row>
    <row r="1550" spans="1:21" x14ac:dyDescent="0.2">
      <c r="A1550" s="5">
        <v>1723</v>
      </c>
      <c r="B1550" s="8" t="s">
        <v>3815</v>
      </c>
      <c r="H1550" s="8" t="s">
        <v>3816</v>
      </c>
      <c r="I1550" s="8" t="s">
        <v>3816</v>
      </c>
      <c r="J1550" s="5">
        <f>359</f>
        <v>359</v>
      </c>
      <c r="K1550" s="5" t="s">
        <v>292</v>
      </c>
      <c r="L1550" s="5" t="s">
        <v>3723</v>
      </c>
      <c r="M1550" s="5">
        <v>33</v>
      </c>
      <c r="N1550" s="5" t="s">
        <v>3724</v>
      </c>
      <c r="O1550" s="5" t="s">
        <v>574</v>
      </c>
      <c r="Q1550" s="10" t="s">
        <v>553</v>
      </c>
      <c r="R1550" s="6"/>
      <c r="S1550" s="13"/>
    </row>
    <row r="1551" spans="1:21" x14ac:dyDescent="0.2">
      <c r="A1551" s="5">
        <v>1724</v>
      </c>
      <c r="B1551" s="8" t="s">
        <v>4305</v>
      </c>
      <c r="H1551" s="8" t="s">
        <v>4306</v>
      </c>
      <c r="I1551" s="8" t="s">
        <v>4306</v>
      </c>
      <c r="J1551" s="5">
        <f>2+14</f>
        <v>16</v>
      </c>
      <c r="K1551" s="5" t="s">
        <v>292</v>
      </c>
      <c r="L1551" s="5" t="s">
        <v>3723</v>
      </c>
      <c r="M1551" s="5">
        <v>34</v>
      </c>
      <c r="N1551" s="5" t="s">
        <v>3824</v>
      </c>
      <c r="O1551" s="5" t="s">
        <v>574</v>
      </c>
      <c r="Q1551" s="10" t="s">
        <v>4307</v>
      </c>
      <c r="R1551" s="6"/>
      <c r="S1551" s="6"/>
    </row>
    <row r="1552" spans="1:21" x14ac:dyDescent="0.2">
      <c r="A1552" s="5">
        <v>1725</v>
      </c>
      <c r="B1552" s="8" t="s">
        <v>4308</v>
      </c>
      <c r="H1552" s="8" t="s">
        <v>4309</v>
      </c>
      <c r="I1552" s="8" t="s">
        <v>4309</v>
      </c>
      <c r="J1552" s="5">
        <f>0</f>
        <v>0</v>
      </c>
      <c r="K1552" s="5" t="s">
        <v>292</v>
      </c>
      <c r="L1552" s="5" t="s">
        <v>3723</v>
      </c>
      <c r="M1552" s="5">
        <v>34</v>
      </c>
      <c r="N1552" s="5" t="s">
        <v>3824</v>
      </c>
      <c r="O1552" s="5" t="s">
        <v>574</v>
      </c>
      <c r="Q1552" s="10" t="s">
        <v>4310</v>
      </c>
      <c r="R1552" s="6"/>
      <c r="S1552" s="6"/>
    </row>
    <row r="1553" spans="1:19" x14ac:dyDescent="0.2">
      <c r="A1553" s="5"/>
      <c r="B1553" s="8" t="s">
        <v>4311</v>
      </c>
      <c r="H1553" s="8" t="s">
        <v>4312</v>
      </c>
      <c r="I1553" s="8" t="s">
        <v>4312</v>
      </c>
      <c r="J1553" s="5">
        <f>35-1-19+35-30-10+50+91-55-35</f>
        <v>61</v>
      </c>
      <c r="K1553" s="5" t="s">
        <v>21</v>
      </c>
      <c r="L1553" s="5" t="s">
        <v>3723</v>
      </c>
      <c r="M1553" s="5">
        <v>34</v>
      </c>
      <c r="Q1553" s="10"/>
      <c r="R1553" s="6"/>
      <c r="S1553" s="6"/>
    </row>
    <row r="1554" spans="1:19" x14ac:dyDescent="0.2">
      <c r="A1554" s="5"/>
      <c r="B1554" s="8" t="s">
        <v>4313</v>
      </c>
      <c r="I1554" s="8" t="s">
        <v>4314</v>
      </c>
      <c r="J1554" s="5">
        <f>89-20-19-30-10+50+100-55-35</f>
        <v>70</v>
      </c>
      <c r="K1554" s="5" t="s">
        <v>21</v>
      </c>
      <c r="L1554" s="5" t="s">
        <v>3723</v>
      </c>
      <c r="M1554" s="5">
        <v>34</v>
      </c>
      <c r="Q1554" s="10"/>
      <c r="R1554" s="6"/>
      <c r="S1554" s="6"/>
    </row>
    <row r="1555" spans="1:19" x14ac:dyDescent="0.2">
      <c r="A1555" s="5"/>
      <c r="B1555" s="8" t="s">
        <v>4315</v>
      </c>
      <c r="H1555" s="8" t="s">
        <v>4316</v>
      </c>
      <c r="I1555" s="8" t="s">
        <v>4316</v>
      </c>
      <c r="J1555" s="5">
        <f>49-20+10</f>
        <v>39</v>
      </c>
      <c r="K1555" s="5" t="s">
        <v>21</v>
      </c>
      <c r="L1555" s="5" t="s">
        <v>3723</v>
      </c>
      <c r="M1555" s="5">
        <v>34</v>
      </c>
      <c r="N1555" s="5" t="s">
        <v>4317</v>
      </c>
      <c r="Q1555" s="10"/>
      <c r="R1555" s="6"/>
      <c r="S1555" s="6" t="s">
        <v>328</v>
      </c>
    </row>
    <row r="1556" spans="1:19" x14ac:dyDescent="0.2">
      <c r="A1556" s="5"/>
      <c r="B1556" s="8" t="s">
        <v>4318</v>
      </c>
      <c r="I1556" s="8" t="s">
        <v>4319</v>
      </c>
      <c r="J1556" s="5">
        <f>3</f>
        <v>3</v>
      </c>
      <c r="K1556" s="5" t="s">
        <v>292</v>
      </c>
      <c r="L1556" s="5" t="s">
        <v>3723</v>
      </c>
      <c r="M1556" s="5">
        <v>34</v>
      </c>
      <c r="Q1556" s="10"/>
      <c r="R1556" s="6"/>
      <c r="S1556" s="6"/>
    </row>
    <row r="1557" spans="1:19" x14ac:dyDescent="0.2">
      <c r="A1557" s="5">
        <v>1731</v>
      </c>
      <c r="B1557" s="8" t="s">
        <v>4320</v>
      </c>
      <c r="H1557" s="8" t="s">
        <v>4321</v>
      </c>
      <c r="I1557" s="8" t="s">
        <v>4321</v>
      </c>
      <c r="J1557" s="5">
        <f>22</f>
        <v>22</v>
      </c>
      <c r="K1557" s="5" t="s">
        <v>292</v>
      </c>
      <c r="L1557" s="5" t="s">
        <v>3723</v>
      </c>
      <c r="M1557" s="5">
        <v>35</v>
      </c>
      <c r="N1557" s="5" t="s">
        <v>4176</v>
      </c>
      <c r="O1557" s="5" t="s">
        <v>574</v>
      </c>
      <c r="Q1557" s="10" t="s">
        <v>553</v>
      </c>
      <c r="R1557" s="6"/>
      <c r="S1557" s="6" t="s">
        <v>328</v>
      </c>
    </row>
    <row r="1558" spans="1:19" x14ac:dyDescent="0.2">
      <c r="A1558" s="5">
        <v>1668</v>
      </c>
      <c r="B1558" s="8" t="s">
        <v>4322</v>
      </c>
      <c r="C1558" s="8" t="s">
        <v>4323</v>
      </c>
      <c r="H1558" s="8" t="s">
        <v>4324</v>
      </c>
      <c r="I1558" s="8" t="s">
        <v>4324</v>
      </c>
      <c r="J1558" s="5">
        <f>1398-1</f>
        <v>1397</v>
      </c>
      <c r="K1558" s="5" t="s">
        <v>292</v>
      </c>
      <c r="L1558" s="5" t="s">
        <v>3723</v>
      </c>
      <c r="M1558" s="5">
        <v>36</v>
      </c>
      <c r="N1558" s="5" t="s">
        <v>4189</v>
      </c>
      <c r="O1558" s="5" t="s">
        <v>574</v>
      </c>
      <c r="Q1558" s="10" t="s">
        <v>553</v>
      </c>
      <c r="R1558" s="6"/>
      <c r="S1558" s="6"/>
    </row>
    <row r="1559" spans="1:19" x14ac:dyDescent="0.2">
      <c r="A1559" s="5"/>
      <c r="B1559" s="8" t="s">
        <v>4325</v>
      </c>
      <c r="H1559" s="8" t="s">
        <v>4326</v>
      </c>
      <c r="I1559" s="8" t="s">
        <v>4327</v>
      </c>
      <c r="J1559" s="5">
        <f>135-16-16-16</f>
        <v>87</v>
      </c>
      <c r="K1559" s="5" t="s">
        <v>292</v>
      </c>
      <c r="L1559" s="5" t="s">
        <v>3723</v>
      </c>
      <c r="M1559" s="5">
        <v>36</v>
      </c>
      <c r="Q1559" s="10"/>
      <c r="R1559" s="6"/>
      <c r="S1559" s="6" t="s">
        <v>328</v>
      </c>
    </row>
    <row r="1560" spans="1:19" x14ac:dyDescent="0.2">
      <c r="A1560" s="5">
        <v>1669</v>
      </c>
      <c r="B1560" s="8">
        <v>1268997</v>
      </c>
      <c r="H1560" s="8" t="s">
        <v>4328</v>
      </c>
      <c r="I1560" s="8" t="s">
        <v>4329</v>
      </c>
      <c r="J1560" s="5">
        <f>55</f>
        <v>55</v>
      </c>
      <c r="K1560" s="5" t="s">
        <v>292</v>
      </c>
      <c r="L1560" s="5" t="s">
        <v>3723</v>
      </c>
      <c r="M1560" s="5">
        <v>36</v>
      </c>
      <c r="N1560" s="5" t="s">
        <v>3724</v>
      </c>
      <c r="O1560" s="5" t="s">
        <v>574</v>
      </c>
      <c r="Q1560" s="10" t="s">
        <v>553</v>
      </c>
      <c r="R1560" s="6"/>
      <c r="S1560" s="6"/>
    </row>
    <row r="1561" spans="1:19" x14ac:dyDescent="0.2">
      <c r="A1561" s="5">
        <v>1670</v>
      </c>
      <c r="B1561" s="8" t="s">
        <v>4330</v>
      </c>
      <c r="H1561" s="8" t="s">
        <v>4331</v>
      </c>
      <c r="I1561" s="8" t="s">
        <v>4331</v>
      </c>
      <c r="J1561" s="5">
        <f>2191-4-24-16-1-24-2-16-1-20-14+1-32-6-20-4-32</f>
        <v>1976</v>
      </c>
      <c r="K1561" s="5" t="s">
        <v>292</v>
      </c>
      <c r="L1561" s="5" t="s">
        <v>3723</v>
      </c>
      <c r="M1561" s="5">
        <v>36</v>
      </c>
      <c r="N1561" s="5" t="s">
        <v>3724</v>
      </c>
      <c r="O1561" s="5" t="s">
        <v>574</v>
      </c>
      <c r="Q1561" s="5" t="s">
        <v>4332</v>
      </c>
      <c r="R1561" s="6"/>
      <c r="S1561" s="6" t="s">
        <v>328</v>
      </c>
    </row>
    <row r="1562" spans="1:19" x14ac:dyDescent="0.2">
      <c r="A1562" s="5">
        <v>1671</v>
      </c>
      <c r="B1562" s="8" t="s">
        <v>4333</v>
      </c>
      <c r="H1562" s="8" t="s">
        <v>4334</v>
      </c>
      <c r="I1562" s="8" t="s">
        <v>4334</v>
      </c>
      <c r="J1562" s="5">
        <f>659-1</f>
        <v>658</v>
      </c>
      <c r="K1562" s="5" t="s">
        <v>292</v>
      </c>
      <c r="L1562" s="5" t="s">
        <v>3723</v>
      </c>
      <c r="M1562" s="5">
        <v>36</v>
      </c>
      <c r="N1562" s="5" t="s">
        <v>3724</v>
      </c>
      <c r="O1562" s="5" t="s">
        <v>574</v>
      </c>
      <c r="Q1562" s="10" t="s">
        <v>553</v>
      </c>
    </row>
    <row r="1563" spans="1:19" x14ac:dyDescent="0.2">
      <c r="A1563" s="5">
        <v>302</v>
      </c>
      <c r="B1563" s="8" t="s">
        <v>4335</v>
      </c>
      <c r="H1563" s="8" t="s">
        <v>4336</v>
      </c>
      <c r="I1563" s="8" t="s">
        <v>4336</v>
      </c>
      <c r="J1563" s="5">
        <f>12</f>
        <v>12</v>
      </c>
      <c r="K1563" s="5" t="s">
        <v>292</v>
      </c>
      <c r="L1563" s="5" t="s">
        <v>3723</v>
      </c>
      <c r="M1563" s="5">
        <v>37</v>
      </c>
      <c r="N1563" s="5" t="s">
        <v>511</v>
      </c>
      <c r="O1563" s="5" t="s">
        <v>520</v>
      </c>
      <c r="Q1563" s="5" t="s">
        <v>4337</v>
      </c>
      <c r="R1563" s="6"/>
      <c r="S1563" s="6" t="s">
        <v>328</v>
      </c>
    </row>
    <row r="1564" spans="1:19" x14ac:dyDescent="0.2">
      <c r="A1564" s="5">
        <v>1675</v>
      </c>
      <c r="B1564" s="8" t="s">
        <v>4338</v>
      </c>
      <c r="H1564" s="8" t="s">
        <v>4339</v>
      </c>
      <c r="I1564" s="8" t="s">
        <v>4339</v>
      </c>
      <c r="J1564" s="5">
        <f>481</f>
        <v>481</v>
      </c>
      <c r="K1564" s="5" t="s">
        <v>292</v>
      </c>
      <c r="L1564" s="5" t="s">
        <v>3723</v>
      </c>
      <c r="M1564" s="5">
        <v>37</v>
      </c>
      <c r="N1564" s="5" t="s">
        <v>2882</v>
      </c>
      <c r="O1564" s="5" t="s">
        <v>574</v>
      </c>
      <c r="Q1564" s="10" t="s">
        <v>553</v>
      </c>
      <c r="R1564" s="6"/>
      <c r="S1564" s="6"/>
    </row>
    <row r="1565" spans="1:19" x14ac:dyDescent="0.2">
      <c r="A1565" s="5">
        <v>1676</v>
      </c>
      <c r="B1565" s="8" t="s">
        <v>4340</v>
      </c>
      <c r="H1565" s="8" t="s">
        <v>4341</v>
      </c>
      <c r="I1565" s="8" t="s">
        <v>4341</v>
      </c>
      <c r="J1565" s="5">
        <f>500-176+3+6+300-8-32-68-32+6-112-32</f>
        <v>355</v>
      </c>
      <c r="K1565" s="5" t="s">
        <v>292</v>
      </c>
      <c r="L1565" s="5" t="s">
        <v>3723</v>
      </c>
      <c r="M1565" s="5">
        <v>37</v>
      </c>
      <c r="N1565" s="5" t="s">
        <v>2882</v>
      </c>
      <c r="O1565" s="5" t="s">
        <v>574</v>
      </c>
      <c r="Q1565" s="5" t="s">
        <v>4342</v>
      </c>
    </row>
    <row r="1566" spans="1:19" x14ac:dyDescent="0.2">
      <c r="B1566" s="8" t="s">
        <v>4343</v>
      </c>
      <c r="H1566" s="8" t="s">
        <v>4344</v>
      </c>
      <c r="I1566" s="8" t="s">
        <v>4345</v>
      </c>
      <c r="J1566" s="5">
        <f>92-4-4-4-8-8</f>
        <v>64</v>
      </c>
      <c r="K1566" s="5" t="s">
        <v>21</v>
      </c>
      <c r="L1566" s="5" t="s">
        <v>3723</v>
      </c>
      <c r="M1566" s="5">
        <v>37</v>
      </c>
      <c r="N1566" s="5" t="s">
        <v>2882</v>
      </c>
    </row>
    <row r="1567" spans="1:19" x14ac:dyDescent="0.2">
      <c r="B1567" s="8" t="s">
        <v>189</v>
      </c>
      <c r="H1567" s="8" t="s">
        <v>188</v>
      </c>
      <c r="I1567" s="8" t="s">
        <v>188</v>
      </c>
      <c r="J1567" s="5">
        <f>72-12-10-16-28+88+16-36</f>
        <v>74</v>
      </c>
      <c r="K1567" s="5" t="s">
        <v>21</v>
      </c>
      <c r="L1567" s="5" t="s">
        <v>3723</v>
      </c>
      <c r="M1567" s="5">
        <v>37</v>
      </c>
      <c r="N1567" s="5" t="s">
        <v>2882</v>
      </c>
      <c r="Q1567" s="107" t="s">
        <v>1006</v>
      </c>
    </row>
    <row r="1568" spans="1:19" x14ac:dyDescent="0.2">
      <c r="B1568" s="8" t="s">
        <v>4346</v>
      </c>
      <c r="H1568" s="8" t="s">
        <v>188</v>
      </c>
      <c r="I1568" s="8" t="s">
        <v>188</v>
      </c>
      <c r="J1568" s="5">
        <f>50-6-6-16</f>
        <v>22</v>
      </c>
      <c r="K1568" s="5" t="s">
        <v>21</v>
      </c>
      <c r="L1568" s="5" t="s">
        <v>3723</v>
      </c>
      <c r="M1568" s="5">
        <v>37</v>
      </c>
      <c r="N1568" s="5" t="s">
        <v>2882</v>
      </c>
      <c r="Q1568" s="107" t="s">
        <v>4347</v>
      </c>
      <c r="R1568" s="6"/>
      <c r="S1568" s="6"/>
    </row>
    <row r="1569" spans="1:19" x14ac:dyDescent="0.2">
      <c r="B1569" s="8" t="s">
        <v>4348</v>
      </c>
      <c r="I1569" s="8" t="s">
        <v>4349</v>
      </c>
      <c r="J1569" s="5">
        <f>16</f>
        <v>16</v>
      </c>
      <c r="K1569" s="5" t="s">
        <v>21</v>
      </c>
      <c r="L1569" s="5" t="s">
        <v>3723</v>
      </c>
      <c r="M1569" s="5">
        <v>37</v>
      </c>
      <c r="Q1569" s="107"/>
      <c r="R1569" s="6"/>
      <c r="S1569" s="6"/>
    </row>
    <row r="1570" spans="1:19" x14ac:dyDescent="0.2">
      <c r="A1570" s="5">
        <v>1682</v>
      </c>
      <c r="B1570" s="8">
        <v>826155</v>
      </c>
      <c r="H1570" s="8" t="s">
        <v>4350</v>
      </c>
      <c r="I1570" s="8" t="s">
        <v>4350</v>
      </c>
      <c r="J1570" s="5">
        <f>6</f>
        <v>6</v>
      </c>
      <c r="K1570" s="5" t="s">
        <v>292</v>
      </c>
      <c r="L1570" s="5" t="s">
        <v>3723</v>
      </c>
      <c r="M1570" s="5">
        <v>38</v>
      </c>
      <c r="N1570" s="5" t="s">
        <v>3845</v>
      </c>
      <c r="O1570" s="5" t="s">
        <v>574</v>
      </c>
      <c r="Q1570" s="5" t="s">
        <v>4351</v>
      </c>
      <c r="R1570" s="6"/>
      <c r="S1570" s="6" t="s">
        <v>328</v>
      </c>
    </row>
    <row r="1571" spans="1:19" x14ac:dyDescent="0.2">
      <c r="A1571" s="5">
        <v>1712</v>
      </c>
      <c r="B1571" s="8" t="s">
        <v>4352</v>
      </c>
      <c r="H1571" s="8" t="s">
        <v>4353</v>
      </c>
      <c r="I1571" s="8" t="s">
        <v>4353</v>
      </c>
      <c r="J1571" s="5">
        <v>0</v>
      </c>
      <c r="K1571" s="5" t="s">
        <v>292</v>
      </c>
      <c r="L1571" s="5" t="s">
        <v>3723</v>
      </c>
      <c r="M1571" s="5">
        <v>39</v>
      </c>
      <c r="N1571" s="5" t="s">
        <v>4317</v>
      </c>
      <c r="O1571" s="5" t="s">
        <v>574</v>
      </c>
      <c r="Q1571" s="10" t="s">
        <v>553</v>
      </c>
      <c r="R1571" s="6"/>
      <c r="S1571" s="6" t="s">
        <v>328</v>
      </c>
    </row>
    <row r="1572" spans="1:19" x14ac:dyDescent="0.2">
      <c r="A1572" s="5">
        <v>1713</v>
      </c>
      <c r="B1572" s="8" t="s">
        <v>4354</v>
      </c>
      <c r="H1572" s="8" t="s">
        <v>4355</v>
      </c>
      <c r="I1572" s="8" t="s">
        <v>4355</v>
      </c>
      <c r="J1572" s="5">
        <v>24</v>
      </c>
      <c r="K1572" s="5" t="s">
        <v>292</v>
      </c>
      <c r="L1572" s="5" t="s">
        <v>3723</v>
      </c>
      <c r="M1572" s="5">
        <v>39</v>
      </c>
      <c r="N1572" s="5" t="s">
        <v>3829</v>
      </c>
      <c r="O1572" s="5" t="s">
        <v>574</v>
      </c>
      <c r="Q1572" s="10" t="s">
        <v>553</v>
      </c>
      <c r="R1572" s="6"/>
      <c r="S1572" s="6" t="s">
        <v>328</v>
      </c>
    </row>
    <row r="1573" spans="1:19" x14ac:dyDescent="0.2">
      <c r="A1573" s="5"/>
      <c r="B1573" s="8" t="s">
        <v>4356</v>
      </c>
      <c r="I1573" s="8" t="s">
        <v>4357</v>
      </c>
      <c r="J1573" s="5">
        <f>24-1</f>
        <v>23</v>
      </c>
      <c r="K1573" s="5" t="s">
        <v>292</v>
      </c>
      <c r="L1573" s="5" t="s">
        <v>3723</v>
      </c>
      <c r="M1573" s="5">
        <v>39</v>
      </c>
      <c r="Q1573" s="10" t="s">
        <v>4358</v>
      </c>
      <c r="R1573" s="6"/>
      <c r="S1573" s="6"/>
    </row>
    <row r="1574" spans="1:19" x14ac:dyDescent="0.2">
      <c r="A1574" s="5">
        <v>1714</v>
      </c>
      <c r="B1574" s="8" t="s">
        <v>4359</v>
      </c>
      <c r="H1574" s="8" t="s">
        <v>4360</v>
      </c>
      <c r="I1574" s="8" t="s">
        <v>4360</v>
      </c>
      <c r="J1574" s="5">
        <f>98-5</f>
        <v>93</v>
      </c>
      <c r="K1574" s="5" t="s">
        <v>292</v>
      </c>
      <c r="L1574" s="5" t="s">
        <v>3723</v>
      </c>
      <c r="M1574" s="5">
        <v>39</v>
      </c>
      <c r="N1574" s="5" t="s">
        <v>3829</v>
      </c>
      <c r="O1574" s="5" t="s">
        <v>574</v>
      </c>
      <c r="Q1574" s="10" t="s">
        <v>553</v>
      </c>
      <c r="R1574" s="6"/>
      <c r="S1574" s="6"/>
    </row>
    <row r="1575" spans="1:19" x14ac:dyDescent="0.2">
      <c r="A1575" s="5"/>
      <c r="B1575" s="8" t="s">
        <v>4361</v>
      </c>
      <c r="H1575" s="8" t="s">
        <v>4316</v>
      </c>
      <c r="I1575" s="8" t="s">
        <v>4316</v>
      </c>
      <c r="J1575" s="5">
        <v>0</v>
      </c>
      <c r="K1575" s="5" t="s">
        <v>292</v>
      </c>
      <c r="L1575" s="5" t="s">
        <v>3723</v>
      </c>
      <c r="M1575" s="5">
        <v>39</v>
      </c>
      <c r="N1575" s="5" t="s">
        <v>4317</v>
      </c>
      <c r="Q1575" s="10"/>
      <c r="S1575" s="5" t="s">
        <v>328</v>
      </c>
    </row>
    <row r="1576" spans="1:19" x14ac:dyDescent="0.2">
      <c r="A1576" s="5"/>
      <c r="B1576" s="8" t="s">
        <v>4362</v>
      </c>
      <c r="H1576" s="8" t="s">
        <v>4363</v>
      </c>
      <c r="I1576" s="8" t="s">
        <v>4363</v>
      </c>
      <c r="J1576" s="5">
        <f>6-1</f>
        <v>5</v>
      </c>
      <c r="K1576" s="5" t="s">
        <v>292</v>
      </c>
      <c r="L1576" s="5" t="s">
        <v>3723</v>
      </c>
      <c r="M1576" s="5">
        <v>39</v>
      </c>
      <c r="N1576" s="5" t="s">
        <v>4317</v>
      </c>
      <c r="Q1576" s="10" t="s">
        <v>4364</v>
      </c>
    </row>
    <row r="1577" spans="1:19" x14ac:dyDescent="0.2">
      <c r="A1577" s="5">
        <v>869</v>
      </c>
      <c r="B1577" s="8" t="s">
        <v>4365</v>
      </c>
      <c r="H1577" s="8" t="s">
        <v>4366</v>
      </c>
      <c r="I1577" s="8" t="s">
        <v>4366</v>
      </c>
      <c r="J1577" s="5">
        <v>2</v>
      </c>
      <c r="K1577" s="5" t="s">
        <v>292</v>
      </c>
      <c r="L1577" s="5" t="s">
        <v>3723</v>
      </c>
      <c r="M1577" s="5">
        <v>40</v>
      </c>
      <c r="N1577" s="5" t="s">
        <v>3845</v>
      </c>
      <c r="O1577" s="5" t="s">
        <v>789</v>
      </c>
      <c r="Q1577" s="10" t="s">
        <v>553</v>
      </c>
    </row>
    <row r="1578" spans="1:19" x14ac:dyDescent="0.2">
      <c r="A1578" s="5"/>
      <c r="B1578" s="8" t="s">
        <v>4367</v>
      </c>
      <c r="I1578" s="8" t="s">
        <v>4368</v>
      </c>
      <c r="J1578" s="5">
        <f>6+18-8-2-12+12+6</f>
        <v>20</v>
      </c>
      <c r="K1578" s="5" t="s">
        <v>292</v>
      </c>
      <c r="L1578" s="5" t="s">
        <v>3723</v>
      </c>
      <c r="M1578" s="5">
        <v>40</v>
      </c>
      <c r="Q1578" s="10" t="s">
        <v>4369</v>
      </c>
    </row>
    <row r="1579" spans="1:19" x14ac:dyDescent="0.2">
      <c r="A1579" s="5"/>
      <c r="B1579" s="8" t="s">
        <v>4370</v>
      </c>
      <c r="H1579" s="8" t="s">
        <v>4371</v>
      </c>
      <c r="I1579" s="8" t="s">
        <v>4372</v>
      </c>
      <c r="J1579" s="5">
        <f>8+29</f>
        <v>37</v>
      </c>
      <c r="K1579" s="5" t="s">
        <v>21</v>
      </c>
      <c r="L1579" s="5" t="s">
        <v>3723</v>
      </c>
      <c r="M1579" s="5">
        <v>41</v>
      </c>
      <c r="Q1579" s="10"/>
      <c r="R1579" s="6"/>
      <c r="S1579" s="6" t="s">
        <v>328</v>
      </c>
    </row>
    <row r="1580" spans="1:19" x14ac:dyDescent="0.2">
      <c r="A1580" s="5">
        <v>1726</v>
      </c>
      <c r="B1580" s="8">
        <v>456507</v>
      </c>
      <c r="H1580" s="8" t="s">
        <v>3827</v>
      </c>
      <c r="I1580" s="8" t="s">
        <v>3827</v>
      </c>
      <c r="J1580" s="5">
        <v>0</v>
      </c>
      <c r="K1580" s="5" t="s">
        <v>292</v>
      </c>
      <c r="L1580" s="5" t="s">
        <v>3723</v>
      </c>
      <c r="M1580" s="5">
        <v>41</v>
      </c>
      <c r="N1580" s="5" t="s">
        <v>3829</v>
      </c>
      <c r="O1580" s="5" t="s">
        <v>574</v>
      </c>
      <c r="Q1580" s="10" t="s">
        <v>553</v>
      </c>
      <c r="R1580" s="6"/>
      <c r="S1580" s="6"/>
    </row>
    <row r="1581" spans="1:19" x14ac:dyDescent="0.2">
      <c r="A1581" s="5">
        <v>1727</v>
      </c>
      <c r="B1581" s="8" t="s">
        <v>4373</v>
      </c>
      <c r="H1581" s="8" t="s">
        <v>4374</v>
      </c>
      <c r="I1581" s="8" t="s">
        <v>4374</v>
      </c>
      <c r="J1581" s="5">
        <v>17</v>
      </c>
      <c r="K1581" s="5" t="s">
        <v>292</v>
      </c>
      <c r="L1581" s="5" t="s">
        <v>3723</v>
      </c>
      <c r="M1581" s="5">
        <v>41</v>
      </c>
      <c r="N1581" s="5" t="s">
        <v>4375</v>
      </c>
      <c r="O1581" s="5" t="s">
        <v>574</v>
      </c>
      <c r="Q1581" s="10" t="s">
        <v>4376</v>
      </c>
      <c r="R1581" s="6"/>
      <c r="S1581" s="6" t="s">
        <v>328</v>
      </c>
    </row>
    <row r="1582" spans="1:19" x14ac:dyDescent="0.2">
      <c r="A1582" s="5">
        <v>1728</v>
      </c>
      <c r="B1582" s="8" t="s">
        <v>4377</v>
      </c>
      <c r="H1582" s="8" t="s">
        <v>4378</v>
      </c>
      <c r="I1582" s="8" t="s">
        <v>4378</v>
      </c>
      <c r="J1582" s="5">
        <v>14</v>
      </c>
      <c r="K1582" s="5" t="s">
        <v>292</v>
      </c>
      <c r="L1582" s="5" t="s">
        <v>3723</v>
      </c>
      <c r="M1582" s="5">
        <v>41</v>
      </c>
      <c r="N1582" s="5" t="s">
        <v>4176</v>
      </c>
      <c r="O1582" s="5" t="s">
        <v>574</v>
      </c>
      <c r="Q1582" s="10" t="s">
        <v>553</v>
      </c>
      <c r="R1582" s="6"/>
      <c r="S1582" s="6"/>
    </row>
    <row r="1583" spans="1:19" x14ac:dyDescent="0.2">
      <c r="A1583" s="5">
        <v>1729</v>
      </c>
      <c r="B1583" s="8" t="s">
        <v>4379</v>
      </c>
      <c r="H1583" s="204" t="s">
        <v>4380</v>
      </c>
      <c r="I1583" s="8" t="s">
        <v>4381</v>
      </c>
      <c r="J1583" s="5">
        <v>1</v>
      </c>
      <c r="K1583" s="5" t="s">
        <v>292</v>
      </c>
      <c r="L1583" s="5" t="s">
        <v>3723</v>
      </c>
      <c r="M1583" s="5">
        <v>41</v>
      </c>
      <c r="N1583" s="5" t="s">
        <v>4375</v>
      </c>
      <c r="O1583" s="5" t="s">
        <v>574</v>
      </c>
      <c r="Q1583" s="10" t="s">
        <v>4382</v>
      </c>
      <c r="R1583" s="6"/>
      <c r="S1583" s="6"/>
    </row>
    <row r="1584" spans="1:19" x14ac:dyDescent="0.2">
      <c r="A1584" s="5"/>
      <c r="B1584" s="8" t="s">
        <v>4383</v>
      </c>
      <c r="H1584" s="8" t="s">
        <v>4384</v>
      </c>
      <c r="I1584" s="8" t="s">
        <v>4385</v>
      </c>
      <c r="J1584" s="5">
        <f>2+4</f>
        <v>6</v>
      </c>
      <c r="K1584" s="5" t="s">
        <v>292</v>
      </c>
      <c r="L1584" s="5" t="s">
        <v>3723</v>
      </c>
      <c r="M1584" s="5">
        <v>41</v>
      </c>
      <c r="Q1584" s="10"/>
      <c r="R1584" s="6"/>
      <c r="S1584" s="6" t="s">
        <v>328</v>
      </c>
    </row>
    <row r="1585" spans="1:21" x14ac:dyDescent="0.2">
      <c r="A1585" s="5"/>
      <c r="B1585" s="8" t="s">
        <v>4386</v>
      </c>
      <c r="H1585" s="8" t="s">
        <v>4387</v>
      </c>
      <c r="I1585" s="8" t="s">
        <v>4388</v>
      </c>
      <c r="J1585" s="5">
        <f>16-2-6-8+14</f>
        <v>14</v>
      </c>
      <c r="K1585" s="5" t="s">
        <v>292</v>
      </c>
      <c r="L1585" s="5" t="s">
        <v>3723</v>
      </c>
      <c r="M1585" s="5">
        <v>41</v>
      </c>
      <c r="Q1585" s="10"/>
      <c r="R1585" s="6"/>
      <c r="S1585" s="6"/>
    </row>
    <row r="1586" spans="1:21" x14ac:dyDescent="0.2">
      <c r="A1586" s="5">
        <v>1732</v>
      </c>
      <c r="B1586" s="8">
        <v>2271967</v>
      </c>
      <c r="H1586" s="8" t="s">
        <v>4389</v>
      </c>
      <c r="I1586" s="8" t="s">
        <v>4389</v>
      </c>
      <c r="J1586" s="5">
        <v>14</v>
      </c>
      <c r="K1586" s="5" t="s">
        <v>4390</v>
      </c>
      <c r="L1586" s="5" t="s">
        <v>3723</v>
      </c>
      <c r="M1586" s="5">
        <v>42</v>
      </c>
      <c r="N1586" s="5" t="s">
        <v>3819</v>
      </c>
      <c r="O1586" s="5" t="s">
        <v>574</v>
      </c>
      <c r="Q1586" s="10" t="s">
        <v>553</v>
      </c>
      <c r="R1586" s="6"/>
      <c r="S1586" s="6"/>
    </row>
    <row r="1587" spans="1:21" x14ac:dyDescent="0.2">
      <c r="A1587" s="5"/>
      <c r="B1587" s="8" t="s">
        <v>4391</v>
      </c>
      <c r="I1587" s="8" t="s">
        <v>4392</v>
      </c>
      <c r="J1587" s="5">
        <f>6</f>
        <v>6</v>
      </c>
      <c r="K1587" s="5" t="s">
        <v>4390</v>
      </c>
      <c r="L1587" s="5" t="s">
        <v>3723</v>
      </c>
      <c r="M1587" s="5">
        <v>42</v>
      </c>
      <c r="Q1587" s="10"/>
      <c r="R1587" s="6"/>
      <c r="S1587" s="6"/>
    </row>
    <row r="1588" spans="1:21" x14ac:dyDescent="0.2">
      <c r="A1588" s="5">
        <v>1673</v>
      </c>
      <c r="B1588" s="8" t="s">
        <v>4393</v>
      </c>
      <c r="H1588" s="8" t="s">
        <v>4394</v>
      </c>
      <c r="I1588" s="8" t="s">
        <v>4395</v>
      </c>
      <c r="J1588" s="5">
        <f>1563-100-100</f>
        <v>1363</v>
      </c>
      <c r="K1588" s="5" t="s">
        <v>292</v>
      </c>
      <c r="L1588" s="5" t="s">
        <v>3723</v>
      </c>
      <c r="M1588" s="5">
        <v>43</v>
      </c>
      <c r="N1588" s="5" t="s">
        <v>4189</v>
      </c>
      <c r="O1588" s="5" t="s">
        <v>574</v>
      </c>
      <c r="Q1588" s="5" t="s">
        <v>4396</v>
      </c>
      <c r="R1588" s="6"/>
      <c r="S1588" s="6" t="s">
        <v>328</v>
      </c>
    </row>
    <row r="1589" spans="1:21" x14ac:dyDescent="0.2">
      <c r="A1589" s="5">
        <v>1674</v>
      </c>
      <c r="B1589" s="8" t="s">
        <v>4397</v>
      </c>
      <c r="H1589" s="8" t="s">
        <v>4398</v>
      </c>
      <c r="I1589" s="8" t="s">
        <v>4399</v>
      </c>
      <c r="J1589" s="5">
        <v>0</v>
      </c>
      <c r="K1589" s="5" t="s">
        <v>292</v>
      </c>
      <c r="L1589" s="5" t="s">
        <v>3723</v>
      </c>
      <c r="M1589" s="5">
        <v>43</v>
      </c>
      <c r="N1589" s="5" t="s">
        <v>4189</v>
      </c>
      <c r="O1589" s="5" t="s">
        <v>574</v>
      </c>
      <c r="Q1589" s="10" t="s">
        <v>553</v>
      </c>
      <c r="R1589" s="6"/>
      <c r="S1589" s="6"/>
    </row>
    <row r="1590" spans="1:21" x14ac:dyDescent="0.2">
      <c r="A1590" s="5">
        <v>2087</v>
      </c>
      <c r="B1590" s="8" t="s">
        <v>4400</v>
      </c>
      <c r="H1590" s="8" t="s">
        <v>4401</v>
      </c>
      <c r="I1590" s="8" t="s">
        <v>4402</v>
      </c>
      <c r="J1590" s="5">
        <f>2592-200-200-2-200-100+17500-200-100-200-300-300-300-300-200-500-200-500-100-100-100-100-100-500-200-100-100-100-500-100-300</f>
        <v>13890</v>
      </c>
      <c r="K1590" s="5" t="s">
        <v>292</v>
      </c>
      <c r="L1590" s="5" t="s">
        <v>3723</v>
      </c>
      <c r="M1590" s="5">
        <v>43</v>
      </c>
      <c r="N1590" s="5" t="s">
        <v>4189</v>
      </c>
      <c r="O1590" s="5" t="s">
        <v>574</v>
      </c>
      <c r="Q1590" s="10" t="s">
        <v>553</v>
      </c>
      <c r="R1590" s="6"/>
      <c r="S1590" s="6"/>
    </row>
    <row r="1591" spans="1:21" x14ac:dyDescent="0.2">
      <c r="A1591" s="5"/>
      <c r="B1591" s="8" t="s">
        <v>4400</v>
      </c>
      <c r="H1591" s="8" t="s">
        <v>4401</v>
      </c>
      <c r="I1591" s="8" t="s">
        <v>4401</v>
      </c>
      <c r="J1591" s="5">
        <f>17500-300-17200</f>
        <v>0</v>
      </c>
      <c r="K1591" s="5" t="s">
        <v>292</v>
      </c>
      <c r="L1591" s="5" t="s">
        <v>3723</v>
      </c>
      <c r="M1591" s="5">
        <v>43</v>
      </c>
      <c r="N1591" s="5" t="s">
        <v>4189</v>
      </c>
      <c r="Q1591" s="107" t="s">
        <v>4403</v>
      </c>
      <c r="R1591" s="6"/>
      <c r="S1591" s="6" t="s">
        <v>328</v>
      </c>
      <c r="U1591" t="s">
        <v>4404</v>
      </c>
    </row>
    <row r="1592" spans="1:21" x14ac:dyDescent="0.2">
      <c r="A1592" s="5">
        <v>2113</v>
      </c>
      <c r="B1592" s="11" t="s">
        <v>553</v>
      </c>
      <c r="C1592" s="11"/>
      <c r="D1592" s="11"/>
      <c r="E1592" s="26"/>
      <c r="F1592" s="11"/>
      <c r="G1592" s="11"/>
      <c r="H1592" s="8" t="s">
        <v>4405</v>
      </c>
      <c r="I1592" s="8" t="s">
        <v>4405</v>
      </c>
      <c r="J1592" s="5">
        <v>0</v>
      </c>
      <c r="K1592" s="5" t="s">
        <v>292</v>
      </c>
      <c r="L1592" s="5" t="s">
        <v>3723</v>
      </c>
      <c r="M1592" s="5">
        <v>43</v>
      </c>
      <c r="N1592" s="5" t="s">
        <v>4189</v>
      </c>
      <c r="O1592" s="5" t="s">
        <v>574</v>
      </c>
      <c r="Q1592" s="5" t="s">
        <v>4406</v>
      </c>
      <c r="R1592" s="6"/>
      <c r="S1592" s="6"/>
    </row>
    <row r="1593" spans="1:21" x14ac:dyDescent="0.2">
      <c r="A1593" s="5"/>
      <c r="B1593" s="11" t="s">
        <v>4407</v>
      </c>
      <c r="C1593" s="11"/>
      <c r="D1593" s="11"/>
      <c r="E1593" s="26"/>
      <c r="F1593" s="11"/>
      <c r="G1593" s="11"/>
      <c r="H1593" s="8" t="s">
        <v>4408</v>
      </c>
      <c r="I1593" s="8" t="s">
        <v>4408</v>
      </c>
      <c r="J1593" s="5">
        <f>3+10000-500-1000-500-400</f>
        <v>7603</v>
      </c>
      <c r="K1593" s="5" t="s">
        <v>292</v>
      </c>
      <c r="L1593" s="5" t="s">
        <v>3723</v>
      </c>
      <c r="M1593" s="5">
        <v>43</v>
      </c>
      <c r="N1593" s="5" t="s">
        <v>4189</v>
      </c>
      <c r="Q1593" s="5" t="s">
        <v>4409</v>
      </c>
      <c r="R1593" s="6"/>
      <c r="S1593" s="6"/>
    </row>
    <row r="1594" spans="1:21" x14ac:dyDescent="0.2">
      <c r="A1594" s="5"/>
      <c r="B1594" s="8" t="s">
        <v>4410</v>
      </c>
      <c r="H1594" s="8" t="s">
        <v>4411</v>
      </c>
      <c r="I1594" s="8" t="s">
        <v>4412</v>
      </c>
      <c r="J1594" s="5">
        <f>1200-200-200-100-100-300+800-300-100-200-300-200</f>
        <v>0</v>
      </c>
      <c r="K1594" s="5" t="s">
        <v>292</v>
      </c>
      <c r="L1594" s="5" t="s">
        <v>3723</v>
      </c>
      <c r="M1594" s="5">
        <v>43</v>
      </c>
      <c r="N1594" s="5" t="s">
        <v>4189</v>
      </c>
      <c r="R1594" s="6"/>
      <c r="S1594" s="6"/>
    </row>
    <row r="1595" spans="1:21" x14ac:dyDescent="0.2">
      <c r="A1595" s="5">
        <v>1678</v>
      </c>
      <c r="B1595" s="8" t="s">
        <v>4413</v>
      </c>
      <c r="H1595" s="8" t="s">
        <v>4414</v>
      </c>
      <c r="I1595" s="8" t="s">
        <v>4414</v>
      </c>
      <c r="J1595" s="5">
        <v>19</v>
      </c>
      <c r="K1595" s="5" t="s">
        <v>292</v>
      </c>
      <c r="L1595" s="5" t="s">
        <v>3723</v>
      </c>
      <c r="M1595" s="5">
        <v>44</v>
      </c>
      <c r="N1595" s="5" t="s">
        <v>4375</v>
      </c>
      <c r="O1595" s="5" t="s">
        <v>574</v>
      </c>
      <c r="Q1595" s="5" t="s">
        <v>4415</v>
      </c>
      <c r="R1595" s="6"/>
      <c r="S1595" s="6"/>
    </row>
    <row r="1596" spans="1:21" x14ac:dyDescent="0.2">
      <c r="A1596" s="5">
        <v>1679</v>
      </c>
      <c r="B1596" s="8" t="s">
        <v>4416</v>
      </c>
      <c r="H1596" s="8" t="s">
        <v>4414</v>
      </c>
      <c r="I1596" s="8" t="s">
        <v>4414</v>
      </c>
      <c r="J1596" s="5">
        <v>21</v>
      </c>
      <c r="K1596" s="5" t="s">
        <v>292</v>
      </c>
      <c r="L1596" s="5" t="s">
        <v>3723</v>
      </c>
      <c r="M1596" s="5">
        <v>44</v>
      </c>
      <c r="N1596" s="5" t="s">
        <v>4375</v>
      </c>
      <c r="O1596" s="5" t="s">
        <v>574</v>
      </c>
      <c r="Q1596" s="5" t="s">
        <v>4417</v>
      </c>
      <c r="R1596" s="6"/>
      <c r="S1596" s="6" t="s">
        <v>328</v>
      </c>
    </row>
    <row r="1597" spans="1:21" x14ac:dyDescent="0.2">
      <c r="A1597" s="5">
        <v>1680</v>
      </c>
      <c r="B1597" s="8" t="s">
        <v>4418</v>
      </c>
      <c r="H1597" s="8" t="s">
        <v>4414</v>
      </c>
      <c r="I1597" s="8" t="s">
        <v>4414</v>
      </c>
      <c r="J1597" s="5">
        <v>19</v>
      </c>
      <c r="K1597" s="5" t="s">
        <v>292</v>
      </c>
      <c r="L1597" s="5" t="s">
        <v>3723</v>
      </c>
      <c r="M1597" s="5">
        <v>44</v>
      </c>
      <c r="N1597" s="5" t="s">
        <v>4375</v>
      </c>
      <c r="O1597" s="5" t="s">
        <v>574</v>
      </c>
      <c r="Q1597" s="10" t="s">
        <v>553</v>
      </c>
      <c r="R1597" s="6"/>
      <c r="S1597" s="6" t="s">
        <v>328</v>
      </c>
    </row>
    <row r="1598" spans="1:21" x14ac:dyDescent="0.2">
      <c r="A1598" s="5">
        <v>1681</v>
      </c>
      <c r="B1598" s="8" t="s">
        <v>4419</v>
      </c>
      <c r="H1598" s="8" t="s">
        <v>4414</v>
      </c>
      <c r="I1598" s="8" t="s">
        <v>4420</v>
      </c>
      <c r="J1598" s="5">
        <v>73</v>
      </c>
      <c r="K1598" s="5" t="s">
        <v>292</v>
      </c>
      <c r="L1598" s="5" t="s">
        <v>3723</v>
      </c>
      <c r="M1598" s="5">
        <v>44</v>
      </c>
      <c r="N1598" s="5" t="s">
        <v>4375</v>
      </c>
      <c r="O1598" s="5" t="s">
        <v>574</v>
      </c>
      <c r="Q1598" s="10" t="s">
        <v>553</v>
      </c>
    </row>
    <row r="1599" spans="1:21" x14ac:dyDescent="0.2">
      <c r="A1599" s="5">
        <v>279</v>
      </c>
      <c r="H1599" s="8" t="s">
        <v>4421</v>
      </c>
      <c r="I1599" s="8" t="s">
        <v>4421</v>
      </c>
      <c r="J1599" s="5">
        <v>35</v>
      </c>
      <c r="K1599" s="5" t="s">
        <v>292</v>
      </c>
      <c r="L1599" s="5" t="s">
        <v>3723</v>
      </c>
      <c r="M1599" s="5">
        <v>45</v>
      </c>
      <c r="N1599" s="5" t="s">
        <v>3510</v>
      </c>
      <c r="O1599" s="5" t="s">
        <v>520</v>
      </c>
      <c r="Q1599" s="5" t="s">
        <v>4422</v>
      </c>
      <c r="R1599" s="6"/>
      <c r="S1599" s="6"/>
    </row>
    <row r="1600" spans="1:21" x14ac:dyDescent="0.2">
      <c r="A1600" s="5">
        <v>1683</v>
      </c>
      <c r="B1600" s="8">
        <v>804600</v>
      </c>
      <c r="H1600" s="8" t="s">
        <v>4423</v>
      </c>
      <c r="I1600" s="40" t="s">
        <v>4423</v>
      </c>
      <c r="J1600" s="5">
        <f>204-198-3-1+508-1-20-99-72-9</f>
        <v>309</v>
      </c>
      <c r="K1600" s="5" t="s">
        <v>292</v>
      </c>
      <c r="L1600" s="5" t="s">
        <v>3723</v>
      </c>
      <c r="M1600" s="5">
        <v>45</v>
      </c>
      <c r="N1600" s="5" t="s">
        <v>4024</v>
      </c>
      <c r="O1600" s="5" t="s">
        <v>574</v>
      </c>
      <c r="Q1600" s="5" t="s">
        <v>2181</v>
      </c>
      <c r="R1600" s="6"/>
      <c r="S1600" s="6"/>
    </row>
    <row r="1601" spans="1:19" x14ac:dyDescent="0.2">
      <c r="A1601" s="5"/>
      <c r="B1601" s="34">
        <v>5001675</v>
      </c>
      <c r="H1601" s="8" t="s">
        <v>4424</v>
      </c>
      <c r="I1601" s="8" t="s">
        <v>4424</v>
      </c>
      <c r="J1601" s="5" t="s">
        <v>4425</v>
      </c>
      <c r="K1601" s="5" t="s">
        <v>292</v>
      </c>
      <c r="L1601" s="5" t="s">
        <v>3723</v>
      </c>
      <c r="M1601" s="5">
        <v>45</v>
      </c>
      <c r="O1601" s="5" t="s">
        <v>574</v>
      </c>
      <c r="R1601" s="6"/>
      <c r="S1601" s="6"/>
    </row>
    <row r="1602" spans="1:19" x14ac:dyDescent="0.2">
      <c r="A1602" s="5"/>
      <c r="B1602" s="8">
        <v>5001676</v>
      </c>
      <c r="H1602" s="8" t="s">
        <v>4426</v>
      </c>
      <c r="I1602" s="8" t="s">
        <v>4426</v>
      </c>
      <c r="J1602" s="5">
        <v>6</v>
      </c>
      <c r="K1602" s="5" t="s">
        <v>292</v>
      </c>
      <c r="L1602" s="5" t="s">
        <v>3723</v>
      </c>
      <c r="M1602" s="5">
        <v>45</v>
      </c>
      <c r="O1602" s="5" t="s">
        <v>574</v>
      </c>
      <c r="Q1602" s="33"/>
      <c r="R1602" s="6"/>
      <c r="S1602" s="6"/>
    </row>
    <row r="1603" spans="1:19" x14ac:dyDescent="0.2">
      <c r="A1603" s="5"/>
      <c r="B1603" s="8" t="s">
        <v>4427</v>
      </c>
      <c r="H1603" s="8" t="s">
        <v>4428</v>
      </c>
      <c r="I1603" s="8" t="s">
        <v>4428</v>
      </c>
      <c r="J1603" s="5">
        <v>28</v>
      </c>
      <c r="K1603" s="5" t="s">
        <v>292</v>
      </c>
      <c r="L1603" s="5" t="s">
        <v>3723</v>
      </c>
      <c r="M1603" s="5">
        <v>46</v>
      </c>
      <c r="N1603" s="5" t="s">
        <v>2872</v>
      </c>
      <c r="O1603" s="5" t="s">
        <v>574</v>
      </c>
      <c r="R1603" s="6"/>
      <c r="S1603" s="6" t="s">
        <v>328</v>
      </c>
    </row>
    <row r="1604" spans="1:19" x14ac:dyDescent="0.2">
      <c r="A1604" s="5">
        <v>1717</v>
      </c>
      <c r="B1604" s="8" t="s">
        <v>4429</v>
      </c>
      <c r="H1604" s="8" t="s">
        <v>4378</v>
      </c>
      <c r="I1604" s="8" t="s">
        <v>4378</v>
      </c>
      <c r="J1604" s="5">
        <f>10+14+2-1-3-3-14-1+2-1-4+22</f>
        <v>23</v>
      </c>
      <c r="K1604" s="5" t="s">
        <v>292</v>
      </c>
      <c r="L1604" s="5" t="s">
        <v>3723</v>
      </c>
      <c r="M1604" s="5">
        <v>47</v>
      </c>
      <c r="N1604" s="5" t="s">
        <v>4375</v>
      </c>
      <c r="O1604" s="5" t="s">
        <v>574</v>
      </c>
      <c r="R1604" s="6"/>
      <c r="S1604" s="6" t="s">
        <v>328</v>
      </c>
    </row>
    <row r="1605" spans="1:19" x14ac:dyDescent="0.2">
      <c r="A1605" s="5">
        <v>1718</v>
      </c>
      <c r="B1605" s="8" t="s">
        <v>118</v>
      </c>
      <c r="H1605" s="8" t="s">
        <v>4430</v>
      </c>
      <c r="I1605" s="8" t="s">
        <v>4431</v>
      </c>
      <c r="J1605" s="5">
        <f>15-2-2+50-50+50-52+16-4-4+11+4-4+320-80-48</f>
        <v>220</v>
      </c>
      <c r="K1605" s="5" t="s">
        <v>292</v>
      </c>
      <c r="L1605" s="5" t="s">
        <v>3723</v>
      </c>
      <c r="M1605" s="5">
        <v>47</v>
      </c>
      <c r="N1605" s="5" t="s">
        <v>4375</v>
      </c>
      <c r="O1605" s="5" t="s">
        <v>574</v>
      </c>
      <c r="Q1605" s="10" t="s">
        <v>553</v>
      </c>
      <c r="R1605" s="6"/>
      <c r="S1605" s="6"/>
    </row>
    <row r="1606" spans="1:19" x14ac:dyDescent="0.2">
      <c r="A1606" s="5"/>
      <c r="B1606" s="8" t="s">
        <v>118</v>
      </c>
      <c r="I1606" s="8" t="s">
        <v>998</v>
      </c>
      <c r="J1606" s="5">
        <f>126-2+80-16-14</f>
        <v>174</v>
      </c>
      <c r="K1606" s="5" t="s">
        <v>292</v>
      </c>
      <c r="L1606" s="5" t="s">
        <v>3723</v>
      </c>
      <c r="M1606" s="5">
        <v>47</v>
      </c>
      <c r="Q1606" s="10"/>
      <c r="R1606" s="6"/>
      <c r="S1606" s="6"/>
    </row>
    <row r="1607" spans="1:19" x14ac:dyDescent="0.2">
      <c r="A1607" s="5"/>
      <c r="B1607" s="8" t="s">
        <v>4432</v>
      </c>
      <c r="H1607" s="8" t="s">
        <v>4433</v>
      </c>
      <c r="I1607" s="8" t="s">
        <v>4433</v>
      </c>
      <c r="J1607" s="5">
        <v>8</v>
      </c>
      <c r="K1607" s="5" t="s">
        <v>292</v>
      </c>
      <c r="L1607" s="5" t="s">
        <v>3723</v>
      </c>
      <c r="M1607" s="5">
        <v>47</v>
      </c>
      <c r="N1607" s="5" t="s">
        <v>4375</v>
      </c>
      <c r="O1607" s="5" t="s">
        <v>574</v>
      </c>
      <c r="Q1607" s="10"/>
      <c r="S1607" s="5" t="s">
        <v>328</v>
      </c>
    </row>
    <row r="1608" spans="1:19" x14ac:dyDescent="0.2">
      <c r="A1608" s="5">
        <v>873</v>
      </c>
      <c r="B1608" s="8" t="s">
        <v>4434</v>
      </c>
      <c r="H1608" s="8" t="s">
        <v>4435</v>
      </c>
      <c r="I1608" s="8" t="s">
        <v>4435</v>
      </c>
      <c r="J1608" s="5">
        <v>2</v>
      </c>
      <c r="K1608" s="5" t="s">
        <v>292</v>
      </c>
      <c r="L1608" s="5" t="s">
        <v>3723</v>
      </c>
      <c r="M1608" s="5">
        <v>48</v>
      </c>
      <c r="N1608" s="5" t="s">
        <v>4436</v>
      </c>
      <c r="O1608" s="5" t="s">
        <v>789</v>
      </c>
      <c r="Q1608" s="10" t="s">
        <v>553</v>
      </c>
      <c r="S1608" s="5" t="s">
        <v>328</v>
      </c>
    </row>
    <row r="1609" spans="1:19" x14ac:dyDescent="0.2">
      <c r="A1609" s="5"/>
      <c r="B1609" s="8" t="s">
        <v>4437</v>
      </c>
      <c r="H1609" s="8" t="s">
        <v>4438</v>
      </c>
      <c r="I1609" s="8" t="s">
        <v>4439</v>
      </c>
      <c r="J1609" s="5">
        <f>10-10+29-12+20-2</f>
        <v>35</v>
      </c>
      <c r="K1609" s="5" t="s">
        <v>292</v>
      </c>
      <c r="L1609" s="5" t="s">
        <v>3723</v>
      </c>
      <c r="M1609" s="5">
        <v>48</v>
      </c>
      <c r="Q1609" s="10"/>
    </row>
    <row r="1610" spans="1:19" x14ac:dyDescent="0.2">
      <c r="A1610" s="5">
        <v>874</v>
      </c>
      <c r="B1610" s="8" t="s">
        <v>4440</v>
      </c>
      <c r="H1610" s="8" t="s">
        <v>4441</v>
      </c>
      <c r="I1610" s="8" t="s">
        <v>4441</v>
      </c>
      <c r="J1610" s="5">
        <v>4</v>
      </c>
      <c r="K1610" s="5" t="s">
        <v>292</v>
      </c>
      <c r="L1610" s="5" t="s">
        <v>3723</v>
      </c>
      <c r="M1610" s="5">
        <v>48</v>
      </c>
      <c r="N1610" s="5" t="s">
        <v>4436</v>
      </c>
      <c r="O1610" s="5" t="s">
        <v>789</v>
      </c>
      <c r="Q1610" s="10" t="s">
        <v>553</v>
      </c>
      <c r="S1610" s="5" t="s">
        <v>328</v>
      </c>
    </row>
    <row r="1611" spans="1:19" x14ac:dyDescent="0.2">
      <c r="A1611" s="5">
        <v>870</v>
      </c>
      <c r="B1611" s="8" t="s">
        <v>4442</v>
      </c>
      <c r="H1611" s="8" t="s">
        <v>4443</v>
      </c>
      <c r="I1611" s="8" t="s">
        <v>4444</v>
      </c>
      <c r="J1611" s="5">
        <v>12</v>
      </c>
      <c r="K1611" s="5" t="s">
        <v>292</v>
      </c>
      <c r="L1611" s="5" t="s">
        <v>3723</v>
      </c>
      <c r="M1611" s="5">
        <v>49</v>
      </c>
      <c r="N1611" s="5" t="s">
        <v>4436</v>
      </c>
      <c r="O1611" s="5" t="s">
        <v>789</v>
      </c>
      <c r="Q1611" s="10" t="s">
        <v>553</v>
      </c>
    </row>
    <row r="1612" spans="1:19" x14ac:dyDescent="0.2">
      <c r="A1612" s="5"/>
      <c r="B1612" s="8" t="s">
        <v>4445</v>
      </c>
      <c r="H1612" s="8" t="s">
        <v>4446</v>
      </c>
      <c r="I1612" s="8" t="s">
        <v>4446</v>
      </c>
      <c r="J1612" s="5">
        <f>43-8-9-8-8-8-2</f>
        <v>0</v>
      </c>
      <c r="K1612" s="5" t="s">
        <v>21</v>
      </c>
      <c r="L1612" s="5" t="s">
        <v>3723</v>
      </c>
      <c r="M1612" s="5">
        <v>48</v>
      </c>
      <c r="Q1612" s="10"/>
    </row>
    <row r="1613" spans="1:19" x14ac:dyDescent="0.2">
      <c r="A1613" s="5"/>
      <c r="B1613" s="8" t="s">
        <v>4447</v>
      </c>
      <c r="H1613" s="8" t="s">
        <v>4448</v>
      </c>
      <c r="I1613" s="8" t="s">
        <v>4449</v>
      </c>
      <c r="J1613" s="5">
        <v>2</v>
      </c>
      <c r="K1613" s="5" t="s">
        <v>21</v>
      </c>
      <c r="L1613" s="5" t="s">
        <v>3723</v>
      </c>
      <c r="M1613" s="5">
        <v>48</v>
      </c>
      <c r="Q1613" s="10"/>
      <c r="S1613" s="5" t="s">
        <v>1139</v>
      </c>
    </row>
    <row r="1614" spans="1:19" x14ac:dyDescent="0.2">
      <c r="A1614" s="5"/>
      <c r="B1614" s="8" t="s">
        <v>4447</v>
      </c>
      <c r="I1614" s="8" t="s">
        <v>4448</v>
      </c>
      <c r="J1614" s="5">
        <f>20-3-3-8-1-1</f>
        <v>4</v>
      </c>
      <c r="K1614" s="5" t="s">
        <v>21</v>
      </c>
      <c r="L1614" s="5" t="s">
        <v>3723</v>
      </c>
      <c r="M1614" s="5">
        <v>48</v>
      </c>
      <c r="Q1614" s="10"/>
    </row>
    <row r="1615" spans="1:19" x14ac:dyDescent="0.2">
      <c r="A1615" s="5"/>
      <c r="B1615" s="8" t="s">
        <v>4450</v>
      </c>
      <c r="I1615" s="8" t="s">
        <v>4451</v>
      </c>
      <c r="J1615" s="5">
        <f>2</f>
        <v>2</v>
      </c>
      <c r="K1615" s="5" t="s">
        <v>21</v>
      </c>
      <c r="L1615" s="5" t="s">
        <v>3723</v>
      </c>
      <c r="M1615" s="5">
        <v>48</v>
      </c>
      <c r="Q1615" s="10"/>
    </row>
    <row r="1616" spans="1:19" x14ac:dyDescent="0.2">
      <c r="A1616" s="5">
        <v>871</v>
      </c>
      <c r="B1616" s="8" t="s">
        <v>4452</v>
      </c>
      <c r="H1616" s="8" t="s">
        <v>4453</v>
      </c>
      <c r="I1616" s="8" t="s">
        <v>4453</v>
      </c>
      <c r="J1616" s="5">
        <v>2</v>
      </c>
      <c r="K1616" s="5" t="s">
        <v>292</v>
      </c>
      <c r="L1616" s="5" t="s">
        <v>3723</v>
      </c>
      <c r="M1616" s="5">
        <v>49</v>
      </c>
      <c r="N1616" s="5" t="s">
        <v>4186</v>
      </c>
      <c r="O1616" s="5" t="s">
        <v>789</v>
      </c>
      <c r="Q1616" s="10" t="s">
        <v>553</v>
      </c>
      <c r="S1616" s="5" t="s">
        <v>1139</v>
      </c>
    </row>
    <row r="1617" spans="1:19" x14ac:dyDescent="0.2">
      <c r="A1617" s="5">
        <v>872</v>
      </c>
      <c r="B1617" s="8" t="s">
        <v>4454</v>
      </c>
      <c r="H1617" s="8" t="s">
        <v>4455</v>
      </c>
      <c r="I1617" s="8" t="s">
        <v>4456</v>
      </c>
      <c r="J1617" s="5">
        <v>4</v>
      </c>
      <c r="K1617" s="5" t="s">
        <v>292</v>
      </c>
      <c r="L1617" s="5" t="s">
        <v>3723</v>
      </c>
      <c r="M1617" s="5">
        <v>49</v>
      </c>
      <c r="N1617" s="5" t="s">
        <v>4186</v>
      </c>
      <c r="O1617" s="5" t="s">
        <v>789</v>
      </c>
      <c r="Q1617" s="10" t="s">
        <v>553</v>
      </c>
    </row>
    <row r="1618" spans="1:19" x14ac:dyDescent="0.2">
      <c r="A1618" s="5">
        <v>245</v>
      </c>
      <c r="B1618" s="8" t="s">
        <v>4457</v>
      </c>
      <c r="C1618" s="8" t="s">
        <v>4458</v>
      </c>
      <c r="D1618" s="8" t="s">
        <v>4459</v>
      </c>
      <c r="E1618" s="24">
        <v>43687</v>
      </c>
      <c r="F1618" s="8" t="s">
        <v>259</v>
      </c>
      <c r="G1618" s="8" t="s">
        <v>276</v>
      </c>
      <c r="H1618" s="8" t="s">
        <v>4460</v>
      </c>
      <c r="I1618" s="8" t="s">
        <v>4461</v>
      </c>
      <c r="J1618" s="5">
        <f>358-4-88-66</f>
        <v>200</v>
      </c>
      <c r="K1618" s="5" t="s">
        <v>292</v>
      </c>
      <c r="L1618" s="5" t="s">
        <v>3723</v>
      </c>
      <c r="M1618" s="5">
        <v>50</v>
      </c>
      <c r="N1618" s="5" t="s">
        <v>71</v>
      </c>
      <c r="O1618" s="5" t="s">
        <v>520</v>
      </c>
      <c r="Q1618" s="5" t="s">
        <v>4462</v>
      </c>
    </row>
    <row r="1619" spans="1:19" x14ac:dyDescent="0.2">
      <c r="A1619" s="5">
        <v>296</v>
      </c>
      <c r="B1619" s="8" t="s">
        <v>4463</v>
      </c>
      <c r="D1619" s="8" t="s">
        <v>507</v>
      </c>
      <c r="E1619" s="24">
        <v>43687</v>
      </c>
      <c r="F1619" s="8" t="s">
        <v>259</v>
      </c>
      <c r="G1619" s="8" t="s">
        <v>260</v>
      </c>
      <c r="H1619" s="8" t="s">
        <v>4464</v>
      </c>
      <c r="I1619" s="8" t="s">
        <v>4194</v>
      </c>
      <c r="J1619" s="5">
        <f>78-66+500-12-66-21-30-3-10-5-5-6-20-100-32-42+66</f>
        <v>226</v>
      </c>
      <c r="K1619" s="5" t="s">
        <v>292</v>
      </c>
      <c r="L1619" s="5" t="s">
        <v>3723</v>
      </c>
      <c r="M1619" s="5">
        <v>50</v>
      </c>
      <c r="N1619" s="5" t="s">
        <v>71</v>
      </c>
      <c r="Q1619" s="5" t="s">
        <v>4465</v>
      </c>
      <c r="R1619" s="6"/>
      <c r="S1619" s="6" t="s">
        <v>328</v>
      </c>
    </row>
    <row r="1620" spans="1:19" x14ac:dyDescent="0.2">
      <c r="A1620" s="5">
        <v>1667</v>
      </c>
      <c r="B1620" s="8" t="s">
        <v>4466</v>
      </c>
      <c r="H1620" s="8" t="s">
        <v>4467</v>
      </c>
      <c r="I1620" s="8" t="s">
        <v>4468</v>
      </c>
      <c r="J1620" s="5">
        <f>468-24-19-3-1+40-52-10-29-2-93+6-16+10-3-8-1-3-3-100+88-54-14-56-14-7</f>
        <v>100</v>
      </c>
      <c r="K1620" s="5" t="s">
        <v>292</v>
      </c>
      <c r="L1620" s="5" t="s">
        <v>3723</v>
      </c>
      <c r="M1620" s="5">
        <v>50</v>
      </c>
      <c r="N1620" s="5" t="s">
        <v>4189</v>
      </c>
      <c r="O1620" s="5" t="s">
        <v>574</v>
      </c>
      <c r="Q1620" s="10" t="s">
        <v>553</v>
      </c>
      <c r="R1620" s="6"/>
      <c r="S1620" s="6" t="s">
        <v>328</v>
      </c>
    </row>
    <row r="1621" spans="1:19" x14ac:dyDescent="0.2">
      <c r="A1621" s="5">
        <v>1672</v>
      </c>
      <c r="B1621" s="8" t="s">
        <v>4469</v>
      </c>
      <c r="H1621" s="8" t="s">
        <v>4470</v>
      </c>
      <c r="I1621" s="8" t="s">
        <v>4470</v>
      </c>
      <c r="J1621" s="5">
        <v>3065</v>
      </c>
      <c r="K1621" s="5" t="s">
        <v>292</v>
      </c>
      <c r="L1621" s="5" t="s">
        <v>3723</v>
      </c>
      <c r="M1621" s="5">
        <v>50</v>
      </c>
      <c r="N1621" s="5" t="s">
        <v>3724</v>
      </c>
      <c r="O1621" s="5" t="s">
        <v>574</v>
      </c>
      <c r="Q1621" s="10" t="s">
        <v>553</v>
      </c>
    </row>
    <row r="1622" spans="1:19" x14ac:dyDescent="0.2">
      <c r="A1622" s="5"/>
      <c r="B1622" s="8" t="s">
        <v>4471</v>
      </c>
      <c r="I1622" s="8" t="s">
        <v>4472</v>
      </c>
      <c r="J1622" s="5">
        <f>270-10+100</f>
        <v>360</v>
      </c>
      <c r="K1622" s="5" t="s">
        <v>21</v>
      </c>
      <c r="L1622" s="5" t="s">
        <v>3723</v>
      </c>
      <c r="M1622" s="5">
        <v>50</v>
      </c>
      <c r="R1622" s="6"/>
      <c r="S1622" s="6"/>
    </row>
    <row r="1623" spans="1:19" x14ac:dyDescent="0.2">
      <c r="A1623" s="5"/>
      <c r="B1623" s="8" t="s">
        <v>4473</v>
      </c>
      <c r="I1623" s="8" t="s">
        <v>4474</v>
      </c>
      <c r="J1623" s="5">
        <f>100</f>
        <v>100</v>
      </c>
      <c r="L1623" s="5" t="s">
        <v>3723</v>
      </c>
      <c r="M1623" s="5">
        <v>50</v>
      </c>
      <c r="R1623" s="6"/>
      <c r="S1623" s="6"/>
    </row>
    <row r="1624" spans="1:19" x14ac:dyDescent="0.2">
      <c r="A1624" s="5">
        <v>1677</v>
      </c>
      <c r="B1624" s="8" t="s">
        <v>4475</v>
      </c>
      <c r="H1624" s="8" t="s">
        <v>4476</v>
      </c>
      <c r="I1624" s="8" t="s">
        <v>4476</v>
      </c>
      <c r="J1624" s="5">
        <f>59-19-20+7-20</f>
        <v>7</v>
      </c>
      <c r="K1624" s="5" t="s">
        <v>292</v>
      </c>
      <c r="L1624" s="5" t="s">
        <v>3723</v>
      </c>
      <c r="M1624" s="5">
        <v>51</v>
      </c>
      <c r="N1624" s="5" t="s">
        <v>4189</v>
      </c>
      <c r="O1624" s="5" t="s">
        <v>574</v>
      </c>
      <c r="Q1624" s="10" t="s">
        <v>553</v>
      </c>
      <c r="S1624" s="5" t="s">
        <v>328</v>
      </c>
    </row>
    <row r="1625" spans="1:19" x14ac:dyDescent="0.2">
      <c r="A1625" s="5">
        <v>875</v>
      </c>
      <c r="B1625" s="8" t="s">
        <v>4477</v>
      </c>
      <c r="D1625" s="8" t="s">
        <v>4478</v>
      </c>
      <c r="E1625" s="24">
        <v>43673</v>
      </c>
      <c r="F1625" s="8" t="s">
        <v>259</v>
      </c>
      <c r="G1625" s="8" t="s">
        <v>4479</v>
      </c>
      <c r="H1625" s="8" t="s">
        <v>4480</v>
      </c>
      <c r="I1625" s="8" t="s">
        <v>4481</v>
      </c>
      <c r="J1625" s="5">
        <v>0</v>
      </c>
      <c r="K1625" s="5" t="s">
        <v>292</v>
      </c>
      <c r="L1625" s="5" t="s">
        <v>3723</v>
      </c>
      <c r="M1625" s="5">
        <v>52</v>
      </c>
      <c r="O1625" s="5" t="s">
        <v>789</v>
      </c>
      <c r="Q1625" s="10" t="s">
        <v>553</v>
      </c>
    </row>
    <row r="1626" spans="1:19" x14ac:dyDescent="0.2">
      <c r="A1626" s="5"/>
      <c r="B1626" s="8" t="s">
        <v>4482</v>
      </c>
      <c r="H1626" s="8" t="s">
        <v>4483</v>
      </c>
      <c r="I1626" s="8" t="s">
        <v>4481</v>
      </c>
      <c r="J1626" s="5">
        <v>0</v>
      </c>
      <c r="K1626" s="5" t="s">
        <v>21</v>
      </c>
      <c r="L1626" s="5" t="s">
        <v>3723</v>
      </c>
      <c r="M1626" s="5">
        <v>52</v>
      </c>
      <c r="R1626" s="6"/>
      <c r="S1626" s="6" t="s">
        <v>328</v>
      </c>
    </row>
    <row r="1627" spans="1:19" x14ac:dyDescent="0.2">
      <c r="A1627" s="5">
        <v>1705</v>
      </c>
      <c r="B1627" s="8" t="s">
        <v>4484</v>
      </c>
      <c r="H1627" s="8" t="s">
        <v>4485</v>
      </c>
      <c r="I1627" s="8" t="s">
        <v>4485</v>
      </c>
      <c r="J1627" s="5">
        <f>5-1</f>
        <v>4</v>
      </c>
      <c r="K1627" s="5" t="s">
        <v>292</v>
      </c>
      <c r="L1627" s="5" t="s">
        <v>3723</v>
      </c>
      <c r="M1627" s="5">
        <v>53</v>
      </c>
      <c r="N1627" s="5" t="s">
        <v>4486</v>
      </c>
      <c r="O1627" s="5" t="s">
        <v>574</v>
      </c>
      <c r="Q1627" s="10" t="s">
        <v>553</v>
      </c>
      <c r="R1627" s="6"/>
      <c r="S1627" s="6" t="s">
        <v>328</v>
      </c>
    </row>
    <row r="1628" spans="1:19" x14ac:dyDescent="0.2">
      <c r="A1628" s="5">
        <v>1705</v>
      </c>
      <c r="B1628" s="8" t="s">
        <v>4487</v>
      </c>
      <c r="H1628" s="8" t="s">
        <v>4485</v>
      </c>
      <c r="I1628" s="8" t="s">
        <v>4485</v>
      </c>
      <c r="J1628" s="5">
        <f>90-72-18+52-45-7+18+27</f>
        <v>45</v>
      </c>
      <c r="K1628" s="5" t="s">
        <v>292</v>
      </c>
      <c r="L1628" s="5" t="s">
        <v>3723</v>
      </c>
      <c r="M1628" s="5">
        <v>53</v>
      </c>
      <c r="N1628" s="5" t="s">
        <v>4486</v>
      </c>
      <c r="O1628" s="5" t="s">
        <v>574</v>
      </c>
      <c r="Q1628" s="10" t="s">
        <v>553</v>
      </c>
      <c r="R1628" s="6"/>
      <c r="S1628" s="6" t="s">
        <v>328</v>
      </c>
    </row>
    <row r="1629" spans="1:19" x14ac:dyDescent="0.2">
      <c r="A1629" s="5">
        <v>1706</v>
      </c>
      <c r="B1629" s="8" t="s">
        <v>4488</v>
      </c>
      <c r="H1629" s="8" t="s">
        <v>4489</v>
      </c>
      <c r="I1629" s="8" t="s">
        <v>4489</v>
      </c>
      <c r="J1629" s="5">
        <v>1</v>
      </c>
      <c r="K1629" s="5" t="s">
        <v>292</v>
      </c>
      <c r="L1629" s="5" t="s">
        <v>3723</v>
      </c>
      <c r="M1629" s="5">
        <v>53</v>
      </c>
      <c r="N1629" s="5" t="s">
        <v>3845</v>
      </c>
      <c r="O1629" s="5" t="s">
        <v>574</v>
      </c>
      <c r="Q1629" s="10" t="s">
        <v>553</v>
      </c>
      <c r="R1629" s="6"/>
      <c r="S1629" s="6" t="s">
        <v>328</v>
      </c>
    </row>
    <row r="1630" spans="1:19" x14ac:dyDescent="0.2">
      <c r="A1630" s="5">
        <v>1707</v>
      </c>
      <c r="B1630" s="8" t="s">
        <v>4490</v>
      </c>
      <c r="H1630" s="8" t="s">
        <v>4491</v>
      </c>
      <c r="I1630" s="8" t="s">
        <v>4491</v>
      </c>
      <c r="J1630" s="5">
        <v>2</v>
      </c>
      <c r="K1630" s="5" t="s">
        <v>292</v>
      </c>
      <c r="L1630" s="5" t="s">
        <v>3723</v>
      </c>
      <c r="M1630" s="5">
        <v>53</v>
      </c>
      <c r="N1630" s="5" t="s">
        <v>3845</v>
      </c>
      <c r="O1630" s="5" t="s">
        <v>574</v>
      </c>
      <c r="Q1630" s="10" t="s">
        <v>553</v>
      </c>
      <c r="R1630" s="6"/>
      <c r="S1630" s="6" t="s">
        <v>328</v>
      </c>
    </row>
    <row r="1631" spans="1:19" x14ac:dyDescent="0.2">
      <c r="A1631" s="5">
        <v>1708</v>
      </c>
      <c r="B1631" s="8" t="s">
        <v>4492</v>
      </c>
      <c r="H1631" s="8" t="s">
        <v>4493</v>
      </c>
      <c r="I1631" s="8" t="s">
        <v>4493</v>
      </c>
      <c r="J1631" s="5">
        <v>6</v>
      </c>
      <c r="K1631" s="5" t="s">
        <v>292</v>
      </c>
      <c r="L1631" s="5" t="s">
        <v>3723</v>
      </c>
      <c r="M1631" s="5">
        <v>53</v>
      </c>
      <c r="N1631" s="5" t="s">
        <v>3824</v>
      </c>
      <c r="O1631" s="5" t="s">
        <v>574</v>
      </c>
      <c r="Q1631" s="10" t="s">
        <v>553</v>
      </c>
      <c r="R1631" s="6"/>
      <c r="S1631" s="6" t="s">
        <v>328</v>
      </c>
    </row>
    <row r="1632" spans="1:19" x14ac:dyDescent="0.2">
      <c r="A1632" s="5">
        <v>1709</v>
      </c>
      <c r="B1632" s="8" t="s">
        <v>4494</v>
      </c>
      <c r="H1632" s="8" t="s">
        <v>4495</v>
      </c>
      <c r="I1632" s="8" t="s">
        <v>4495</v>
      </c>
      <c r="J1632" s="5">
        <v>3</v>
      </c>
      <c r="K1632" s="5" t="s">
        <v>292</v>
      </c>
      <c r="L1632" s="5" t="s">
        <v>3723</v>
      </c>
      <c r="M1632" s="5">
        <v>53</v>
      </c>
      <c r="N1632" s="5" t="s">
        <v>3845</v>
      </c>
      <c r="O1632" s="5" t="s">
        <v>574</v>
      </c>
      <c r="Q1632" s="10" t="s">
        <v>553</v>
      </c>
      <c r="R1632" s="6"/>
      <c r="S1632" s="6" t="s">
        <v>328</v>
      </c>
    </row>
    <row r="1633" spans="1:21" x14ac:dyDescent="0.2">
      <c r="A1633" s="5">
        <v>1710</v>
      </c>
      <c r="B1633" s="8" t="s">
        <v>4496</v>
      </c>
      <c r="H1633" s="8" t="s">
        <v>4497</v>
      </c>
      <c r="I1633" s="8" t="s">
        <v>4497</v>
      </c>
      <c r="J1633" s="5">
        <v>8</v>
      </c>
      <c r="K1633" s="5" t="s">
        <v>292</v>
      </c>
      <c r="L1633" s="5" t="s">
        <v>3723</v>
      </c>
      <c r="M1633" s="5">
        <v>53</v>
      </c>
      <c r="N1633" s="5" t="s">
        <v>4176</v>
      </c>
      <c r="O1633" s="5" t="s">
        <v>574</v>
      </c>
      <c r="Q1633" s="10" t="s">
        <v>553</v>
      </c>
      <c r="R1633" s="6"/>
      <c r="S1633" s="6" t="s">
        <v>328</v>
      </c>
    </row>
    <row r="1634" spans="1:21" x14ac:dyDescent="0.2">
      <c r="A1634" s="5">
        <v>1711</v>
      </c>
      <c r="B1634" s="8" t="s">
        <v>4427</v>
      </c>
      <c r="H1634" s="8" t="s">
        <v>4497</v>
      </c>
      <c r="I1634" s="8" t="s">
        <v>4428</v>
      </c>
      <c r="J1634" s="5">
        <v>6</v>
      </c>
      <c r="K1634" s="5" t="s">
        <v>292</v>
      </c>
      <c r="L1634" s="5" t="s">
        <v>3723</v>
      </c>
      <c r="M1634" s="5">
        <v>53</v>
      </c>
      <c r="N1634" s="5" t="s">
        <v>4317</v>
      </c>
      <c r="O1634" s="5" t="s">
        <v>574</v>
      </c>
      <c r="Q1634" s="10" t="s">
        <v>553</v>
      </c>
    </row>
    <row r="1635" spans="1:21" x14ac:dyDescent="0.2">
      <c r="A1635" s="5">
        <v>2395</v>
      </c>
      <c r="B1635" s="8" t="s">
        <v>4498</v>
      </c>
      <c r="H1635" s="8">
        <v>9557950598039</v>
      </c>
      <c r="I1635" s="8" t="s">
        <v>4499</v>
      </c>
      <c r="J1635" s="5">
        <f>76</f>
        <v>76</v>
      </c>
      <c r="K1635" s="5" t="s">
        <v>292</v>
      </c>
      <c r="L1635" s="5" t="s">
        <v>3723</v>
      </c>
      <c r="M1635" s="5">
        <v>54</v>
      </c>
      <c r="N1635" s="5" t="s">
        <v>511</v>
      </c>
      <c r="O1635" s="5" t="s">
        <v>520</v>
      </c>
      <c r="Q1635" s="5" t="s">
        <v>4500</v>
      </c>
    </row>
    <row r="1636" spans="1:21" ht="15.75" customHeight="1" x14ac:dyDescent="0.2">
      <c r="A1636" s="5"/>
      <c r="B1636" s="8" t="s">
        <v>4501</v>
      </c>
      <c r="H1636" s="8" t="s">
        <v>4502</v>
      </c>
      <c r="I1636" s="8" t="s">
        <v>4502</v>
      </c>
      <c r="J1636" s="5">
        <f>3-3</f>
        <v>0</v>
      </c>
      <c r="K1636" s="5" t="s">
        <v>292</v>
      </c>
      <c r="L1636" s="5" t="s">
        <v>3723</v>
      </c>
      <c r="M1636" s="5">
        <v>54</v>
      </c>
      <c r="N1636" s="5" t="s">
        <v>511</v>
      </c>
      <c r="Q1636" s="107" t="s">
        <v>4503</v>
      </c>
    </row>
    <row r="1637" spans="1:21" ht="15.75" customHeight="1" x14ac:dyDescent="0.2">
      <c r="A1637" s="5"/>
      <c r="B1637" s="8" t="s">
        <v>4504</v>
      </c>
      <c r="H1637" s="8" t="s">
        <v>4505</v>
      </c>
      <c r="I1637" s="8" t="s">
        <v>4505</v>
      </c>
      <c r="J1637" s="5">
        <f>3+5-5-2</f>
        <v>1</v>
      </c>
      <c r="K1637" s="5" t="s">
        <v>292</v>
      </c>
      <c r="L1637" s="5" t="s">
        <v>3723</v>
      </c>
      <c r="M1637" s="5">
        <v>54</v>
      </c>
      <c r="N1637" s="5" t="s">
        <v>511</v>
      </c>
      <c r="Q1637" s="107" t="s">
        <v>4503</v>
      </c>
      <c r="R1637" s="6"/>
      <c r="S1637" s="6" t="s">
        <v>1139</v>
      </c>
    </row>
    <row r="1638" spans="1:21" x14ac:dyDescent="0.2">
      <c r="A1638" s="5">
        <v>1716</v>
      </c>
      <c r="B1638" s="8" t="s">
        <v>553</v>
      </c>
      <c r="H1638" s="8" t="s">
        <v>4506</v>
      </c>
      <c r="I1638" s="8" t="s">
        <v>4507</v>
      </c>
      <c r="J1638" s="5">
        <f>6-1-1</f>
        <v>4</v>
      </c>
      <c r="K1638" s="5" t="s">
        <v>292</v>
      </c>
      <c r="L1638" s="5" t="s">
        <v>3723</v>
      </c>
      <c r="M1638" s="5">
        <v>55</v>
      </c>
      <c r="N1638" s="5" t="s">
        <v>3850</v>
      </c>
      <c r="O1638" s="5" t="s">
        <v>574</v>
      </c>
      <c r="Q1638" s="10" t="s">
        <v>553</v>
      </c>
      <c r="R1638" s="6"/>
      <c r="S1638" s="6"/>
      <c r="U1638" t="s">
        <v>4508</v>
      </c>
    </row>
    <row r="1639" spans="1:21" x14ac:dyDescent="0.2">
      <c r="A1639" s="5">
        <v>1730</v>
      </c>
      <c r="B1639" s="8">
        <v>495</v>
      </c>
      <c r="H1639" s="8" t="s">
        <v>4509</v>
      </c>
      <c r="I1639" s="8" t="s">
        <v>4509</v>
      </c>
      <c r="J1639" s="5">
        <f>5-1-1-1-1-1</f>
        <v>0</v>
      </c>
      <c r="K1639" s="5" t="s">
        <v>292</v>
      </c>
      <c r="L1639" s="5" t="s">
        <v>3723</v>
      </c>
      <c r="M1639" s="5">
        <v>55</v>
      </c>
      <c r="N1639" s="5" t="s">
        <v>4186</v>
      </c>
      <c r="O1639" s="5" t="s">
        <v>574</v>
      </c>
      <c r="Q1639" s="10" t="s">
        <v>553</v>
      </c>
      <c r="R1639" s="6"/>
      <c r="S1639" s="6"/>
    </row>
    <row r="1640" spans="1:21" x14ac:dyDescent="0.2">
      <c r="A1640" s="5"/>
      <c r="B1640" s="8" t="s">
        <v>4510</v>
      </c>
      <c r="I1640" s="8" t="s">
        <v>4511</v>
      </c>
      <c r="J1640" s="5">
        <f>9-9</f>
        <v>0</v>
      </c>
      <c r="K1640" s="5" t="s">
        <v>292</v>
      </c>
      <c r="L1640" s="5" t="s">
        <v>3723</v>
      </c>
      <c r="M1640" s="5">
        <v>55</v>
      </c>
      <c r="Q1640" s="10"/>
      <c r="R1640" s="6"/>
      <c r="S1640" s="6"/>
    </row>
    <row r="1641" spans="1:21" x14ac:dyDescent="0.2">
      <c r="A1641" s="5">
        <v>1733</v>
      </c>
      <c r="B1641" s="8" t="s">
        <v>4512</v>
      </c>
      <c r="H1641" s="8" t="s">
        <v>4513</v>
      </c>
      <c r="I1641" s="8" t="s">
        <v>4513</v>
      </c>
      <c r="J1641" s="5">
        <v>4</v>
      </c>
      <c r="K1641" s="5" t="s">
        <v>292</v>
      </c>
      <c r="L1641" s="5" t="s">
        <v>3723</v>
      </c>
      <c r="M1641" s="5">
        <v>56</v>
      </c>
      <c r="N1641" s="5" t="s">
        <v>3819</v>
      </c>
      <c r="O1641" s="5" t="s">
        <v>574</v>
      </c>
      <c r="Q1641" s="10" t="s">
        <v>553</v>
      </c>
      <c r="R1641" s="6"/>
      <c r="S1641" s="6"/>
    </row>
    <row r="1642" spans="1:21" x14ac:dyDescent="0.2">
      <c r="A1642" s="5">
        <v>1734</v>
      </c>
      <c r="B1642" s="8" t="s">
        <v>4514</v>
      </c>
      <c r="H1642" s="8" t="s">
        <v>4515</v>
      </c>
      <c r="I1642" s="8" t="s">
        <v>4515</v>
      </c>
      <c r="J1642" s="5">
        <v>0</v>
      </c>
      <c r="K1642" s="5" t="s">
        <v>292</v>
      </c>
      <c r="L1642" s="5" t="s">
        <v>3723</v>
      </c>
      <c r="M1642" s="5">
        <v>56</v>
      </c>
      <c r="N1642" s="5" t="s">
        <v>3819</v>
      </c>
      <c r="O1642" s="5" t="s">
        <v>574</v>
      </c>
      <c r="Q1642" s="5" t="s">
        <v>4516</v>
      </c>
      <c r="S1642" s="5" t="s">
        <v>328</v>
      </c>
    </row>
    <row r="1643" spans="1:21" x14ac:dyDescent="0.2">
      <c r="A1643" s="5">
        <v>830</v>
      </c>
      <c r="B1643" s="11" t="s">
        <v>56</v>
      </c>
      <c r="C1643" s="11"/>
      <c r="D1643" s="11"/>
      <c r="E1643" s="26"/>
      <c r="F1643" s="11"/>
      <c r="G1643" s="11"/>
      <c r="H1643" s="8" t="s">
        <v>4517</v>
      </c>
      <c r="I1643" s="8" t="s">
        <v>4517</v>
      </c>
      <c r="J1643" s="5">
        <f>207-60+300-62-62-8-3-10-15+50-80-40-64</f>
        <v>153</v>
      </c>
      <c r="K1643" s="5" t="s">
        <v>292</v>
      </c>
      <c r="L1643" s="5" t="s">
        <v>3723</v>
      </c>
      <c r="M1643" s="5">
        <v>57</v>
      </c>
      <c r="N1643" s="5" t="s">
        <v>2527</v>
      </c>
      <c r="O1643" s="5" t="s">
        <v>789</v>
      </c>
      <c r="Q1643" s="10" t="s">
        <v>553</v>
      </c>
    </row>
    <row r="1644" spans="1:21" x14ac:dyDescent="0.2">
      <c r="A1644" s="5">
        <v>264</v>
      </c>
      <c r="B1644" s="8" t="s">
        <v>4518</v>
      </c>
      <c r="H1644" s="8" t="s">
        <v>4519</v>
      </c>
      <c r="I1644" s="8" t="s">
        <v>4519</v>
      </c>
      <c r="J1644" s="5">
        <v>175</v>
      </c>
      <c r="K1644" s="5" t="s">
        <v>292</v>
      </c>
      <c r="L1644" s="5" t="s">
        <v>3723</v>
      </c>
      <c r="M1644" s="5">
        <v>58</v>
      </c>
      <c r="N1644" s="5" t="s">
        <v>57</v>
      </c>
      <c r="O1644" s="5" t="s">
        <v>266</v>
      </c>
    </row>
    <row r="1645" spans="1:21" x14ac:dyDescent="0.2">
      <c r="A1645" s="5">
        <v>267</v>
      </c>
      <c r="B1645" s="8" t="s">
        <v>4520</v>
      </c>
      <c r="H1645" s="8" t="s">
        <v>4521</v>
      </c>
      <c r="I1645" s="8" t="s">
        <v>4521</v>
      </c>
      <c r="J1645" s="5">
        <v>90</v>
      </c>
      <c r="K1645" s="5" t="s">
        <v>292</v>
      </c>
      <c r="L1645" s="5" t="s">
        <v>3723</v>
      </c>
      <c r="M1645" s="5">
        <v>58</v>
      </c>
      <c r="N1645" s="5" t="s">
        <v>57</v>
      </c>
      <c r="O1645" s="5" t="s">
        <v>266</v>
      </c>
    </row>
    <row r="1646" spans="1:21" x14ac:dyDescent="0.2">
      <c r="A1646" s="5">
        <v>271</v>
      </c>
      <c r="B1646" s="8" t="s">
        <v>4522</v>
      </c>
      <c r="H1646" s="8" t="s">
        <v>4523</v>
      </c>
      <c r="I1646" s="8" t="s">
        <v>4523</v>
      </c>
      <c r="J1646" s="5">
        <v>123</v>
      </c>
      <c r="K1646" s="5" t="s">
        <v>292</v>
      </c>
      <c r="L1646" s="5" t="s">
        <v>3723</v>
      </c>
      <c r="M1646" s="5">
        <v>58</v>
      </c>
      <c r="N1646" s="5" t="s">
        <v>57</v>
      </c>
      <c r="O1646" s="5" t="s">
        <v>266</v>
      </c>
    </row>
    <row r="1647" spans="1:21" x14ac:dyDescent="0.2">
      <c r="A1647" s="5">
        <v>357</v>
      </c>
      <c r="B1647" s="8" t="s">
        <v>4524</v>
      </c>
      <c r="H1647" s="8" t="s">
        <v>4525</v>
      </c>
      <c r="I1647" s="8" t="s">
        <v>4525</v>
      </c>
      <c r="J1647" s="5">
        <v>199</v>
      </c>
      <c r="K1647" s="5" t="s">
        <v>292</v>
      </c>
      <c r="L1647" s="5" t="s">
        <v>3723</v>
      </c>
      <c r="M1647" s="5">
        <v>58</v>
      </c>
      <c r="N1647" s="5" t="s">
        <v>4526</v>
      </c>
      <c r="O1647" s="5" t="s">
        <v>266</v>
      </c>
      <c r="Q1647" s="5" t="s">
        <v>4527</v>
      </c>
    </row>
    <row r="1648" spans="1:21" x14ac:dyDescent="0.2">
      <c r="A1648" s="5">
        <v>358</v>
      </c>
      <c r="B1648" s="8" t="s">
        <v>4528</v>
      </c>
      <c r="H1648" s="8" t="s">
        <v>4529</v>
      </c>
      <c r="I1648" s="8" t="s">
        <v>4529</v>
      </c>
      <c r="J1648" s="5">
        <v>199</v>
      </c>
      <c r="K1648" s="5" t="s">
        <v>292</v>
      </c>
      <c r="L1648" s="5" t="s">
        <v>3723</v>
      </c>
      <c r="M1648" s="5">
        <v>58</v>
      </c>
      <c r="N1648" s="5" t="s">
        <v>4526</v>
      </c>
      <c r="O1648" s="5" t="s">
        <v>266</v>
      </c>
      <c r="Q1648" s="5" t="s">
        <v>4527</v>
      </c>
    </row>
    <row r="1649" spans="1:17" x14ac:dyDescent="0.2">
      <c r="A1649" s="5">
        <v>359</v>
      </c>
      <c r="B1649" s="8" t="s">
        <v>4530</v>
      </c>
      <c r="H1649" s="8" t="s">
        <v>4531</v>
      </c>
      <c r="I1649" s="8" t="s">
        <v>4531</v>
      </c>
      <c r="J1649" s="5">
        <f>48-1-8</f>
        <v>39</v>
      </c>
      <c r="K1649" s="5" t="s">
        <v>292</v>
      </c>
      <c r="L1649" s="5" t="s">
        <v>3723</v>
      </c>
      <c r="M1649" s="5">
        <v>58</v>
      </c>
      <c r="N1649" s="5" t="s">
        <v>4526</v>
      </c>
      <c r="O1649" s="5" t="s">
        <v>266</v>
      </c>
      <c r="Q1649" s="5" t="s">
        <v>4532</v>
      </c>
    </row>
    <row r="1650" spans="1:17" x14ac:dyDescent="0.2">
      <c r="A1650" s="5">
        <v>360</v>
      </c>
      <c r="B1650" s="8" t="s">
        <v>4533</v>
      </c>
      <c r="H1650" s="8" t="s">
        <v>4534</v>
      </c>
      <c r="I1650" s="8" t="s">
        <v>4534</v>
      </c>
      <c r="J1650" s="5">
        <v>54</v>
      </c>
      <c r="K1650" s="5" t="s">
        <v>292</v>
      </c>
      <c r="L1650" s="5" t="s">
        <v>3723</v>
      </c>
      <c r="M1650" s="5">
        <v>58</v>
      </c>
      <c r="N1650" s="5" t="s">
        <v>4526</v>
      </c>
      <c r="O1650" s="5" t="s">
        <v>266</v>
      </c>
      <c r="Q1650" s="5" t="s">
        <v>4532</v>
      </c>
    </row>
    <row r="1651" spans="1:17" x14ac:dyDescent="0.2">
      <c r="A1651" s="5">
        <v>837</v>
      </c>
      <c r="B1651" s="11" t="s">
        <v>4535</v>
      </c>
      <c r="C1651" s="11"/>
      <c r="D1651" s="11"/>
      <c r="E1651" s="26"/>
      <c r="F1651" s="11"/>
      <c r="G1651" s="11"/>
      <c r="H1651" s="8" t="s">
        <v>4536</v>
      </c>
      <c r="I1651" s="8" t="s">
        <v>4537</v>
      </c>
      <c r="J1651" s="5">
        <f>156-3-3-3-6-22+100-5-10-200+63-8-1-5</f>
        <v>53</v>
      </c>
      <c r="K1651" s="5" t="s">
        <v>292</v>
      </c>
      <c r="L1651" s="5" t="s">
        <v>3723</v>
      </c>
      <c r="M1651" s="5">
        <v>58</v>
      </c>
      <c r="N1651" s="5" t="s">
        <v>2527</v>
      </c>
      <c r="O1651" s="5" t="s">
        <v>789</v>
      </c>
      <c r="Q1651" s="10" t="s">
        <v>4538</v>
      </c>
    </row>
    <row r="1652" spans="1:17" x14ac:dyDescent="0.2">
      <c r="A1652" s="5">
        <v>2335</v>
      </c>
      <c r="B1652" s="8" t="s">
        <v>4539</v>
      </c>
      <c r="H1652" s="8" t="s">
        <v>4540</v>
      </c>
      <c r="I1652" s="8" t="s">
        <v>4540</v>
      </c>
      <c r="J1652" s="5">
        <f>490-5</f>
        <v>485</v>
      </c>
      <c r="K1652" s="5" t="s">
        <v>21</v>
      </c>
      <c r="L1652" s="5" t="s">
        <v>3723</v>
      </c>
      <c r="M1652" s="5">
        <v>58</v>
      </c>
      <c r="N1652" s="5" t="s">
        <v>57</v>
      </c>
      <c r="O1652" s="5" t="s">
        <v>574</v>
      </c>
      <c r="Q1652" s="5" t="s">
        <v>4541</v>
      </c>
    </row>
    <row r="1653" spans="1:17" x14ac:dyDescent="0.2">
      <c r="A1653" s="5"/>
      <c r="B1653" s="8">
        <v>771608</v>
      </c>
      <c r="H1653" s="8" t="s">
        <v>4540</v>
      </c>
      <c r="I1653" s="8" t="s">
        <v>4540</v>
      </c>
      <c r="J1653" s="5">
        <v>97</v>
      </c>
      <c r="K1653" s="5" t="s">
        <v>21</v>
      </c>
      <c r="L1653" s="5" t="s">
        <v>3723</v>
      </c>
      <c r="M1653" s="5">
        <v>58</v>
      </c>
      <c r="N1653" s="5" t="s">
        <v>57</v>
      </c>
    </row>
    <row r="1654" spans="1:17" x14ac:dyDescent="0.2">
      <c r="A1654" s="5">
        <v>2336</v>
      </c>
      <c r="B1654" s="8" t="s">
        <v>4542</v>
      </c>
      <c r="H1654" s="8" t="s">
        <v>4543</v>
      </c>
      <c r="I1654" s="8" t="s">
        <v>4543</v>
      </c>
      <c r="J1654" s="5">
        <v>586</v>
      </c>
      <c r="K1654" s="5" t="s">
        <v>292</v>
      </c>
      <c r="L1654" s="5" t="s">
        <v>3723</v>
      </c>
      <c r="M1654" s="5">
        <v>58</v>
      </c>
      <c r="N1654" s="5" t="s">
        <v>57</v>
      </c>
      <c r="O1654" s="5" t="s">
        <v>574</v>
      </c>
      <c r="Q1654" s="33" t="s">
        <v>4541</v>
      </c>
    </row>
    <row r="1655" spans="1:17" x14ac:dyDescent="0.2">
      <c r="A1655" s="5">
        <v>2350</v>
      </c>
      <c r="B1655" s="8" t="s">
        <v>4544</v>
      </c>
      <c r="H1655" s="8" t="s">
        <v>4545</v>
      </c>
      <c r="I1655" s="8" t="s">
        <v>4545</v>
      </c>
      <c r="J1655" s="5">
        <v>490</v>
      </c>
      <c r="K1655" s="5" t="s">
        <v>21</v>
      </c>
      <c r="L1655" s="5" t="s">
        <v>3723</v>
      </c>
      <c r="M1655" s="5">
        <v>58</v>
      </c>
      <c r="N1655" s="5" t="s">
        <v>57</v>
      </c>
      <c r="O1655" s="5" t="s">
        <v>789</v>
      </c>
      <c r="Q1655" s="5" t="s">
        <v>4546</v>
      </c>
    </row>
    <row r="1656" spans="1:17" x14ac:dyDescent="0.2">
      <c r="A1656" s="5">
        <v>2380</v>
      </c>
      <c r="B1656" s="8" t="s">
        <v>4522</v>
      </c>
      <c r="H1656" s="8" t="s">
        <v>4523</v>
      </c>
      <c r="I1656" s="8" t="s">
        <v>4523</v>
      </c>
      <c r="J1656" s="5">
        <v>0</v>
      </c>
      <c r="K1656" s="5" t="s">
        <v>848</v>
      </c>
      <c r="L1656" s="5" t="s">
        <v>3723</v>
      </c>
      <c r="M1656" s="5">
        <v>58</v>
      </c>
      <c r="N1656" s="5" t="s">
        <v>57</v>
      </c>
      <c r="O1656" s="5" t="s">
        <v>266</v>
      </c>
      <c r="Q1656" s="5" t="s">
        <v>4547</v>
      </c>
    </row>
    <row r="1657" spans="1:17" x14ac:dyDescent="0.2">
      <c r="A1657" s="5"/>
      <c r="B1657" s="8" t="s">
        <v>4548</v>
      </c>
      <c r="H1657" s="8" t="s">
        <v>4549</v>
      </c>
      <c r="I1657" s="8" t="s">
        <v>4519</v>
      </c>
      <c r="J1657" s="5">
        <f>97</f>
        <v>97</v>
      </c>
      <c r="K1657" s="5" t="s">
        <v>21</v>
      </c>
      <c r="L1657" s="5" t="s">
        <v>3723</v>
      </c>
      <c r="M1657" s="5">
        <v>58</v>
      </c>
    </row>
    <row r="1658" spans="1:17" x14ac:dyDescent="0.2">
      <c r="A1658" s="5"/>
      <c r="B1658" s="8" t="s">
        <v>4550</v>
      </c>
      <c r="H1658" s="8" t="s">
        <v>4551</v>
      </c>
      <c r="J1658" s="5">
        <f>100</f>
        <v>100</v>
      </c>
      <c r="K1658" s="5" t="s">
        <v>21</v>
      </c>
      <c r="L1658" s="5" t="s">
        <v>3723</v>
      </c>
      <c r="M1658" s="5">
        <v>58</v>
      </c>
    </row>
    <row r="1659" spans="1:17" x14ac:dyDescent="0.2">
      <c r="A1659" s="5"/>
      <c r="B1659" s="8" t="s">
        <v>4520</v>
      </c>
      <c r="H1659" s="8" t="s">
        <v>4552</v>
      </c>
      <c r="I1659" s="8" t="s">
        <v>4521</v>
      </c>
      <c r="J1659" s="5">
        <f>97</f>
        <v>97</v>
      </c>
      <c r="K1659" s="5" t="s">
        <v>21</v>
      </c>
      <c r="L1659" s="5" t="s">
        <v>3723</v>
      </c>
      <c r="M1659" s="5">
        <v>58</v>
      </c>
    </row>
    <row r="1660" spans="1:17" x14ac:dyDescent="0.2">
      <c r="A1660" s="5"/>
      <c r="B1660" s="8" t="s">
        <v>4553</v>
      </c>
      <c r="H1660" s="8" t="s">
        <v>4554</v>
      </c>
      <c r="I1660" s="8" t="s">
        <v>4555</v>
      </c>
      <c r="J1660" s="5">
        <f>97</f>
        <v>97</v>
      </c>
      <c r="K1660" s="5" t="s">
        <v>21</v>
      </c>
      <c r="L1660" s="5" t="s">
        <v>3723</v>
      </c>
      <c r="M1660" s="5">
        <v>58</v>
      </c>
    </row>
    <row r="1661" spans="1:17" x14ac:dyDescent="0.2">
      <c r="A1661" s="5"/>
      <c r="B1661" s="8" t="s">
        <v>4556</v>
      </c>
      <c r="H1661" s="8" t="s">
        <v>4557</v>
      </c>
      <c r="I1661" s="8" t="s">
        <v>4558</v>
      </c>
      <c r="J1661" s="5">
        <f>2</f>
        <v>2</v>
      </c>
      <c r="K1661" s="5" t="s">
        <v>21</v>
      </c>
      <c r="L1661" s="5" t="s">
        <v>3723</v>
      </c>
      <c r="M1661" s="5">
        <v>58</v>
      </c>
    </row>
    <row r="1662" spans="1:17" x14ac:dyDescent="0.2">
      <c r="A1662" s="5"/>
      <c r="B1662" s="8" t="s">
        <v>4559</v>
      </c>
      <c r="H1662" s="8" t="s">
        <v>4560</v>
      </c>
      <c r="I1662" s="8" t="s">
        <v>4560</v>
      </c>
      <c r="J1662" s="5">
        <f>100-10-15</f>
        <v>75</v>
      </c>
      <c r="K1662" s="5" t="s">
        <v>21</v>
      </c>
      <c r="L1662" s="5" t="s">
        <v>3723</v>
      </c>
      <c r="M1662" s="5">
        <v>58</v>
      </c>
      <c r="N1662" s="5" t="s">
        <v>57</v>
      </c>
      <c r="Q1662" s="146" t="s">
        <v>4561</v>
      </c>
    </row>
    <row r="1663" spans="1:17" x14ac:dyDescent="0.2">
      <c r="A1663" s="5">
        <v>838</v>
      </c>
      <c r="B1663" s="36" t="s">
        <v>4562</v>
      </c>
      <c r="C1663" s="11"/>
      <c r="D1663" s="11"/>
      <c r="E1663" s="26"/>
      <c r="F1663" s="11"/>
      <c r="G1663" s="11"/>
      <c r="H1663" s="8" t="s">
        <v>4563</v>
      </c>
      <c r="I1663" s="36" t="s">
        <v>4564</v>
      </c>
      <c r="J1663" s="5">
        <f>3849-6-2-4-44-3-5-10-10-8-8-1-5-8</f>
        <v>3735</v>
      </c>
      <c r="K1663" s="5" t="s">
        <v>21</v>
      </c>
      <c r="L1663" s="5" t="s">
        <v>3723</v>
      </c>
      <c r="M1663" s="5">
        <v>59</v>
      </c>
      <c r="N1663" s="5" t="s">
        <v>2527</v>
      </c>
      <c r="O1663" s="5" t="s">
        <v>789</v>
      </c>
      <c r="Q1663" s="5" t="s">
        <v>4565</v>
      </c>
    </row>
    <row r="1664" spans="1:17" x14ac:dyDescent="0.2">
      <c r="A1664" s="5"/>
      <c r="B1664" s="36" t="s">
        <v>4566</v>
      </c>
      <c r="C1664" s="11"/>
      <c r="D1664" s="11"/>
      <c r="E1664" s="26"/>
      <c r="F1664" s="11"/>
      <c r="G1664" s="11"/>
      <c r="H1664" s="8" t="s">
        <v>3971</v>
      </c>
      <c r="I1664" s="8" t="s">
        <v>4567</v>
      </c>
      <c r="J1664" s="5">
        <v>28</v>
      </c>
      <c r="K1664" s="5" t="s">
        <v>21</v>
      </c>
      <c r="L1664" s="5" t="s">
        <v>3723</v>
      </c>
      <c r="M1664" s="5">
        <v>59</v>
      </c>
      <c r="N1664" s="5" t="s">
        <v>3971</v>
      </c>
    </row>
    <row r="1665" spans="1:19" x14ac:dyDescent="0.2">
      <c r="A1665" s="5">
        <v>842</v>
      </c>
      <c r="B1665" s="8" t="s">
        <v>4568</v>
      </c>
      <c r="H1665" s="8" t="s">
        <v>4569</v>
      </c>
      <c r="I1665" s="8" t="s">
        <v>4569</v>
      </c>
      <c r="J1665" s="5">
        <f>88-3</f>
        <v>85</v>
      </c>
      <c r="K1665" s="5" t="s">
        <v>292</v>
      </c>
      <c r="L1665" s="5" t="s">
        <v>3723</v>
      </c>
      <c r="M1665" s="5">
        <v>60</v>
      </c>
      <c r="N1665" s="5" t="s">
        <v>4570</v>
      </c>
      <c r="O1665" s="5" t="s">
        <v>789</v>
      </c>
      <c r="Q1665" s="5" t="s">
        <v>4571</v>
      </c>
    </row>
    <row r="1666" spans="1:19" x14ac:dyDescent="0.2">
      <c r="A1666" s="5">
        <v>843</v>
      </c>
      <c r="B1666" s="8" t="s">
        <v>4572</v>
      </c>
      <c r="H1666" s="8" t="s">
        <v>4573</v>
      </c>
      <c r="I1666" s="8" t="s">
        <v>4573</v>
      </c>
      <c r="J1666" s="5">
        <v>80</v>
      </c>
      <c r="K1666" s="5" t="s">
        <v>292</v>
      </c>
      <c r="L1666" s="5" t="s">
        <v>3723</v>
      </c>
      <c r="M1666" s="5">
        <v>60</v>
      </c>
      <c r="N1666" s="5" t="s">
        <v>2827</v>
      </c>
      <c r="O1666" s="5" t="s">
        <v>789</v>
      </c>
      <c r="Q1666" s="5" t="s">
        <v>4574</v>
      </c>
    </row>
    <row r="1667" spans="1:19" x14ac:dyDescent="0.2">
      <c r="A1667" s="5">
        <v>844</v>
      </c>
      <c r="B1667" s="8" t="s">
        <v>4575</v>
      </c>
      <c r="H1667" s="8" t="s">
        <v>4576</v>
      </c>
      <c r="I1667" s="8" t="s">
        <v>4576</v>
      </c>
      <c r="J1667" s="5">
        <v>5</v>
      </c>
      <c r="K1667" s="5" t="s">
        <v>292</v>
      </c>
      <c r="L1667" s="5" t="s">
        <v>3723</v>
      </c>
      <c r="M1667" s="5">
        <v>60</v>
      </c>
      <c r="N1667" s="5" t="s">
        <v>4577</v>
      </c>
      <c r="O1667" s="5" t="s">
        <v>789</v>
      </c>
      <c r="Q1667" s="5" t="s">
        <v>4578</v>
      </c>
    </row>
    <row r="1668" spans="1:19" x14ac:dyDescent="0.2">
      <c r="A1668" s="5">
        <v>845</v>
      </c>
      <c r="B1668" s="8" t="s">
        <v>4579</v>
      </c>
      <c r="H1668" s="8" t="s">
        <v>4580</v>
      </c>
      <c r="I1668" s="8" t="s">
        <v>4580</v>
      </c>
      <c r="J1668" s="5">
        <v>38</v>
      </c>
      <c r="K1668" s="5" t="s">
        <v>292</v>
      </c>
      <c r="L1668" s="5" t="s">
        <v>3723</v>
      </c>
      <c r="M1668" s="5">
        <v>60</v>
      </c>
      <c r="N1668" s="5" t="s">
        <v>1771</v>
      </c>
      <c r="O1668" s="5" t="s">
        <v>789</v>
      </c>
      <c r="Q1668" s="5" t="s">
        <v>4581</v>
      </c>
    </row>
    <row r="1669" spans="1:19" x14ac:dyDescent="0.2">
      <c r="A1669" s="5">
        <v>846</v>
      </c>
      <c r="B1669" s="8" t="s">
        <v>4582</v>
      </c>
      <c r="H1669" s="8" t="s">
        <v>4583</v>
      </c>
      <c r="I1669" s="8" t="s">
        <v>4583</v>
      </c>
      <c r="J1669" s="5">
        <f>678+1</f>
        <v>679</v>
      </c>
      <c r="K1669" s="5" t="s">
        <v>292</v>
      </c>
      <c r="L1669" s="5" t="s">
        <v>3723</v>
      </c>
      <c r="M1669" s="5">
        <v>60</v>
      </c>
      <c r="N1669" s="5" t="s">
        <v>4584</v>
      </c>
      <c r="O1669" s="5" t="s">
        <v>789</v>
      </c>
      <c r="Q1669" s="5" t="s">
        <v>937</v>
      </c>
    </row>
    <row r="1670" spans="1:19" x14ac:dyDescent="0.2">
      <c r="A1670" s="5"/>
      <c r="B1670" s="8" t="s">
        <v>4585</v>
      </c>
      <c r="H1670" s="8" t="s">
        <v>4586</v>
      </c>
      <c r="I1670" s="8" t="s">
        <v>4587</v>
      </c>
      <c r="J1670" s="5">
        <f>425</f>
        <v>425</v>
      </c>
      <c r="K1670" s="5" t="s">
        <v>292</v>
      </c>
      <c r="L1670" s="5" t="s">
        <v>3723</v>
      </c>
      <c r="M1670" s="5">
        <v>60</v>
      </c>
    </row>
    <row r="1671" spans="1:19" x14ac:dyDescent="0.2">
      <c r="A1671" s="5"/>
      <c r="B1671" s="8" t="s">
        <v>4588</v>
      </c>
      <c r="H1671" s="8" t="s">
        <v>4589</v>
      </c>
      <c r="I1671" s="8" t="s">
        <v>4589</v>
      </c>
      <c r="J1671" s="5">
        <f>100</f>
        <v>100</v>
      </c>
      <c r="K1671" s="5" t="s">
        <v>292</v>
      </c>
      <c r="L1671" s="5" t="s">
        <v>3723</v>
      </c>
      <c r="M1671" s="5">
        <v>60</v>
      </c>
      <c r="R1671" s="6"/>
      <c r="S1671" s="6"/>
    </row>
    <row r="1672" spans="1:19" x14ac:dyDescent="0.2">
      <c r="A1672" s="5"/>
      <c r="B1672" s="8" t="s">
        <v>4590</v>
      </c>
      <c r="H1672" s="8" t="s">
        <v>4591</v>
      </c>
      <c r="I1672" s="8" t="s">
        <v>4591</v>
      </c>
      <c r="J1672" s="5">
        <f>5+35-5-20</f>
        <v>15</v>
      </c>
      <c r="K1672" s="5" t="s">
        <v>292</v>
      </c>
      <c r="L1672" s="5" t="s">
        <v>3723</v>
      </c>
      <c r="M1672" s="5">
        <v>60</v>
      </c>
      <c r="R1672" s="6"/>
      <c r="S1672" s="6"/>
    </row>
    <row r="1673" spans="1:19" x14ac:dyDescent="0.2">
      <c r="A1673" s="5">
        <v>2059</v>
      </c>
      <c r="B1673" s="8" t="s">
        <v>4592</v>
      </c>
      <c r="H1673" s="8" t="s">
        <v>4593</v>
      </c>
      <c r="I1673" s="8" t="s">
        <v>4593</v>
      </c>
      <c r="J1673" s="5">
        <v>174</v>
      </c>
      <c r="K1673" s="5" t="s">
        <v>292</v>
      </c>
      <c r="L1673" s="5" t="s">
        <v>3723</v>
      </c>
      <c r="M1673" s="5">
        <v>61</v>
      </c>
      <c r="N1673" s="5" t="s">
        <v>4594</v>
      </c>
      <c r="O1673" s="5" t="s">
        <v>574</v>
      </c>
      <c r="Q1673" s="10" t="s">
        <v>4595</v>
      </c>
      <c r="R1673" s="6"/>
      <c r="S1673" s="6"/>
    </row>
    <row r="1674" spans="1:19" x14ac:dyDescent="0.2">
      <c r="A1674" s="5">
        <v>1659</v>
      </c>
      <c r="B1674" s="8" t="s">
        <v>4596</v>
      </c>
      <c r="H1674" s="8" t="s">
        <v>4597</v>
      </c>
      <c r="I1674" s="8" t="s">
        <v>4597</v>
      </c>
      <c r="J1674" s="5">
        <v>3</v>
      </c>
      <c r="K1674" s="5" t="s">
        <v>292</v>
      </c>
      <c r="L1674" s="5" t="s">
        <v>3723</v>
      </c>
      <c r="M1674" s="5">
        <v>62</v>
      </c>
      <c r="N1674" s="5" t="s">
        <v>3829</v>
      </c>
      <c r="O1674" s="5" t="s">
        <v>574</v>
      </c>
      <c r="Q1674" s="5" t="s">
        <v>4598</v>
      </c>
      <c r="R1674" s="6"/>
      <c r="S1674" s="6"/>
    </row>
    <row r="1675" spans="1:19" x14ac:dyDescent="0.2">
      <c r="A1675" s="5"/>
      <c r="B1675" s="8" t="s">
        <v>4599</v>
      </c>
      <c r="H1675" s="8" t="s">
        <v>4600</v>
      </c>
      <c r="I1675" s="8" t="s">
        <v>4600</v>
      </c>
      <c r="J1675" s="5">
        <f>10</f>
        <v>10</v>
      </c>
      <c r="K1675" s="5" t="s">
        <v>292</v>
      </c>
      <c r="L1675" s="5" t="s">
        <v>3723</v>
      </c>
      <c r="M1675" s="5">
        <v>62</v>
      </c>
      <c r="N1675" s="5" t="s">
        <v>3850</v>
      </c>
      <c r="Q1675" s="107" t="s">
        <v>4601</v>
      </c>
      <c r="R1675" s="6"/>
      <c r="S1675" s="6"/>
    </row>
    <row r="1676" spans="1:19" x14ac:dyDescent="0.2">
      <c r="A1676" s="5">
        <v>1660</v>
      </c>
      <c r="B1676" s="8" t="s">
        <v>4602</v>
      </c>
      <c r="H1676" s="8" t="s">
        <v>4603</v>
      </c>
      <c r="I1676" s="8" t="s">
        <v>4603</v>
      </c>
      <c r="J1676" s="5">
        <v>5</v>
      </c>
      <c r="K1676" s="5" t="s">
        <v>292</v>
      </c>
      <c r="L1676" s="5" t="s">
        <v>3723</v>
      </c>
      <c r="M1676" s="5">
        <v>62</v>
      </c>
      <c r="N1676" s="5" t="s">
        <v>3850</v>
      </c>
      <c r="O1676" s="5" t="s">
        <v>574</v>
      </c>
      <c r="Q1676" s="5" t="s">
        <v>4604</v>
      </c>
      <c r="R1676" s="6"/>
      <c r="S1676" s="6"/>
    </row>
    <row r="1677" spans="1:19" x14ac:dyDescent="0.2">
      <c r="A1677" s="5"/>
      <c r="B1677" s="8" t="s">
        <v>4605</v>
      </c>
      <c r="H1677" s="8" t="s">
        <v>4606</v>
      </c>
      <c r="I1677" s="8" t="s">
        <v>4606</v>
      </c>
      <c r="J1677" s="5">
        <f>1</f>
        <v>1</v>
      </c>
      <c r="K1677" s="5" t="s">
        <v>292</v>
      </c>
      <c r="L1677" s="5" t="s">
        <v>3723</v>
      </c>
      <c r="M1677" s="5">
        <v>62</v>
      </c>
      <c r="N1677" s="5" t="s">
        <v>3989</v>
      </c>
      <c r="Q1677" s="107" t="s">
        <v>1327</v>
      </c>
      <c r="R1677" s="6"/>
      <c r="S1677" s="6"/>
    </row>
    <row r="1678" spans="1:19" x14ac:dyDescent="0.2">
      <c r="A1678" s="5"/>
      <c r="B1678" s="8" t="s">
        <v>4607</v>
      </c>
      <c r="H1678" s="8" t="s">
        <v>4608</v>
      </c>
      <c r="I1678" s="8" t="s">
        <v>4608</v>
      </c>
      <c r="J1678" s="5">
        <f>1</f>
        <v>1</v>
      </c>
      <c r="K1678" s="5" t="s">
        <v>292</v>
      </c>
      <c r="L1678" s="5" t="s">
        <v>3723</v>
      </c>
      <c r="M1678" s="5">
        <v>62</v>
      </c>
      <c r="N1678" s="5" t="s">
        <v>3989</v>
      </c>
      <c r="Q1678" s="107" t="s">
        <v>1327</v>
      </c>
      <c r="R1678" s="6"/>
      <c r="S1678" s="6"/>
    </row>
    <row r="1679" spans="1:19" x14ac:dyDescent="0.2">
      <c r="A1679" s="5"/>
      <c r="B1679" s="8" t="s">
        <v>4609</v>
      </c>
      <c r="H1679" s="8" t="s">
        <v>4610</v>
      </c>
      <c r="I1679" s="8" t="s">
        <v>4610</v>
      </c>
      <c r="J1679" s="5">
        <f>6</f>
        <v>6</v>
      </c>
      <c r="K1679" s="5" t="s">
        <v>292</v>
      </c>
      <c r="L1679" s="5" t="s">
        <v>3723</v>
      </c>
      <c r="M1679" s="5">
        <v>62</v>
      </c>
      <c r="N1679" s="5" t="s">
        <v>3989</v>
      </c>
      <c r="Q1679" s="107" t="s">
        <v>1327</v>
      </c>
    </row>
    <row r="1680" spans="1:19" x14ac:dyDescent="0.2">
      <c r="A1680" s="5">
        <v>1342</v>
      </c>
      <c r="B1680" s="8" t="s">
        <v>4611</v>
      </c>
      <c r="C1680" s="8" t="s">
        <v>4607</v>
      </c>
      <c r="D1680" s="8" t="s">
        <v>4612</v>
      </c>
      <c r="E1680" s="24">
        <v>43673</v>
      </c>
      <c r="F1680" s="8" t="s">
        <v>259</v>
      </c>
      <c r="G1680" s="8" t="s">
        <v>276</v>
      </c>
      <c r="H1680" s="8" t="s">
        <v>4613</v>
      </c>
      <c r="I1680" s="8" t="s">
        <v>4614</v>
      </c>
      <c r="J1680" s="5">
        <f>201-3-2-32-2</f>
        <v>162</v>
      </c>
      <c r="K1680" s="5" t="s">
        <v>292</v>
      </c>
      <c r="L1680" s="5" t="s">
        <v>3723</v>
      </c>
      <c r="M1680" s="5">
        <v>63</v>
      </c>
      <c r="N1680" s="5" t="s">
        <v>3879</v>
      </c>
      <c r="O1680" s="5" t="s">
        <v>520</v>
      </c>
      <c r="Q1680" s="5" t="s">
        <v>1971</v>
      </c>
      <c r="R1680" s="6"/>
      <c r="S1680" s="6" t="s">
        <v>328</v>
      </c>
    </row>
    <row r="1681" spans="1:20" x14ac:dyDescent="0.2">
      <c r="A1681" s="5">
        <v>1657</v>
      </c>
      <c r="B1681" s="8" t="s">
        <v>4615</v>
      </c>
      <c r="H1681" s="8" t="s">
        <v>4616</v>
      </c>
      <c r="I1681" s="8" t="s">
        <v>4616</v>
      </c>
      <c r="J1681" s="5">
        <v>0</v>
      </c>
      <c r="K1681" s="5" t="s">
        <v>292</v>
      </c>
      <c r="L1681" s="5" t="s">
        <v>3723</v>
      </c>
      <c r="M1681" s="5">
        <v>63</v>
      </c>
      <c r="N1681" s="5" t="s">
        <v>3879</v>
      </c>
      <c r="O1681" s="5" t="s">
        <v>574</v>
      </c>
      <c r="Q1681" s="10" t="s">
        <v>553</v>
      </c>
      <c r="R1681" s="6"/>
      <c r="S1681" s="6"/>
    </row>
    <row r="1682" spans="1:20" s="73" customFormat="1" x14ac:dyDescent="0.2">
      <c r="A1682" s="70">
        <v>1658</v>
      </c>
      <c r="B1682" s="97" t="s">
        <v>4617</v>
      </c>
      <c r="C1682" s="97" t="s">
        <v>4607</v>
      </c>
      <c r="D1682" s="97" t="s">
        <v>4612</v>
      </c>
      <c r="E1682" s="183">
        <v>43673</v>
      </c>
      <c r="F1682" s="97" t="s">
        <v>259</v>
      </c>
      <c r="G1682" s="97" t="s">
        <v>276</v>
      </c>
      <c r="H1682" s="97" t="s">
        <v>4618</v>
      </c>
      <c r="I1682" s="97" t="s">
        <v>4618</v>
      </c>
      <c r="J1682" s="70">
        <f>219-3</f>
        <v>216</v>
      </c>
      <c r="K1682" s="70" t="s">
        <v>292</v>
      </c>
      <c r="L1682" s="70" t="s">
        <v>3723</v>
      </c>
      <c r="M1682" s="70">
        <v>63</v>
      </c>
      <c r="N1682" s="70" t="s">
        <v>3879</v>
      </c>
      <c r="O1682" s="70" t="s">
        <v>574</v>
      </c>
      <c r="P1682" s="70"/>
      <c r="Q1682" s="184" t="s">
        <v>1971</v>
      </c>
      <c r="R1682" s="70"/>
      <c r="S1682" s="70" t="s">
        <v>328</v>
      </c>
      <c r="T1682" s="70"/>
    </row>
    <row r="1683" spans="1:20" x14ac:dyDescent="0.2">
      <c r="A1683" s="5">
        <v>811</v>
      </c>
      <c r="B1683" s="8" t="s">
        <v>4619</v>
      </c>
      <c r="H1683" s="8" t="s">
        <v>4620</v>
      </c>
      <c r="I1683" s="8" t="s">
        <v>4620</v>
      </c>
      <c r="J1683" s="5">
        <v>0</v>
      </c>
      <c r="K1683" s="5" t="s">
        <v>292</v>
      </c>
      <c r="L1683" s="5" t="s">
        <v>3723</v>
      </c>
      <c r="M1683" s="5">
        <v>64</v>
      </c>
      <c r="N1683" s="5" t="s">
        <v>2527</v>
      </c>
      <c r="O1683" s="5" t="s">
        <v>789</v>
      </c>
      <c r="Q1683" s="10" t="s">
        <v>553</v>
      </c>
    </row>
    <row r="1684" spans="1:20" x14ac:dyDescent="0.2">
      <c r="A1684" s="5">
        <v>812</v>
      </c>
      <c r="B1684" s="8" t="s">
        <v>4621</v>
      </c>
      <c r="H1684" s="8" t="s">
        <v>4622</v>
      </c>
      <c r="I1684" s="8" t="s">
        <v>4622</v>
      </c>
      <c r="J1684" s="5">
        <f>3-3</f>
        <v>0</v>
      </c>
      <c r="K1684" s="5" t="s">
        <v>292</v>
      </c>
      <c r="L1684" s="5" t="s">
        <v>3723</v>
      </c>
      <c r="M1684" s="5">
        <v>64</v>
      </c>
      <c r="N1684" s="5" t="s">
        <v>2527</v>
      </c>
      <c r="O1684" s="5" t="s">
        <v>789</v>
      </c>
      <c r="Q1684" s="5" t="s">
        <v>4623</v>
      </c>
    </row>
    <row r="1685" spans="1:20" x14ac:dyDescent="0.2">
      <c r="A1685" s="5">
        <v>813</v>
      </c>
      <c r="B1685" s="8" t="s">
        <v>4624</v>
      </c>
      <c r="H1685" s="8" t="s">
        <v>4625</v>
      </c>
      <c r="I1685" s="8" t="s">
        <v>4625</v>
      </c>
      <c r="J1685" s="5">
        <v>6</v>
      </c>
      <c r="K1685" s="5" t="s">
        <v>292</v>
      </c>
      <c r="L1685" s="5" t="s">
        <v>3723</v>
      </c>
      <c r="M1685" s="5">
        <v>64</v>
      </c>
      <c r="N1685" s="5" t="s">
        <v>2527</v>
      </c>
      <c r="O1685" s="5" t="s">
        <v>789</v>
      </c>
      <c r="Q1685" s="10" t="s">
        <v>553</v>
      </c>
    </row>
    <row r="1686" spans="1:20" x14ac:dyDescent="0.2">
      <c r="A1686" s="5">
        <v>814</v>
      </c>
      <c r="B1686" s="11" t="s">
        <v>4626</v>
      </c>
      <c r="C1686" s="11"/>
      <c r="D1686" s="11"/>
      <c r="E1686" s="26"/>
      <c r="F1686" s="11"/>
      <c r="G1686" s="11"/>
      <c r="H1686" s="8" t="s">
        <v>4627</v>
      </c>
      <c r="I1686" s="8" t="s">
        <v>4627</v>
      </c>
      <c r="J1686" s="5">
        <v>6</v>
      </c>
      <c r="K1686" s="5" t="s">
        <v>292</v>
      </c>
      <c r="L1686" s="5" t="s">
        <v>3723</v>
      </c>
      <c r="M1686" s="5">
        <v>64</v>
      </c>
      <c r="N1686" s="5" t="s">
        <v>2527</v>
      </c>
      <c r="O1686" s="5" t="s">
        <v>789</v>
      </c>
      <c r="Q1686" s="5" t="s">
        <v>4628</v>
      </c>
      <c r="S1686" s="5" t="s">
        <v>328</v>
      </c>
    </row>
    <row r="1687" spans="1:20" x14ac:dyDescent="0.2">
      <c r="A1687" s="5">
        <v>815</v>
      </c>
      <c r="B1687" s="8" t="s">
        <v>4629</v>
      </c>
      <c r="H1687" s="8" t="s">
        <v>4630</v>
      </c>
      <c r="I1687" s="8" t="s">
        <v>4630</v>
      </c>
      <c r="J1687" s="5">
        <v>3</v>
      </c>
      <c r="K1687" s="5" t="s">
        <v>292</v>
      </c>
      <c r="L1687" s="5" t="s">
        <v>3723</v>
      </c>
      <c r="M1687" s="5">
        <v>64</v>
      </c>
      <c r="N1687" s="5" t="s">
        <v>2527</v>
      </c>
      <c r="O1687" s="5" t="s">
        <v>789</v>
      </c>
      <c r="Q1687" s="10" t="s">
        <v>553</v>
      </c>
      <c r="S1687" s="5" t="s">
        <v>328</v>
      </c>
    </row>
    <row r="1688" spans="1:20" x14ac:dyDescent="0.2">
      <c r="A1688" s="5">
        <v>816</v>
      </c>
      <c r="B1688" s="8" t="s">
        <v>4631</v>
      </c>
      <c r="H1688" s="8" t="s">
        <v>4632</v>
      </c>
      <c r="I1688" s="8" t="s">
        <v>4632</v>
      </c>
      <c r="J1688" s="5">
        <v>8</v>
      </c>
      <c r="K1688" s="5" t="s">
        <v>292</v>
      </c>
      <c r="L1688" s="5" t="s">
        <v>3723</v>
      </c>
      <c r="M1688" s="5">
        <v>64</v>
      </c>
      <c r="N1688" s="5" t="s">
        <v>2527</v>
      </c>
      <c r="O1688" s="5" t="s">
        <v>789</v>
      </c>
      <c r="Q1688" s="10" t="s">
        <v>553</v>
      </c>
      <c r="S1688" s="5" t="s">
        <v>328</v>
      </c>
    </row>
    <row r="1689" spans="1:20" x14ac:dyDescent="0.2">
      <c r="A1689" s="5">
        <v>817</v>
      </c>
      <c r="B1689" s="34" t="s">
        <v>4633</v>
      </c>
      <c r="H1689" s="8" t="s">
        <v>4634</v>
      </c>
      <c r="I1689" s="8" t="s">
        <v>4634</v>
      </c>
      <c r="J1689" s="5">
        <v>2</v>
      </c>
      <c r="K1689" s="5" t="s">
        <v>292</v>
      </c>
      <c r="L1689" s="5" t="s">
        <v>3723</v>
      </c>
      <c r="M1689" s="5">
        <v>64</v>
      </c>
      <c r="N1689" s="5" t="s">
        <v>2527</v>
      </c>
      <c r="O1689" s="5" t="s">
        <v>789</v>
      </c>
      <c r="Q1689" s="10" t="s">
        <v>553</v>
      </c>
      <c r="S1689" s="5" t="s">
        <v>328</v>
      </c>
    </row>
    <row r="1690" spans="1:20" x14ac:dyDescent="0.2">
      <c r="A1690" s="5">
        <v>818</v>
      </c>
      <c r="B1690" s="8" t="s">
        <v>4635</v>
      </c>
      <c r="H1690" s="8" t="s">
        <v>4636</v>
      </c>
      <c r="I1690" s="8" t="s">
        <v>4636</v>
      </c>
      <c r="J1690" s="5">
        <v>2</v>
      </c>
      <c r="K1690" s="5" t="s">
        <v>292</v>
      </c>
      <c r="L1690" s="5" t="s">
        <v>3723</v>
      </c>
      <c r="M1690" s="5">
        <v>64</v>
      </c>
      <c r="N1690" s="5" t="s">
        <v>2527</v>
      </c>
      <c r="O1690" s="5" t="s">
        <v>789</v>
      </c>
      <c r="Q1690" s="10" t="s">
        <v>553</v>
      </c>
      <c r="S1690" s="5" t="s">
        <v>328</v>
      </c>
    </row>
    <row r="1691" spans="1:20" x14ac:dyDescent="0.2">
      <c r="A1691" s="5">
        <v>819</v>
      </c>
      <c r="B1691" s="8" t="s">
        <v>4637</v>
      </c>
      <c r="H1691" s="8" t="s">
        <v>4638</v>
      </c>
      <c r="I1691" s="8" t="s">
        <v>4638</v>
      </c>
      <c r="J1691" s="5">
        <v>3</v>
      </c>
      <c r="K1691" s="5" t="s">
        <v>292</v>
      </c>
      <c r="L1691" s="5" t="s">
        <v>3723</v>
      </c>
      <c r="M1691" s="5">
        <v>64</v>
      </c>
      <c r="N1691" s="5" t="s">
        <v>2527</v>
      </c>
      <c r="O1691" s="5" t="s">
        <v>789</v>
      </c>
      <c r="Q1691" s="10" t="s">
        <v>553</v>
      </c>
      <c r="S1691" s="5" t="s">
        <v>328</v>
      </c>
    </row>
    <row r="1692" spans="1:20" x14ac:dyDescent="0.2">
      <c r="A1692" s="5">
        <v>820</v>
      </c>
      <c r="B1692" s="8" t="s">
        <v>4639</v>
      </c>
      <c r="H1692" s="8" t="s">
        <v>4625</v>
      </c>
      <c r="I1692" s="8" t="s">
        <v>4625</v>
      </c>
      <c r="J1692" s="5">
        <v>6</v>
      </c>
      <c r="K1692" s="5" t="s">
        <v>292</v>
      </c>
      <c r="L1692" s="5" t="s">
        <v>3723</v>
      </c>
      <c r="M1692" s="5">
        <v>64</v>
      </c>
      <c r="N1692" s="5" t="s">
        <v>2527</v>
      </c>
      <c r="O1692" s="5" t="s">
        <v>789</v>
      </c>
      <c r="Q1692" s="10" t="s">
        <v>553</v>
      </c>
      <c r="S1692" s="5" t="s">
        <v>328</v>
      </c>
    </row>
    <row r="1693" spans="1:20" x14ac:dyDescent="0.2">
      <c r="A1693" s="5">
        <v>821</v>
      </c>
      <c r="B1693" s="8" t="s">
        <v>4640</v>
      </c>
      <c r="H1693" s="8" t="s">
        <v>4625</v>
      </c>
      <c r="I1693" s="8" t="s">
        <v>4625</v>
      </c>
      <c r="J1693" s="5">
        <v>10</v>
      </c>
      <c r="K1693" s="5" t="s">
        <v>292</v>
      </c>
      <c r="L1693" s="5" t="s">
        <v>3723</v>
      </c>
      <c r="M1693" s="5">
        <v>64</v>
      </c>
      <c r="N1693" s="5" t="s">
        <v>2527</v>
      </c>
      <c r="O1693" s="5" t="s">
        <v>789</v>
      </c>
      <c r="Q1693" s="10" t="s">
        <v>553</v>
      </c>
      <c r="S1693" s="5" t="s">
        <v>1139</v>
      </c>
    </row>
    <row r="1694" spans="1:20" x14ac:dyDescent="0.2">
      <c r="A1694" s="5">
        <v>822</v>
      </c>
      <c r="B1694" s="8" t="s">
        <v>4641</v>
      </c>
      <c r="H1694" s="8" t="s">
        <v>4625</v>
      </c>
      <c r="I1694" s="8" t="s">
        <v>4625</v>
      </c>
      <c r="J1694" s="5">
        <v>9</v>
      </c>
      <c r="K1694" s="5" t="s">
        <v>292</v>
      </c>
      <c r="L1694" s="5" t="s">
        <v>3723</v>
      </c>
      <c r="M1694" s="5">
        <v>64</v>
      </c>
      <c r="N1694" s="5" t="s">
        <v>2527</v>
      </c>
      <c r="O1694" s="5" t="s">
        <v>789</v>
      </c>
      <c r="Q1694" s="10" t="s">
        <v>553</v>
      </c>
      <c r="S1694" s="5" t="s">
        <v>328</v>
      </c>
    </row>
    <row r="1695" spans="1:20" x14ac:dyDescent="0.2">
      <c r="A1695" s="5">
        <v>823</v>
      </c>
      <c r="B1695" s="8" t="s">
        <v>4642</v>
      </c>
      <c r="H1695" s="8" t="s">
        <v>4625</v>
      </c>
      <c r="I1695" s="8" t="s">
        <v>4625</v>
      </c>
      <c r="J1695" s="5">
        <v>0</v>
      </c>
      <c r="K1695" s="5" t="s">
        <v>292</v>
      </c>
      <c r="L1695" s="5" t="s">
        <v>3723</v>
      </c>
      <c r="M1695" s="5">
        <v>64</v>
      </c>
      <c r="N1695" s="5" t="s">
        <v>2527</v>
      </c>
      <c r="O1695" s="5" t="s">
        <v>789</v>
      </c>
      <c r="Q1695" s="10" t="s">
        <v>553</v>
      </c>
      <c r="S1695" s="10" t="s">
        <v>328</v>
      </c>
    </row>
    <row r="1696" spans="1:20" x14ac:dyDescent="0.2">
      <c r="A1696" s="5"/>
      <c r="B1696" s="8" t="s">
        <v>4643</v>
      </c>
      <c r="I1696" s="8" t="s">
        <v>4625</v>
      </c>
      <c r="J1696" s="5">
        <f>1-1</f>
        <v>0</v>
      </c>
      <c r="K1696" s="5" t="s">
        <v>292</v>
      </c>
      <c r="L1696" s="5" t="s">
        <v>3723</v>
      </c>
      <c r="M1696" s="5">
        <v>64</v>
      </c>
      <c r="N1696" s="5" t="s">
        <v>2527</v>
      </c>
      <c r="O1696" s="5" t="s">
        <v>789</v>
      </c>
      <c r="Q1696" s="10" t="s">
        <v>4644</v>
      </c>
      <c r="S1696" s="10"/>
    </row>
    <row r="1697" spans="1:19" x14ac:dyDescent="0.2">
      <c r="A1697" s="5">
        <v>824</v>
      </c>
      <c r="B1697" s="8" t="s">
        <v>4645</v>
      </c>
      <c r="H1697" s="8" t="s">
        <v>4625</v>
      </c>
      <c r="I1697" s="8" t="s">
        <v>4625</v>
      </c>
      <c r="J1697" s="5">
        <v>9</v>
      </c>
      <c r="K1697" s="5" t="s">
        <v>292</v>
      </c>
      <c r="L1697" s="5" t="s">
        <v>3723</v>
      </c>
      <c r="M1697" s="5">
        <v>64</v>
      </c>
      <c r="N1697" s="5" t="s">
        <v>2527</v>
      </c>
      <c r="O1697" s="5" t="s">
        <v>789</v>
      </c>
      <c r="Q1697" s="10" t="s">
        <v>553</v>
      </c>
      <c r="S1697" s="5" t="s">
        <v>328</v>
      </c>
    </row>
    <row r="1698" spans="1:19" x14ac:dyDescent="0.2">
      <c r="A1698" s="5">
        <v>834</v>
      </c>
      <c r="B1698" s="8" t="s">
        <v>4646</v>
      </c>
      <c r="H1698" s="8" t="s">
        <v>4625</v>
      </c>
      <c r="I1698" s="8" t="s">
        <v>4625</v>
      </c>
      <c r="J1698" s="5">
        <v>7</v>
      </c>
      <c r="K1698" s="5" t="s">
        <v>292</v>
      </c>
      <c r="L1698" s="5" t="s">
        <v>3723</v>
      </c>
      <c r="M1698" s="5">
        <v>64</v>
      </c>
      <c r="N1698" s="5" t="s">
        <v>2527</v>
      </c>
      <c r="O1698" s="5" t="s">
        <v>789</v>
      </c>
      <c r="Q1698" s="10" t="s">
        <v>553</v>
      </c>
      <c r="S1698" s="5" t="s">
        <v>328</v>
      </c>
    </row>
    <row r="1699" spans="1:19" x14ac:dyDescent="0.2">
      <c r="A1699" s="5">
        <v>835</v>
      </c>
      <c r="B1699" s="11" t="s">
        <v>4647</v>
      </c>
      <c r="C1699" s="11"/>
      <c r="D1699" s="11"/>
      <c r="E1699" s="26"/>
      <c r="F1699" s="11"/>
      <c r="G1699" s="11"/>
      <c r="H1699" s="8" t="s">
        <v>4648</v>
      </c>
      <c r="I1699" s="8" t="s">
        <v>4649</v>
      </c>
      <c r="J1699" s="5">
        <f>8612-10-28-14-44-6-6-12-4-4-12-2-4-12-2-16-10-2-16-2-16-10</f>
        <v>8380</v>
      </c>
      <c r="K1699" s="5" t="s">
        <v>292</v>
      </c>
      <c r="L1699" s="5" t="s">
        <v>3723</v>
      </c>
      <c r="M1699" s="5">
        <v>65</v>
      </c>
      <c r="N1699" s="5" t="s">
        <v>2527</v>
      </c>
      <c r="O1699" s="5" t="s">
        <v>789</v>
      </c>
      <c r="Q1699" s="10" t="s">
        <v>553</v>
      </c>
    </row>
    <row r="1700" spans="1:19" x14ac:dyDescent="0.2">
      <c r="A1700" s="5">
        <v>857</v>
      </c>
      <c r="B1700" s="8" t="s">
        <v>4650</v>
      </c>
      <c r="H1700" s="8" t="s">
        <v>4651</v>
      </c>
      <c r="I1700" s="8" t="s">
        <v>4651</v>
      </c>
      <c r="J1700" s="5">
        <v>0</v>
      </c>
      <c r="K1700" s="5" t="s">
        <v>292</v>
      </c>
      <c r="L1700" s="5" t="s">
        <v>3723</v>
      </c>
      <c r="M1700" s="5">
        <v>66</v>
      </c>
      <c r="N1700" s="5" t="s">
        <v>4652</v>
      </c>
      <c r="O1700" s="5" t="s">
        <v>789</v>
      </c>
      <c r="Q1700" s="10" t="s">
        <v>553</v>
      </c>
    </row>
    <row r="1701" spans="1:19" x14ac:dyDescent="0.2">
      <c r="A1701" s="5">
        <v>858</v>
      </c>
      <c r="B1701" s="34" t="s">
        <v>4653</v>
      </c>
      <c r="H1701" s="8" t="s">
        <v>4654</v>
      </c>
      <c r="I1701" s="8" t="s">
        <v>4654</v>
      </c>
      <c r="J1701" s="5">
        <v>450</v>
      </c>
      <c r="K1701" s="5" t="s">
        <v>292</v>
      </c>
      <c r="L1701" s="5" t="s">
        <v>3723</v>
      </c>
      <c r="M1701" s="5">
        <v>66</v>
      </c>
      <c r="N1701" s="5" t="s">
        <v>2527</v>
      </c>
      <c r="O1701" s="5" t="s">
        <v>789</v>
      </c>
      <c r="Q1701" s="10" t="s">
        <v>553</v>
      </c>
    </row>
    <row r="1702" spans="1:19" x14ac:dyDescent="0.2">
      <c r="A1702" s="5">
        <v>859</v>
      </c>
      <c r="B1702" s="8" t="s">
        <v>4655</v>
      </c>
      <c r="H1702" s="8" t="s">
        <v>4656</v>
      </c>
      <c r="I1702" s="8" t="s">
        <v>4656</v>
      </c>
      <c r="J1702" s="5">
        <v>4000</v>
      </c>
      <c r="K1702" s="5" t="s">
        <v>292</v>
      </c>
      <c r="L1702" s="5" t="s">
        <v>3723</v>
      </c>
      <c r="M1702" s="5">
        <v>66</v>
      </c>
      <c r="N1702" s="5" t="s">
        <v>2527</v>
      </c>
      <c r="O1702" s="5" t="s">
        <v>789</v>
      </c>
      <c r="Q1702" s="5" t="s">
        <v>4657</v>
      </c>
    </row>
    <row r="1703" spans="1:19" x14ac:dyDescent="0.2">
      <c r="A1703" s="5">
        <v>860</v>
      </c>
      <c r="B1703" s="8" t="s">
        <v>4658</v>
      </c>
      <c r="H1703" s="8" t="s">
        <v>4659</v>
      </c>
      <c r="I1703" s="8" t="s">
        <v>4659</v>
      </c>
      <c r="J1703" s="5">
        <v>4000</v>
      </c>
      <c r="K1703" s="5" t="s">
        <v>292</v>
      </c>
      <c r="L1703" s="5" t="s">
        <v>3723</v>
      </c>
      <c r="M1703" s="5">
        <v>66</v>
      </c>
      <c r="N1703" s="5" t="s">
        <v>2527</v>
      </c>
      <c r="O1703" s="5" t="s">
        <v>789</v>
      </c>
      <c r="Q1703" s="5" t="s">
        <v>4657</v>
      </c>
    </row>
    <row r="1704" spans="1:19" x14ac:dyDescent="0.2">
      <c r="A1704" s="5">
        <v>861</v>
      </c>
      <c r="B1704" s="8" t="s">
        <v>4655</v>
      </c>
      <c r="H1704" s="8" t="s">
        <v>4656</v>
      </c>
      <c r="I1704" s="8" t="s">
        <v>4656</v>
      </c>
      <c r="J1704" s="5">
        <v>0</v>
      </c>
      <c r="K1704" s="5" t="s">
        <v>292</v>
      </c>
      <c r="L1704" s="5" t="s">
        <v>3723</v>
      </c>
      <c r="M1704" s="5">
        <v>66</v>
      </c>
      <c r="N1704" s="5" t="s">
        <v>2527</v>
      </c>
      <c r="O1704" s="5" t="s">
        <v>789</v>
      </c>
      <c r="Q1704" s="5" t="s">
        <v>4657</v>
      </c>
    </row>
    <row r="1705" spans="1:19" x14ac:dyDescent="0.2">
      <c r="A1705" s="5">
        <v>862</v>
      </c>
      <c r="B1705" s="8" t="s">
        <v>4660</v>
      </c>
      <c r="H1705" s="8" t="s">
        <v>4661</v>
      </c>
      <c r="I1705" s="8" t="s">
        <v>4661</v>
      </c>
      <c r="J1705" s="5">
        <v>4000</v>
      </c>
      <c r="K1705" s="5" t="s">
        <v>292</v>
      </c>
      <c r="L1705" s="5" t="s">
        <v>3723</v>
      </c>
      <c r="M1705" s="5">
        <v>66</v>
      </c>
      <c r="N1705" s="5" t="s">
        <v>2527</v>
      </c>
      <c r="O1705" s="5" t="s">
        <v>789</v>
      </c>
      <c r="Q1705" s="5" t="s">
        <v>4657</v>
      </c>
      <c r="S1705" s="5" t="s">
        <v>328</v>
      </c>
    </row>
    <row r="1706" spans="1:19" x14ac:dyDescent="0.2">
      <c r="A1706" s="5">
        <v>863</v>
      </c>
      <c r="B1706" s="8" t="s">
        <v>4662</v>
      </c>
      <c r="H1706" s="8" t="s">
        <v>4663</v>
      </c>
      <c r="I1706" s="8" t="s">
        <v>4663</v>
      </c>
      <c r="J1706" s="5">
        <v>1000</v>
      </c>
      <c r="K1706" s="5" t="s">
        <v>292</v>
      </c>
      <c r="L1706" s="5" t="s">
        <v>3723</v>
      </c>
      <c r="M1706" s="5">
        <v>66</v>
      </c>
      <c r="N1706" s="5" t="s">
        <v>2527</v>
      </c>
      <c r="O1706" s="5" t="s">
        <v>789</v>
      </c>
      <c r="Q1706" s="10" t="s">
        <v>553</v>
      </c>
    </row>
    <row r="1707" spans="1:19" x14ac:dyDescent="0.2">
      <c r="A1707" s="5">
        <v>864</v>
      </c>
      <c r="B1707" s="8" t="s">
        <v>4664</v>
      </c>
      <c r="H1707" s="8" t="s">
        <v>4665</v>
      </c>
      <c r="I1707" s="8" t="s">
        <v>4665</v>
      </c>
      <c r="J1707" s="5">
        <v>1900</v>
      </c>
      <c r="K1707" s="5" t="s">
        <v>292</v>
      </c>
      <c r="L1707" s="5" t="s">
        <v>3723</v>
      </c>
      <c r="M1707" s="5">
        <v>66</v>
      </c>
      <c r="N1707" s="5" t="s">
        <v>2827</v>
      </c>
      <c r="O1707" s="5" t="s">
        <v>789</v>
      </c>
      <c r="Q1707" s="5" t="s">
        <v>4666</v>
      </c>
    </row>
    <row r="1708" spans="1:19" x14ac:dyDescent="0.2">
      <c r="A1708" s="5">
        <v>865</v>
      </c>
      <c r="B1708" s="8" t="s">
        <v>4667</v>
      </c>
      <c r="H1708" s="8" t="s">
        <v>4668</v>
      </c>
      <c r="I1708" s="8" t="s">
        <v>4668</v>
      </c>
      <c r="J1708" s="5">
        <v>65</v>
      </c>
      <c r="K1708" s="5" t="s">
        <v>292</v>
      </c>
      <c r="L1708" s="5" t="s">
        <v>3723</v>
      </c>
      <c r="M1708" s="5">
        <v>66</v>
      </c>
      <c r="N1708" s="5" t="s">
        <v>2693</v>
      </c>
      <c r="O1708" s="5" t="s">
        <v>789</v>
      </c>
      <c r="Q1708" s="5" t="s">
        <v>4669</v>
      </c>
    </row>
    <row r="1709" spans="1:19" x14ac:dyDescent="0.2">
      <c r="A1709" s="5">
        <v>866</v>
      </c>
      <c r="B1709" s="8" t="s">
        <v>4670</v>
      </c>
      <c r="H1709" s="8" t="s">
        <v>4671</v>
      </c>
      <c r="I1709" s="8" t="s">
        <v>4671</v>
      </c>
      <c r="J1709" s="5">
        <v>70</v>
      </c>
      <c r="K1709" s="5" t="s">
        <v>292</v>
      </c>
      <c r="L1709" s="5" t="s">
        <v>3723</v>
      </c>
      <c r="M1709" s="5">
        <v>66</v>
      </c>
      <c r="N1709" s="5" t="s">
        <v>2693</v>
      </c>
      <c r="O1709" s="5" t="s">
        <v>789</v>
      </c>
      <c r="Q1709" s="5" t="s">
        <v>4669</v>
      </c>
    </row>
    <row r="1710" spans="1:19" x14ac:dyDescent="0.2">
      <c r="A1710" s="5">
        <v>867</v>
      </c>
      <c r="B1710" s="8" t="s">
        <v>4672</v>
      </c>
      <c r="H1710" s="8" t="s">
        <v>4673</v>
      </c>
      <c r="I1710" s="8" t="s">
        <v>4673</v>
      </c>
      <c r="J1710" s="5">
        <f>85+369</f>
        <v>454</v>
      </c>
      <c r="K1710" s="5" t="s">
        <v>292</v>
      </c>
      <c r="L1710" s="5" t="s">
        <v>3723</v>
      </c>
      <c r="M1710" s="5">
        <v>66</v>
      </c>
      <c r="N1710" s="5" t="s">
        <v>2827</v>
      </c>
      <c r="O1710" s="5" t="s">
        <v>789</v>
      </c>
      <c r="Q1710" s="5" t="s">
        <v>871</v>
      </c>
    </row>
    <row r="1711" spans="1:19" x14ac:dyDescent="0.2">
      <c r="A1711" s="5">
        <v>2340</v>
      </c>
      <c r="B1711" s="8" t="s">
        <v>4674</v>
      </c>
      <c r="H1711" s="8" t="s">
        <v>4675</v>
      </c>
      <c r="I1711" s="8" t="s">
        <v>4675</v>
      </c>
      <c r="J1711" s="5">
        <v>18</v>
      </c>
      <c r="K1711" s="5" t="s">
        <v>292</v>
      </c>
      <c r="L1711" s="5" t="s">
        <v>3723</v>
      </c>
      <c r="M1711" s="5">
        <v>67</v>
      </c>
      <c r="N1711" s="5" t="s">
        <v>4676</v>
      </c>
      <c r="O1711" s="5" t="s">
        <v>789</v>
      </c>
    </row>
    <row r="1712" spans="1:19" x14ac:dyDescent="0.2">
      <c r="A1712" s="5"/>
      <c r="B1712" s="108" t="s">
        <v>4677</v>
      </c>
      <c r="H1712" s="8" t="s">
        <v>4678</v>
      </c>
      <c r="I1712" s="8" t="s">
        <v>4678</v>
      </c>
      <c r="J1712" s="5">
        <f>5</f>
        <v>5</v>
      </c>
      <c r="K1712" s="5" t="s">
        <v>292</v>
      </c>
      <c r="L1712" s="5" t="s">
        <v>3723</v>
      </c>
      <c r="M1712" s="5">
        <v>67</v>
      </c>
      <c r="N1712" s="5" t="s">
        <v>4676</v>
      </c>
      <c r="Q1712" s="107" t="s">
        <v>4679</v>
      </c>
    </row>
    <row r="1713" spans="1:21" x14ac:dyDescent="0.2">
      <c r="A1713" s="5"/>
      <c r="B1713" s="203" t="s">
        <v>4680</v>
      </c>
      <c r="H1713" s="8" t="s">
        <v>4681</v>
      </c>
      <c r="I1713" s="8" t="s">
        <v>4682</v>
      </c>
      <c r="J1713" s="5">
        <f>4316-8-8-1-8-5</f>
        <v>4286</v>
      </c>
      <c r="K1713" s="5" t="s">
        <v>292</v>
      </c>
      <c r="L1713" s="5" t="s">
        <v>3723</v>
      </c>
      <c r="M1713" s="5">
        <v>67</v>
      </c>
      <c r="N1713" s="5" t="s">
        <v>4683</v>
      </c>
      <c r="O1713" s="5" t="s">
        <v>789</v>
      </c>
      <c r="U1713" t="s">
        <v>321</v>
      </c>
    </row>
    <row r="1714" spans="1:21" x14ac:dyDescent="0.2">
      <c r="A1714" s="5">
        <v>319</v>
      </c>
      <c r="B1714" s="8" t="s">
        <v>4684</v>
      </c>
      <c r="C1714" s="34"/>
      <c r="H1714" s="8" t="s">
        <v>4685</v>
      </c>
      <c r="I1714" s="8" t="s">
        <v>4685</v>
      </c>
      <c r="J1714" s="5">
        <f>3-1</f>
        <v>2</v>
      </c>
      <c r="K1714" s="5" t="s">
        <v>292</v>
      </c>
      <c r="L1714" s="5" t="s">
        <v>3723</v>
      </c>
      <c r="M1714" s="5">
        <v>68</v>
      </c>
      <c r="N1714" s="5" t="s">
        <v>43</v>
      </c>
      <c r="O1714" s="5" t="s">
        <v>520</v>
      </c>
      <c r="Q1714" s="5" t="s">
        <v>4686</v>
      </c>
      <c r="R1714" s="6"/>
      <c r="S1714" s="6"/>
    </row>
    <row r="1715" spans="1:21" x14ac:dyDescent="0.2">
      <c r="A1715" s="5">
        <v>1651</v>
      </c>
      <c r="B1715" s="8" t="s">
        <v>4687</v>
      </c>
      <c r="C1715" s="34">
        <v>260709</v>
      </c>
      <c r="D1715" s="8" t="s">
        <v>1025</v>
      </c>
      <c r="E1715" s="24">
        <v>43668</v>
      </c>
      <c r="F1715" s="8" t="s">
        <v>259</v>
      </c>
      <c r="G1715" s="8" t="s">
        <v>276</v>
      </c>
      <c r="H1715" s="8" t="s">
        <v>4688</v>
      </c>
      <c r="I1715" s="8" t="s">
        <v>4689</v>
      </c>
      <c r="J1715" s="5">
        <f>82-5-1-3-20-6</f>
        <v>47</v>
      </c>
      <c r="K1715" s="5" t="s">
        <v>292</v>
      </c>
      <c r="L1715" s="5" t="s">
        <v>3723</v>
      </c>
      <c r="M1715" s="5">
        <v>68</v>
      </c>
      <c r="N1715" s="5" t="s">
        <v>3724</v>
      </c>
      <c r="O1715" s="5" t="s">
        <v>574</v>
      </c>
      <c r="Q1715" s="5" t="s">
        <v>4690</v>
      </c>
      <c r="R1715" s="6"/>
      <c r="S1715" s="6"/>
    </row>
    <row r="1716" spans="1:21" x14ac:dyDescent="0.2">
      <c r="A1716" s="5">
        <v>1652</v>
      </c>
      <c r="B1716" s="8" t="s">
        <v>4691</v>
      </c>
      <c r="H1716" s="8" t="s">
        <v>4692</v>
      </c>
      <c r="I1716" s="8" t="s">
        <v>4692</v>
      </c>
      <c r="J1716" s="5">
        <v>10</v>
      </c>
      <c r="K1716" s="5" t="s">
        <v>292</v>
      </c>
      <c r="L1716" s="5" t="s">
        <v>3723</v>
      </c>
      <c r="M1716" s="5">
        <v>68</v>
      </c>
      <c r="N1716" s="5" t="s">
        <v>3724</v>
      </c>
      <c r="O1716" s="5" t="s">
        <v>574</v>
      </c>
      <c r="Q1716" s="5" t="s">
        <v>4693</v>
      </c>
    </row>
    <row r="1717" spans="1:21" x14ac:dyDescent="0.2">
      <c r="A1717" s="5">
        <v>261</v>
      </c>
      <c r="B1717" s="8" t="s">
        <v>4694</v>
      </c>
      <c r="H1717" s="8" t="s">
        <v>4695</v>
      </c>
      <c r="I1717" s="8" t="s">
        <v>4695</v>
      </c>
      <c r="J1717" s="5">
        <v>24</v>
      </c>
      <c r="K1717" s="5" t="s">
        <v>292</v>
      </c>
      <c r="L1717" s="5" t="s">
        <v>3723</v>
      </c>
      <c r="M1717" s="5">
        <v>69</v>
      </c>
      <c r="N1717" s="5" t="s">
        <v>43</v>
      </c>
      <c r="O1717" s="5" t="s">
        <v>266</v>
      </c>
      <c r="R1717" s="6"/>
      <c r="S1717" s="6"/>
    </row>
    <row r="1718" spans="1:21" x14ac:dyDescent="0.2">
      <c r="A1718" s="5">
        <v>1661</v>
      </c>
      <c r="B1718" s="8" t="s">
        <v>4696</v>
      </c>
      <c r="H1718" s="8" t="s">
        <v>4697</v>
      </c>
      <c r="I1718" s="8" t="s">
        <v>4697</v>
      </c>
      <c r="J1718" s="5">
        <f>53+3-2</f>
        <v>54</v>
      </c>
      <c r="K1718" s="5" t="s">
        <v>292</v>
      </c>
      <c r="L1718" s="5" t="s">
        <v>3723</v>
      </c>
      <c r="M1718" s="5">
        <v>69</v>
      </c>
      <c r="N1718" s="5" t="s">
        <v>3724</v>
      </c>
      <c r="O1718" s="5" t="s">
        <v>574</v>
      </c>
      <c r="Q1718" s="5" t="s">
        <v>4698</v>
      </c>
      <c r="R1718" s="6"/>
      <c r="S1718" s="6" t="s">
        <v>328</v>
      </c>
    </row>
    <row r="1719" spans="1:21" x14ac:dyDescent="0.2">
      <c r="A1719" s="5">
        <v>1662</v>
      </c>
      <c r="B1719" s="8">
        <v>3229771</v>
      </c>
      <c r="H1719" s="8" t="s">
        <v>4699</v>
      </c>
      <c r="I1719" s="8" t="s">
        <v>4699</v>
      </c>
      <c r="J1719" s="5">
        <v>7</v>
      </c>
      <c r="K1719" s="5" t="s">
        <v>292</v>
      </c>
      <c r="L1719" s="5" t="s">
        <v>3723</v>
      </c>
      <c r="M1719" s="5">
        <v>69</v>
      </c>
      <c r="N1719" s="5" t="s">
        <v>3847</v>
      </c>
      <c r="O1719" s="5" t="s">
        <v>574</v>
      </c>
      <c r="Q1719" s="10" t="s">
        <v>553</v>
      </c>
      <c r="R1719" s="6"/>
      <c r="S1719" s="6"/>
    </row>
    <row r="1720" spans="1:21" x14ac:dyDescent="0.2">
      <c r="A1720" s="5"/>
      <c r="B1720" s="8" t="s">
        <v>4700</v>
      </c>
      <c r="H1720" s="8" t="s">
        <v>4701</v>
      </c>
      <c r="I1720" s="8" t="s">
        <v>4701</v>
      </c>
      <c r="J1720" s="5">
        <v>9</v>
      </c>
      <c r="K1720" s="5" t="s">
        <v>848</v>
      </c>
      <c r="L1720" s="5" t="s">
        <v>3723</v>
      </c>
      <c r="M1720" s="5">
        <v>69</v>
      </c>
      <c r="N1720" s="5" t="s">
        <v>3989</v>
      </c>
      <c r="O1720" s="5" t="s">
        <v>574</v>
      </c>
      <c r="R1720" s="6"/>
      <c r="S1720" s="6"/>
    </row>
    <row r="1721" spans="1:21" x14ac:dyDescent="0.2">
      <c r="A1721" s="5"/>
      <c r="B1721" s="8" t="s">
        <v>4702</v>
      </c>
      <c r="H1721" s="8" t="s">
        <v>4703</v>
      </c>
      <c r="I1721" s="8" t="s">
        <v>4703</v>
      </c>
      <c r="J1721" s="5">
        <f>29-3-9-1</f>
        <v>16</v>
      </c>
      <c r="K1721" s="5" t="s">
        <v>292</v>
      </c>
      <c r="L1721" s="5" t="s">
        <v>3723</v>
      </c>
      <c r="M1721" s="5">
        <v>69</v>
      </c>
      <c r="N1721" s="5" t="s">
        <v>3989</v>
      </c>
      <c r="O1721" s="5" t="s">
        <v>574</v>
      </c>
      <c r="Q1721" s="5" t="s">
        <v>4704</v>
      </c>
      <c r="R1721" s="6"/>
      <c r="S1721" s="6" t="s">
        <v>328</v>
      </c>
    </row>
    <row r="1722" spans="1:21" x14ac:dyDescent="0.2">
      <c r="A1722" s="5">
        <v>1663</v>
      </c>
      <c r="B1722" s="8" t="s">
        <v>4705</v>
      </c>
      <c r="H1722" s="8" t="s">
        <v>4706</v>
      </c>
      <c r="I1722" s="8" t="s">
        <v>4706</v>
      </c>
      <c r="J1722" s="5">
        <v>11</v>
      </c>
      <c r="K1722" s="5" t="s">
        <v>292</v>
      </c>
      <c r="L1722" s="5" t="s">
        <v>3723</v>
      </c>
      <c r="M1722" s="5">
        <v>70</v>
      </c>
      <c r="N1722" s="5" t="s">
        <v>3824</v>
      </c>
      <c r="O1722" s="5" t="s">
        <v>574</v>
      </c>
      <c r="Q1722" s="10" t="s">
        <v>553</v>
      </c>
      <c r="R1722" s="6"/>
      <c r="S1722" s="6"/>
    </row>
    <row r="1723" spans="1:21" x14ac:dyDescent="0.2">
      <c r="A1723" s="5">
        <v>1664</v>
      </c>
      <c r="B1723" s="8" t="s">
        <v>3296</v>
      </c>
      <c r="H1723" s="8" t="s">
        <v>3297</v>
      </c>
      <c r="I1723" s="8" t="s">
        <v>3297</v>
      </c>
      <c r="J1723" s="5">
        <v>0</v>
      </c>
      <c r="K1723" s="5" t="s">
        <v>292</v>
      </c>
      <c r="L1723" s="5" t="s">
        <v>3723</v>
      </c>
      <c r="M1723" s="5">
        <v>70</v>
      </c>
      <c r="N1723" s="5" t="s">
        <v>4707</v>
      </c>
      <c r="O1723" s="5" t="s">
        <v>574</v>
      </c>
      <c r="Q1723" s="5" t="s">
        <v>4708</v>
      </c>
      <c r="S1723" s="10" t="s">
        <v>328</v>
      </c>
    </row>
    <row r="1724" spans="1:21" x14ac:dyDescent="0.2">
      <c r="A1724" s="5">
        <v>825</v>
      </c>
      <c r="B1724" s="11" t="s">
        <v>4709</v>
      </c>
      <c r="C1724" s="11"/>
      <c r="D1724" s="11"/>
      <c r="E1724" s="26"/>
      <c r="F1724" s="11"/>
      <c r="G1724" s="11"/>
      <c r="H1724" s="8" t="s">
        <v>4710</v>
      </c>
      <c r="I1724" s="8" t="s">
        <v>4710</v>
      </c>
      <c r="J1724" s="5">
        <v>1</v>
      </c>
      <c r="K1724" s="5" t="s">
        <v>292</v>
      </c>
      <c r="L1724" s="5" t="s">
        <v>3723</v>
      </c>
      <c r="M1724" s="5">
        <v>71</v>
      </c>
      <c r="N1724" s="5" t="s">
        <v>1771</v>
      </c>
      <c r="O1724" s="5" t="s">
        <v>789</v>
      </c>
      <c r="Q1724" s="10" t="s">
        <v>553</v>
      </c>
      <c r="S1724" s="10" t="s">
        <v>328</v>
      </c>
    </row>
    <row r="1725" spans="1:21" x14ac:dyDescent="0.2">
      <c r="A1725" s="5">
        <v>826</v>
      </c>
      <c r="B1725" s="11" t="s">
        <v>4711</v>
      </c>
      <c r="C1725" s="11"/>
      <c r="D1725" s="11"/>
      <c r="E1725" s="26"/>
      <c r="F1725" s="11"/>
      <c r="G1725" s="11"/>
      <c r="H1725" s="8" t="s">
        <v>4712</v>
      </c>
      <c r="I1725" s="8" t="s">
        <v>4712</v>
      </c>
      <c r="J1725" s="5">
        <v>34</v>
      </c>
      <c r="K1725" s="5" t="s">
        <v>292</v>
      </c>
      <c r="L1725" s="5" t="s">
        <v>3723</v>
      </c>
      <c r="M1725" s="5">
        <v>71</v>
      </c>
      <c r="N1725" s="5" t="s">
        <v>1771</v>
      </c>
      <c r="O1725" s="5" t="s">
        <v>789</v>
      </c>
      <c r="Q1725" s="10" t="s">
        <v>553</v>
      </c>
      <c r="S1725" s="10" t="s">
        <v>328</v>
      </c>
    </row>
    <row r="1726" spans="1:21" x14ac:dyDescent="0.2">
      <c r="A1726" s="5">
        <v>827</v>
      </c>
      <c r="B1726" s="11" t="s">
        <v>4713</v>
      </c>
      <c r="C1726" s="11"/>
      <c r="D1726" s="11"/>
      <c r="E1726" s="26"/>
      <c r="F1726" s="11"/>
      <c r="G1726" s="11"/>
      <c r="H1726" s="8" t="s">
        <v>4714</v>
      </c>
      <c r="I1726" s="8" t="s">
        <v>4714</v>
      </c>
      <c r="J1726" s="5">
        <v>2</v>
      </c>
      <c r="K1726" s="5" t="s">
        <v>292</v>
      </c>
      <c r="L1726" s="5" t="s">
        <v>3723</v>
      </c>
      <c r="M1726" s="5">
        <v>71</v>
      </c>
      <c r="N1726" s="5" t="s">
        <v>1771</v>
      </c>
      <c r="O1726" s="5" t="s">
        <v>789</v>
      </c>
      <c r="Q1726" s="10" t="s">
        <v>553</v>
      </c>
      <c r="S1726" s="5" t="s">
        <v>328</v>
      </c>
    </row>
    <row r="1727" spans="1:21" x14ac:dyDescent="0.2">
      <c r="A1727" s="5">
        <v>805</v>
      </c>
      <c r="B1727" s="11" t="s">
        <v>4715</v>
      </c>
      <c r="C1727" s="11"/>
      <c r="D1727" s="11"/>
      <c r="E1727" s="26"/>
      <c r="F1727" s="11"/>
      <c r="G1727" s="11"/>
      <c r="H1727" s="8" t="s">
        <v>4716</v>
      </c>
      <c r="I1727" s="8" t="s">
        <v>4717</v>
      </c>
      <c r="J1727" s="5">
        <f>9336-14-14-7-7-44-6-6-12-6-4-16-16-2-10-22</f>
        <v>9150</v>
      </c>
      <c r="K1727" s="5" t="s">
        <v>292</v>
      </c>
      <c r="L1727" s="5" t="s">
        <v>3723</v>
      </c>
      <c r="M1727" s="5">
        <v>72</v>
      </c>
      <c r="N1727" s="5" t="s">
        <v>4718</v>
      </c>
      <c r="O1727" s="5" t="s">
        <v>789</v>
      </c>
      <c r="Q1727" s="10" t="s">
        <v>553</v>
      </c>
      <c r="S1727" s="5" t="s">
        <v>328</v>
      </c>
    </row>
    <row r="1728" spans="1:21" x14ac:dyDescent="0.2">
      <c r="A1728" s="5">
        <v>836</v>
      </c>
      <c r="B1728" s="11" t="s">
        <v>4680</v>
      </c>
      <c r="C1728" s="11"/>
      <c r="D1728" s="11"/>
      <c r="E1728" s="26"/>
      <c r="F1728" s="11"/>
      <c r="G1728" s="11"/>
      <c r="H1728" s="8" t="s">
        <v>4719</v>
      </c>
      <c r="I1728" s="8" t="s">
        <v>4720</v>
      </c>
      <c r="J1728" s="5">
        <f>4300</f>
        <v>4300</v>
      </c>
      <c r="K1728" s="5" t="s">
        <v>292</v>
      </c>
      <c r="L1728" s="5" t="s">
        <v>3723</v>
      </c>
      <c r="M1728" s="5">
        <v>72</v>
      </c>
      <c r="N1728" s="5" t="s">
        <v>2527</v>
      </c>
      <c r="O1728" s="5" t="s">
        <v>789</v>
      </c>
      <c r="Q1728" s="10" t="s">
        <v>553</v>
      </c>
      <c r="S1728" s="5" t="s">
        <v>328</v>
      </c>
    </row>
    <row r="1729" spans="1:19" ht="15.75" customHeight="1" x14ac:dyDescent="0.2">
      <c r="A1729" s="5">
        <v>839</v>
      </c>
      <c r="B1729" s="8" t="s">
        <v>4721</v>
      </c>
      <c r="H1729" s="8" t="s">
        <v>43</v>
      </c>
      <c r="I1729" s="8" t="s">
        <v>4722</v>
      </c>
      <c r="J1729" s="5">
        <v>41</v>
      </c>
      <c r="K1729" s="5" t="s">
        <v>292</v>
      </c>
      <c r="L1729" s="5" t="s">
        <v>3723</v>
      </c>
      <c r="M1729" s="5">
        <v>73</v>
      </c>
      <c r="N1729" s="5" t="s">
        <v>1771</v>
      </c>
      <c r="O1729" s="5" t="s">
        <v>789</v>
      </c>
      <c r="Q1729" s="10" t="s">
        <v>553</v>
      </c>
    </row>
    <row r="1730" spans="1:19" x14ac:dyDescent="0.2">
      <c r="A1730" s="5">
        <v>840</v>
      </c>
      <c r="B1730" s="11" t="s">
        <v>4723</v>
      </c>
      <c r="C1730" s="11"/>
      <c r="D1730" s="11"/>
      <c r="E1730" s="26"/>
      <c r="F1730" s="11"/>
      <c r="G1730" s="11"/>
      <c r="H1730" s="8" t="s">
        <v>4724</v>
      </c>
      <c r="I1730" s="8" t="s">
        <v>4724</v>
      </c>
      <c r="J1730" s="5">
        <f>12203-110-15-15-30-10-10-5-3-5-40-40-5-25-40</f>
        <v>11850</v>
      </c>
      <c r="K1730" s="5" t="s">
        <v>292</v>
      </c>
      <c r="L1730" s="5" t="s">
        <v>3723</v>
      </c>
      <c r="M1730" s="5">
        <v>74</v>
      </c>
      <c r="N1730" s="5" t="s">
        <v>2527</v>
      </c>
      <c r="O1730" s="5" t="s">
        <v>789</v>
      </c>
      <c r="Q1730" s="5" t="s">
        <v>4725</v>
      </c>
      <c r="R1730" s="6"/>
      <c r="S1730" s="6"/>
    </row>
    <row r="1731" spans="1:19" x14ac:dyDescent="0.2">
      <c r="A1731" s="5">
        <v>1653</v>
      </c>
      <c r="B1731" s="8" t="s">
        <v>4726</v>
      </c>
      <c r="H1731" s="8" t="s">
        <v>4727</v>
      </c>
      <c r="I1731" s="8" t="s">
        <v>4728</v>
      </c>
      <c r="J1731" s="5">
        <v>71</v>
      </c>
      <c r="K1731" s="5" t="s">
        <v>292</v>
      </c>
      <c r="L1731" s="5" t="s">
        <v>3723</v>
      </c>
      <c r="M1731" s="5">
        <v>75</v>
      </c>
      <c r="N1731" s="5" t="s">
        <v>3879</v>
      </c>
      <c r="O1731" s="5" t="s">
        <v>574</v>
      </c>
      <c r="Q1731" s="5" t="s">
        <v>4729</v>
      </c>
      <c r="R1731" s="6"/>
      <c r="S1731" s="6"/>
    </row>
    <row r="1732" spans="1:19" x14ac:dyDescent="0.2">
      <c r="A1732" s="5"/>
      <c r="B1732" s="8">
        <v>61801525311</v>
      </c>
      <c r="H1732" s="8" t="s">
        <v>4730</v>
      </c>
      <c r="I1732" s="8" t="s">
        <v>4730</v>
      </c>
      <c r="J1732" s="5">
        <v>13</v>
      </c>
      <c r="K1732" s="5" t="s">
        <v>21</v>
      </c>
      <c r="L1732" s="5" t="s">
        <v>3723</v>
      </c>
      <c r="M1732" s="5">
        <v>76</v>
      </c>
      <c r="N1732" s="5" t="s">
        <v>3724</v>
      </c>
      <c r="R1732" s="6"/>
      <c r="S1732" s="6"/>
    </row>
    <row r="1733" spans="1:19" x14ac:dyDescent="0.2">
      <c r="A1733" s="5">
        <v>1655</v>
      </c>
      <c r="B1733" s="8" t="s">
        <v>4731</v>
      </c>
      <c r="H1733" s="8" t="s">
        <v>4732</v>
      </c>
      <c r="I1733" s="8" t="s">
        <v>4733</v>
      </c>
      <c r="J1733" s="5">
        <f>88+176-4-3+1-24-4</f>
        <v>230</v>
      </c>
      <c r="K1733" s="5" t="s">
        <v>292</v>
      </c>
      <c r="L1733" s="5" t="s">
        <v>3723</v>
      </c>
      <c r="M1733" s="5" t="s">
        <v>4734</v>
      </c>
      <c r="N1733" s="5" t="s">
        <v>3724</v>
      </c>
      <c r="O1733" s="5" t="s">
        <v>574</v>
      </c>
      <c r="Q1733" s="5" t="s">
        <v>4698</v>
      </c>
      <c r="R1733" s="6"/>
      <c r="S1733" s="6" t="s">
        <v>328</v>
      </c>
    </row>
    <row r="1734" spans="1:19" x14ac:dyDescent="0.2">
      <c r="A1734" s="5">
        <v>1656</v>
      </c>
      <c r="B1734" s="8" t="s">
        <v>4735</v>
      </c>
      <c r="H1734" s="8" t="s">
        <v>4736</v>
      </c>
      <c r="I1734" s="40" t="s">
        <v>4736</v>
      </c>
      <c r="J1734" s="5">
        <f>120-6-8-2-8-4-24-12-25+86+14-66-4-32-16-2</f>
        <v>11</v>
      </c>
      <c r="K1734" s="5" t="s">
        <v>292</v>
      </c>
      <c r="L1734" s="5" t="s">
        <v>3723</v>
      </c>
      <c r="M1734" s="5" t="s">
        <v>4737</v>
      </c>
      <c r="N1734" s="5" t="s">
        <v>4176</v>
      </c>
      <c r="O1734" s="5" t="s">
        <v>574</v>
      </c>
      <c r="Q1734" s="10" t="s">
        <v>553</v>
      </c>
    </row>
    <row r="1735" spans="1:19" x14ac:dyDescent="0.2">
      <c r="A1735" s="5">
        <v>829</v>
      </c>
      <c r="B1735" s="8" t="s">
        <v>4738</v>
      </c>
      <c r="H1735" s="8" t="s">
        <v>4739</v>
      </c>
      <c r="I1735" s="8" t="s">
        <v>4739</v>
      </c>
      <c r="J1735" s="5">
        <v>2701</v>
      </c>
      <c r="K1735" s="5" t="s">
        <v>292</v>
      </c>
      <c r="L1735" s="5" t="s">
        <v>3723</v>
      </c>
      <c r="M1735" s="5">
        <v>78</v>
      </c>
      <c r="N1735" s="5" t="s">
        <v>2805</v>
      </c>
      <c r="O1735" s="5" t="s">
        <v>789</v>
      </c>
      <c r="Q1735" s="5" t="s">
        <v>4740</v>
      </c>
      <c r="S1735" s="5" t="s">
        <v>328</v>
      </c>
    </row>
    <row r="1736" spans="1:19" x14ac:dyDescent="0.2">
      <c r="A1736" s="5">
        <v>831</v>
      </c>
      <c r="B1736" s="11" t="s">
        <v>4741</v>
      </c>
      <c r="C1736" s="11"/>
      <c r="D1736" s="11"/>
      <c r="E1736" s="26"/>
      <c r="F1736" s="11"/>
      <c r="G1736" s="11"/>
      <c r="H1736" s="8" t="s">
        <v>4742</v>
      </c>
      <c r="I1736" s="8" t="s">
        <v>4743</v>
      </c>
      <c r="J1736" s="5">
        <v>329</v>
      </c>
      <c r="K1736" s="5" t="s">
        <v>292</v>
      </c>
      <c r="L1736" s="5" t="s">
        <v>3723</v>
      </c>
      <c r="M1736" s="5">
        <v>79</v>
      </c>
      <c r="N1736" s="5" t="s">
        <v>4584</v>
      </c>
      <c r="O1736" s="5" t="s">
        <v>789</v>
      </c>
      <c r="Q1736" s="10" t="s">
        <v>553</v>
      </c>
      <c r="S1736" s="5" t="s">
        <v>328</v>
      </c>
    </row>
    <row r="1737" spans="1:19" x14ac:dyDescent="0.2">
      <c r="A1737" s="5">
        <v>832</v>
      </c>
      <c r="B1737" s="11" t="s">
        <v>4744</v>
      </c>
      <c r="C1737" s="11"/>
      <c r="D1737" s="11"/>
      <c r="E1737" s="26"/>
      <c r="F1737" s="11"/>
      <c r="G1737" s="11"/>
      <c r="H1737" s="8" t="s">
        <v>4745</v>
      </c>
      <c r="I1737" s="8" t="s">
        <v>4745</v>
      </c>
      <c r="J1737" s="5">
        <v>4</v>
      </c>
      <c r="K1737" s="5" t="s">
        <v>292</v>
      </c>
      <c r="L1737" s="5" t="s">
        <v>3723</v>
      </c>
      <c r="M1737" s="5">
        <v>79</v>
      </c>
      <c r="N1737" s="5" t="s">
        <v>4584</v>
      </c>
      <c r="O1737" s="5" t="s">
        <v>789</v>
      </c>
      <c r="Q1737" s="10" t="s">
        <v>553</v>
      </c>
      <c r="S1737" s="5" t="s">
        <v>328</v>
      </c>
    </row>
    <row r="1738" spans="1:19" x14ac:dyDescent="0.2">
      <c r="A1738" s="5">
        <v>833</v>
      </c>
      <c r="B1738" s="11" t="s">
        <v>4746</v>
      </c>
      <c r="C1738" s="11"/>
      <c r="D1738" s="11"/>
      <c r="E1738" s="26"/>
      <c r="F1738" s="11"/>
      <c r="G1738" s="11"/>
      <c r="H1738" s="8" t="s">
        <v>4747</v>
      </c>
      <c r="I1738" s="8" t="s">
        <v>4747</v>
      </c>
      <c r="J1738" s="5">
        <v>5</v>
      </c>
      <c r="K1738" s="5" t="s">
        <v>292</v>
      </c>
      <c r="L1738" s="5" t="s">
        <v>3723</v>
      </c>
      <c r="M1738" s="5">
        <v>79</v>
      </c>
      <c r="N1738" s="5" t="s">
        <v>4584</v>
      </c>
      <c r="O1738" s="5" t="s">
        <v>789</v>
      </c>
      <c r="Q1738" s="10" t="s">
        <v>553</v>
      </c>
    </row>
    <row r="1739" spans="1:19" x14ac:dyDescent="0.2">
      <c r="A1739" s="5">
        <v>847</v>
      </c>
      <c r="B1739" s="8" t="s">
        <v>4748</v>
      </c>
      <c r="H1739" s="8" t="s">
        <v>4749</v>
      </c>
      <c r="I1739" s="8" t="s">
        <v>4749</v>
      </c>
      <c r="J1739" s="5">
        <f>986</f>
        <v>986</v>
      </c>
      <c r="K1739" s="5" t="s">
        <v>292</v>
      </c>
      <c r="L1739" s="5" t="s">
        <v>3723</v>
      </c>
      <c r="M1739" s="5">
        <v>80</v>
      </c>
      <c r="N1739" s="5" t="s">
        <v>2527</v>
      </c>
      <c r="O1739" s="5" t="s">
        <v>789</v>
      </c>
      <c r="Q1739" s="5" t="s">
        <v>553</v>
      </c>
    </row>
    <row r="1740" spans="1:19" x14ac:dyDescent="0.2">
      <c r="A1740" s="5">
        <v>848</v>
      </c>
      <c r="B1740" s="32" t="s">
        <v>4750</v>
      </c>
      <c r="H1740" s="8" t="s">
        <v>4751</v>
      </c>
      <c r="I1740" s="8" t="s">
        <v>4751</v>
      </c>
      <c r="J1740" s="5">
        <f>15</f>
        <v>15</v>
      </c>
      <c r="K1740" s="5" t="s">
        <v>292</v>
      </c>
      <c r="L1740" s="5" t="s">
        <v>3723</v>
      </c>
      <c r="M1740" s="5">
        <v>80</v>
      </c>
      <c r="N1740" s="5" t="s">
        <v>4752</v>
      </c>
      <c r="O1740" s="5" t="s">
        <v>789</v>
      </c>
      <c r="Q1740" s="10" t="s">
        <v>553</v>
      </c>
    </row>
    <row r="1741" spans="1:19" x14ac:dyDescent="0.2">
      <c r="A1741" s="5">
        <v>849</v>
      </c>
      <c r="B1741" s="8" t="s">
        <v>4753</v>
      </c>
      <c r="H1741" s="8" t="s">
        <v>4754</v>
      </c>
      <c r="I1741" s="8" t="s">
        <v>4754</v>
      </c>
      <c r="J1741" s="5">
        <f>4000</f>
        <v>4000</v>
      </c>
      <c r="K1741" s="5" t="s">
        <v>292</v>
      </c>
      <c r="L1741" s="5" t="s">
        <v>3723</v>
      </c>
      <c r="M1741" s="5">
        <v>80</v>
      </c>
      <c r="N1741" s="5" t="s">
        <v>2527</v>
      </c>
      <c r="O1741" s="5" t="s">
        <v>789</v>
      </c>
    </row>
    <row r="1742" spans="1:19" x14ac:dyDescent="0.2">
      <c r="A1742" s="5">
        <v>850</v>
      </c>
      <c r="B1742" s="8" t="s">
        <v>4755</v>
      </c>
      <c r="H1742" s="8" t="s">
        <v>4756</v>
      </c>
      <c r="I1742" s="8" t="s">
        <v>4756</v>
      </c>
      <c r="J1742" s="5">
        <v>7</v>
      </c>
      <c r="K1742" s="5" t="s">
        <v>292</v>
      </c>
      <c r="L1742" s="5" t="s">
        <v>3723</v>
      </c>
      <c r="M1742" s="5">
        <v>80</v>
      </c>
      <c r="N1742" s="5" t="s">
        <v>2820</v>
      </c>
      <c r="O1742" s="5" t="s">
        <v>789</v>
      </c>
    </row>
    <row r="1743" spans="1:19" x14ac:dyDescent="0.2">
      <c r="A1743" s="5">
        <v>851</v>
      </c>
      <c r="B1743" s="34" t="s">
        <v>4757</v>
      </c>
      <c r="H1743" s="8" t="s">
        <v>4758</v>
      </c>
      <c r="I1743" s="8" t="s">
        <v>4758</v>
      </c>
      <c r="J1743" s="5">
        <f>2874</f>
        <v>2874</v>
      </c>
      <c r="K1743" s="5" t="s">
        <v>292</v>
      </c>
      <c r="L1743" s="5" t="s">
        <v>3723</v>
      </c>
      <c r="M1743" s="5">
        <v>80</v>
      </c>
      <c r="N1743" s="5" t="s">
        <v>2827</v>
      </c>
      <c r="O1743" s="5" t="s">
        <v>789</v>
      </c>
      <c r="Q1743" s="5" t="s">
        <v>4759</v>
      </c>
    </row>
    <row r="1744" spans="1:19" x14ac:dyDescent="0.2">
      <c r="A1744" s="5">
        <v>853</v>
      </c>
      <c r="B1744" s="34" t="s">
        <v>4760</v>
      </c>
      <c r="H1744" s="8" t="s">
        <v>4761</v>
      </c>
      <c r="I1744" s="8" t="s">
        <v>4761</v>
      </c>
      <c r="J1744" s="5">
        <v>0</v>
      </c>
      <c r="K1744" s="5" t="s">
        <v>292</v>
      </c>
      <c r="L1744" s="5" t="s">
        <v>3723</v>
      </c>
      <c r="M1744" s="5">
        <v>80</v>
      </c>
      <c r="N1744" s="5" t="s">
        <v>2820</v>
      </c>
      <c r="O1744" s="5" t="s">
        <v>789</v>
      </c>
    </row>
    <row r="1745" spans="1:19" x14ac:dyDescent="0.2">
      <c r="A1745" s="5">
        <v>854</v>
      </c>
      <c r="B1745" s="8" t="s">
        <v>4762</v>
      </c>
      <c r="H1745" s="8" t="s">
        <v>4763</v>
      </c>
      <c r="I1745" s="8" t="s">
        <v>4763</v>
      </c>
      <c r="J1745" s="5">
        <f>350</f>
        <v>350</v>
      </c>
      <c r="K1745" s="5" t="s">
        <v>292</v>
      </c>
      <c r="L1745" s="5" t="s">
        <v>3723</v>
      </c>
      <c r="M1745" s="5">
        <v>80</v>
      </c>
      <c r="N1745" s="5" t="s">
        <v>4752</v>
      </c>
      <c r="O1745" s="5" t="s">
        <v>789</v>
      </c>
      <c r="Q1745" s="10" t="s">
        <v>553</v>
      </c>
    </row>
    <row r="1746" spans="1:19" x14ac:dyDescent="0.2">
      <c r="A1746" s="5">
        <v>855</v>
      </c>
      <c r="B1746" s="8" t="s">
        <v>4764</v>
      </c>
      <c r="H1746" s="8" t="s">
        <v>4765</v>
      </c>
      <c r="I1746" s="8" t="s">
        <v>4765</v>
      </c>
      <c r="J1746" s="5">
        <v>0</v>
      </c>
      <c r="K1746" s="5" t="s">
        <v>292</v>
      </c>
      <c r="L1746" s="5" t="s">
        <v>3723</v>
      </c>
      <c r="M1746" s="5">
        <v>80</v>
      </c>
      <c r="N1746" s="5" t="s">
        <v>4766</v>
      </c>
      <c r="O1746" s="5" t="s">
        <v>789</v>
      </c>
      <c r="Q1746" s="10" t="s">
        <v>553</v>
      </c>
    </row>
    <row r="1747" spans="1:19" x14ac:dyDescent="0.2">
      <c r="A1747" s="5">
        <v>856</v>
      </c>
      <c r="B1747" s="8" t="s">
        <v>4767</v>
      </c>
      <c r="H1747" s="8" t="s">
        <v>4768</v>
      </c>
      <c r="I1747" s="8" t="s">
        <v>4768</v>
      </c>
      <c r="J1747" s="5">
        <f>350+2650</f>
        <v>3000</v>
      </c>
      <c r="K1747" s="5" t="s">
        <v>292</v>
      </c>
      <c r="L1747" s="5" t="s">
        <v>3723</v>
      </c>
      <c r="M1747" s="5">
        <v>80</v>
      </c>
      <c r="N1747" s="5" t="s">
        <v>4752</v>
      </c>
      <c r="O1747" s="5" t="s">
        <v>789</v>
      </c>
      <c r="Q1747" s="10" t="s">
        <v>553</v>
      </c>
      <c r="S1747" s="5" t="s">
        <v>328</v>
      </c>
    </row>
    <row r="1748" spans="1:19" x14ac:dyDescent="0.2">
      <c r="A1748" s="5"/>
      <c r="B1748" s="8" t="s">
        <v>4769</v>
      </c>
      <c r="I1748" s="8" t="s">
        <v>4770</v>
      </c>
      <c r="J1748" s="5">
        <f>10-2-1-7</f>
        <v>0</v>
      </c>
      <c r="K1748" s="5" t="s">
        <v>292</v>
      </c>
      <c r="L1748" s="5" t="s">
        <v>3723</v>
      </c>
      <c r="M1748" s="5">
        <v>80</v>
      </c>
      <c r="Q1748" s="10"/>
    </row>
    <row r="1749" spans="1:19" x14ac:dyDescent="0.2">
      <c r="A1749" s="5"/>
      <c r="B1749" s="8" t="s">
        <v>4771</v>
      </c>
      <c r="I1749" s="8" t="s">
        <v>4772</v>
      </c>
      <c r="J1749" s="5">
        <f>100-4-32-64</f>
        <v>0</v>
      </c>
      <c r="K1749" s="5" t="s">
        <v>292</v>
      </c>
      <c r="L1749" s="5" t="s">
        <v>3723</v>
      </c>
      <c r="M1749" s="5">
        <v>80</v>
      </c>
      <c r="Q1749" s="10"/>
    </row>
    <row r="1750" spans="1:19" x14ac:dyDescent="0.2">
      <c r="A1750" s="5">
        <v>841</v>
      </c>
      <c r="B1750" s="11" t="s">
        <v>4773</v>
      </c>
      <c r="C1750" s="11"/>
      <c r="D1750" s="11"/>
      <c r="E1750" s="26"/>
      <c r="F1750" s="11"/>
      <c r="G1750" s="11"/>
      <c r="H1750" s="8" t="s">
        <v>4774</v>
      </c>
      <c r="I1750" s="8" t="s">
        <v>4775</v>
      </c>
      <c r="J1750" s="5">
        <f>22553-176-24-24-48-16-16-8-3-64-64-8-64-40</f>
        <v>21998</v>
      </c>
      <c r="K1750" s="5" t="s">
        <v>292</v>
      </c>
      <c r="L1750" s="5" t="s">
        <v>3723</v>
      </c>
      <c r="M1750" s="5">
        <v>81</v>
      </c>
      <c r="N1750" s="5" t="s">
        <v>2527</v>
      </c>
      <c r="O1750" s="5" t="s">
        <v>789</v>
      </c>
      <c r="Q1750" s="10" t="s">
        <v>553</v>
      </c>
      <c r="R1750" s="6"/>
      <c r="S1750" s="6"/>
    </row>
    <row r="1751" spans="1:19" x14ac:dyDescent="0.2">
      <c r="A1751" s="5">
        <v>1654</v>
      </c>
      <c r="B1751" s="8" t="s">
        <v>4776</v>
      </c>
      <c r="H1751" s="8" t="s">
        <v>4777</v>
      </c>
      <c r="I1751" s="8" t="s">
        <v>4777</v>
      </c>
      <c r="J1751" s="5">
        <f>33-1+100-6-10-2-2-8-1-10-3+4-10-1</f>
        <v>83</v>
      </c>
      <c r="K1751" s="5" t="s">
        <v>292</v>
      </c>
      <c r="L1751" s="5" t="s">
        <v>3723</v>
      </c>
      <c r="M1751" s="5">
        <v>82</v>
      </c>
      <c r="N1751" s="5" t="s">
        <v>3724</v>
      </c>
      <c r="O1751" s="5" t="s">
        <v>574</v>
      </c>
      <c r="Q1751" s="7" t="s">
        <v>4778</v>
      </c>
    </row>
    <row r="1752" spans="1:19" x14ac:dyDescent="0.2">
      <c r="A1752" s="5">
        <v>275</v>
      </c>
      <c r="B1752" s="8" t="s">
        <v>187</v>
      </c>
      <c r="H1752" s="8" t="s">
        <v>4779</v>
      </c>
      <c r="I1752" s="8" t="s">
        <v>4780</v>
      </c>
      <c r="J1752" s="5">
        <f>2+8-6</f>
        <v>4</v>
      </c>
      <c r="K1752" s="5" t="s">
        <v>292</v>
      </c>
      <c r="L1752" s="5" t="s">
        <v>4781</v>
      </c>
      <c r="M1752" s="5">
        <v>1</v>
      </c>
      <c r="N1752" s="5" t="s">
        <v>4782</v>
      </c>
      <c r="O1752" s="5" t="s">
        <v>520</v>
      </c>
      <c r="Q1752" s="5" t="s">
        <v>4783</v>
      </c>
    </row>
    <row r="1753" spans="1:19" x14ac:dyDescent="0.2">
      <c r="A1753" s="5"/>
      <c r="B1753" s="8" t="s">
        <v>187</v>
      </c>
      <c r="H1753" s="8" t="s">
        <v>172</v>
      </c>
      <c r="I1753" s="8" t="s">
        <v>172</v>
      </c>
      <c r="J1753" s="5">
        <f>50-4-21+3-6-12-6-4</f>
        <v>0</v>
      </c>
      <c r="K1753" s="5" t="s">
        <v>292</v>
      </c>
      <c r="L1753" s="5" t="s">
        <v>4781</v>
      </c>
      <c r="M1753" s="5">
        <v>1</v>
      </c>
      <c r="N1753" s="5" t="s">
        <v>4782</v>
      </c>
      <c r="Q1753" s="107" t="s">
        <v>1006</v>
      </c>
      <c r="R1753" s="6"/>
      <c r="S1753" s="6"/>
    </row>
    <row r="1754" spans="1:19" x14ac:dyDescent="0.2">
      <c r="A1754" s="5">
        <v>1850</v>
      </c>
      <c r="B1754" s="8" t="s">
        <v>4784</v>
      </c>
      <c r="H1754" s="8" t="s">
        <v>4785</v>
      </c>
      <c r="I1754" s="8" t="s">
        <v>4786</v>
      </c>
      <c r="J1754" s="5">
        <f>139</f>
        <v>139</v>
      </c>
      <c r="K1754" s="5" t="s">
        <v>292</v>
      </c>
      <c r="L1754" s="5" t="s">
        <v>4781</v>
      </c>
      <c r="M1754" s="5">
        <v>1</v>
      </c>
      <c r="N1754" s="5" t="s">
        <v>4782</v>
      </c>
      <c r="O1754" s="5" t="s">
        <v>520</v>
      </c>
      <c r="Q1754" s="5" t="s">
        <v>4787</v>
      </c>
      <c r="R1754" s="6"/>
      <c r="S1754" s="6"/>
    </row>
    <row r="1755" spans="1:19" x14ac:dyDescent="0.2">
      <c r="A1755" s="5"/>
      <c r="B1755" s="8" t="s">
        <v>4784</v>
      </c>
      <c r="H1755" s="8" t="s">
        <v>4788</v>
      </c>
      <c r="I1755" s="8" t="s">
        <v>4789</v>
      </c>
      <c r="J1755" s="5">
        <f>150-110-2-2-22-3-8+361-40+16-48-3-10+3-1-96-3-6-6-2-22-6-4-2-8-4-4-4-12-12-14+62+45-41-1-1-32-16-1</f>
        <v>91</v>
      </c>
      <c r="K1755" s="5" t="s">
        <v>292</v>
      </c>
      <c r="L1755" s="5" t="s">
        <v>4781</v>
      </c>
      <c r="M1755" s="5">
        <v>1</v>
      </c>
      <c r="N1755" s="5" t="s">
        <v>4782</v>
      </c>
      <c r="R1755" s="6"/>
      <c r="S1755" s="6"/>
    </row>
    <row r="1756" spans="1:19" x14ac:dyDescent="0.2">
      <c r="A1756" s="5"/>
      <c r="B1756" s="8" t="s">
        <v>4790</v>
      </c>
      <c r="H1756" s="8" t="s">
        <v>4791</v>
      </c>
      <c r="I1756" s="8" t="s">
        <v>4791</v>
      </c>
      <c r="J1756" s="5">
        <f>1-1</f>
        <v>0</v>
      </c>
      <c r="K1756" s="5" t="s">
        <v>292</v>
      </c>
      <c r="L1756" s="5" t="s">
        <v>4781</v>
      </c>
      <c r="M1756" s="5">
        <v>1</v>
      </c>
      <c r="N1756" s="5" t="s">
        <v>4782</v>
      </c>
      <c r="O1756" s="5" t="s">
        <v>520</v>
      </c>
      <c r="R1756" s="6"/>
      <c r="S1756" s="13" t="s">
        <v>328</v>
      </c>
    </row>
    <row r="1757" spans="1:19" x14ac:dyDescent="0.2">
      <c r="A1757" s="5">
        <v>1851</v>
      </c>
      <c r="B1757" s="8" t="s">
        <v>4792</v>
      </c>
      <c r="H1757" s="8" t="s">
        <v>4793</v>
      </c>
      <c r="I1757" s="8" t="s">
        <v>4793</v>
      </c>
      <c r="J1757" s="5">
        <f>25</f>
        <v>25</v>
      </c>
      <c r="K1757" s="5" t="s">
        <v>292</v>
      </c>
      <c r="L1757" s="5" t="s">
        <v>4781</v>
      </c>
      <c r="M1757" s="5">
        <v>2</v>
      </c>
      <c r="N1757" s="5" t="s">
        <v>4782</v>
      </c>
      <c r="O1757" s="5" t="s">
        <v>574</v>
      </c>
      <c r="Q1757" s="5" t="s">
        <v>553</v>
      </c>
      <c r="R1757" s="6"/>
      <c r="S1757" s="6" t="s">
        <v>328</v>
      </c>
    </row>
    <row r="1758" spans="1:19" x14ac:dyDescent="0.2">
      <c r="A1758" s="5">
        <v>1852</v>
      </c>
      <c r="B1758" s="8" t="s">
        <v>4794</v>
      </c>
      <c r="H1758" s="8" t="s">
        <v>4795</v>
      </c>
      <c r="I1758" s="8" t="s">
        <v>4795</v>
      </c>
      <c r="J1758" s="5">
        <v>0</v>
      </c>
      <c r="K1758" s="5" t="s">
        <v>292</v>
      </c>
      <c r="L1758" s="5" t="s">
        <v>4781</v>
      </c>
      <c r="M1758" s="5">
        <v>2</v>
      </c>
      <c r="N1758" s="5" t="s">
        <v>4782</v>
      </c>
      <c r="O1758" s="5" t="s">
        <v>574</v>
      </c>
      <c r="Q1758" s="10" t="s">
        <v>553</v>
      </c>
      <c r="R1758" s="6"/>
      <c r="S1758" s="6" t="s">
        <v>328</v>
      </c>
    </row>
    <row r="1759" spans="1:19" x14ac:dyDescent="0.2">
      <c r="A1759" s="5">
        <v>1853</v>
      </c>
      <c r="B1759" s="8" t="s">
        <v>4792</v>
      </c>
      <c r="H1759" s="8" t="s">
        <v>4796</v>
      </c>
      <c r="I1759" s="8" t="s">
        <v>4797</v>
      </c>
      <c r="J1759" s="5">
        <v>33</v>
      </c>
      <c r="K1759" s="5" t="s">
        <v>292</v>
      </c>
      <c r="L1759" s="5" t="s">
        <v>4781</v>
      </c>
      <c r="M1759" s="5">
        <v>2</v>
      </c>
      <c r="N1759" s="5" t="s">
        <v>4782</v>
      </c>
      <c r="O1759" s="5" t="s">
        <v>574</v>
      </c>
      <c r="Q1759" s="10" t="s">
        <v>553</v>
      </c>
      <c r="R1759" s="6"/>
      <c r="S1759" s="6"/>
    </row>
    <row r="1760" spans="1:19" x14ac:dyDescent="0.2">
      <c r="A1760" s="5">
        <v>1854</v>
      </c>
      <c r="B1760" s="8" t="s">
        <v>4798</v>
      </c>
      <c r="H1760" s="8" t="s">
        <v>4799</v>
      </c>
      <c r="I1760" s="8" t="s">
        <v>4799</v>
      </c>
      <c r="J1760" s="5">
        <f>41-1-2-3-1-1-1</f>
        <v>32</v>
      </c>
      <c r="K1760" s="5" t="s">
        <v>292</v>
      </c>
      <c r="L1760" s="5" t="s">
        <v>4781</v>
      </c>
      <c r="M1760" s="5">
        <v>3</v>
      </c>
      <c r="N1760" s="5" t="s">
        <v>4782</v>
      </c>
      <c r="O1760" s="5" t="s">
        <v>574</v>
      </c>
      <c r="Q1760" s="5" t="s">
        <v>4800</v>
      </c>
      <c r="R1760" s="6"/>
      <c r="S1760" s="6" t="s">
        <v>328</v>
      </c>
    </row>
    <row r="1761" spans="1:19" x14ac:dyDescent="0.2">
      <c r="A1761" s="5">
        <v>1855</v>
      </c>
      <c r="B1761" s="8" t="s">
        <v>4801</v>
      </c>
      <c r="H1761" s="8" t="s">
        <v>4802</v>
      </c>
      <c r="I1761" s="8" t="s">
        <v>4802</v>
      </c>
      <c r="J1761" s="5">
        <v>0</v>
      </c>
      <c r="K1761" s="5" t="s">
        <v>292</v>
      </c>
      <c r="L1761" s="5" t="s">
        <v>4781</v>
      </c>
      <c r="M1761" s="5">
        <v>3</v>
      </c>
      <c r="N1761" s="5" t="s">
        <v>4782</v>
      </c>
      <c r="O1761" s="5" t="s">
        <v>574</v>
      </c>
      <c r="Q1761" s="10" t="s">
        <v>553</v>
      </c>
      <c r="R1761" s="6"/>
      <c r="S1761" s="6" t="s">
        <v>328</v>
      </c>
    </row>
    <row r="1762" spans="1:19" x14ac:dyDescent="0.2">
      <c r="A1762" s="5"/>
      <c r="B1762" s="8" t="s">
        <v>4803</v>
      </c>
      <c r="I1762" s="8" t="s">
        <v>4804</v>
      </c>
      <c r="J1762" s="5">
        <f>4-1-1</f>
        <v>2</v>
      </c>
      <c r="K1762" s="5" t="s">
        <v>292</v>
      </c>
      <c r="L1762" s="5" t="s">
        <v>4781</v>
      </c>
      <c r="M1762" s="5">
        <v>3</v>
      </c>
      <c r="Q1762" s="10"/>
      <c r="R1762" s="6"/>
      <c r="S1762" s="6"/>
    </row>
    <row r="1763" spans="1:19" x14ac:dyDescent="0.2">
      <c r="A1763" s="5">
        <v>1856</v>
      </c>
      <c r="B1763" s="8" t="s">
        <v>4805</v>
      </c>
      <c r="H1763" s="8" t="s">
        <v>4806</v>
      </c>
      <c r="I1763" s="8" t="s">
        <v>4806</v>
      </c>
      <c r="J1763" s="5">
        <v>1</v>
      </c>
      <c r="K1763" s="5" t="s">
        <v>292</v>
      </c>
      <c r="L1763" s="5" t="s">
        <v>4781</v>
      </c>
      <c r="M1763" s="5">
        <v>3</v>
      </c>
      <c r="N1763" s="5" t="s">
        <v>4782</v>
      </c>
      <c r="O1763" s="5" t="s">
        <v>574</v>
      </c>
      <c r="Q1763" s="10" t="s">
        <v>553</v>
      </c>
      <c r="R1763" s="6"/>
      <c r="S1763" s="6"/>
    </row>
    <row r="1764" spans="1:19" x14ac:dyDescent="0.2">
      <c r="A1764" s="5"/>
      <c r="B1764" s="8" t="s">
        <v>4807</v>
      </c>
      <c r="H1764" s="8" t="s">
        <v>172</v>
      </c>
      <c r="I1764" s="8" t="s">
        <v>172</v>
      </c>
      <c r="J1764" s="5">
        <f>8</f>
        <v>8</v>
      </c>
      <c r="K1764" s="5" t="s">
        <v>292</v>
      </c>
      <c r="L1764" s="5" t="s">
        <v>4781</v>
      </c>
      <c r="M1764" s="5">
        <v>3</v>
      </c>
      <c r="N1764" s="5" t="s">
        <v>4782</v>
      </c>
      <c r="Q1764" s="10" t="s">
        <v>1019</v>
      </c>
      <c r="R1764" s="6"/>
      <c r="S1764" s="6" t="s">
        <v>328</v>
      </c>
    </row>
    <row r="1765" spans="1:19" x14ac:dyDescent="0.2">
      <c r="A1765" s="5"/>
      <c r="B1765" s="8" t="s">
        <v>115</v>
      </c>
      <c r="H1765" s="8" t="s">
        <v>4808</v>
      </c>
      <c r="I1765" s="8" t="s">
        <v>4808</v>
      </c>
      <c r="J1765" s="5">
        <f>5-3</f>
        <v>2</v>
      </c>
      <c r="K1765" s="5" t="s">
        <v>292</v>
      </c>
      <c r="L1765" s="5" t="s">
        <v>4781</v>
      </c>
      <c r="M1765" s="5">
        <v>3</v>
      </c>
      <c r="Q1765" s="10"/>
      <c r="R1765" s="6"/>
      <c r="S1765" s="6"/>
    </row>
    <row r="1766" spans="1:19" x14ac:dyDescent="0.2">
      <c r="A1766" s="5"/>
      <c r="B1766" s="8" t="s">
        <v>4809</v>
      </c>
      <c r="I1766" s="8" t="s">
        <v>114</v>
      </c>
      <c r="J1766" s="5">
        <f>5-1</f>
        <v>4</v>
      </c>
      <c r="K1766" s="5" t="s">
        <v>292</v>
      </c>
      <c r="L1766" s="5" t="s">
        <v>4781</v>
      </c>
      <c r="M1766" s="5">
        <v>3</v>
      </c>
      <c r="Q1766" s="10"/>
      <c r="R1766" s="6"/>
      <c r="S1766" s="6"/>
    </row>
    <row r="1767" spans="1:19" x14ac:dyDescent="0.2">
      <c r="A1767" s="5"/>
      <c r="B1767" s="8" t="s">
        <v>109</v>
      </c>
      <c r="H1767" s="8" t="s">
        <v>110</v>
      </c>
      <c r="I1767" s="8" t="s">
        <v>110</v>
      </c>
      <c r="J1767" s="5">
        <f>5-3</f>
        <v>2</v>
      </c>
      <c r="K1767" s="5" t="s">
        <v>292</v>
      </c>
      <c r="L1767" s="5" t="s">
        <v>4781</v>
      </c>
      <c r="M1767" s="5">
        <v>3</v>
      </c>
      <c r="Q1767" s="10"/>
      <c r="R1767" s="6"/>
      <c r="S1767" s="6"/>
    </row>
    <row r="1768" spans="1:19" x14ac:dyDescent="0.2">
      <c r="A1768" s="5"/>
      <c r="B1768" s="8" t="s">
        <v>103</v>
      </c>
      <c r="H1768" s="8" t="s">
        <v>111</v>
      </c>
      <c r="I1768" s="8" t="s">
        <v>111</v>
      </c>
      <c r="J1768" s="5">
        <f>5-3</f>
        <v>2</v>
      </c>
      <c r="K1768" s="5" t="s">
        <v>292</v>
      </c>
      <c r="L1768" s="5" t="s">
        <v>4781</v>
      </c>
      <c r="M1768" s="5">
        <v>3</v>
      </c>
      <c r="Q1768" s="10"/>
      <c r="R1768" s="6"/>
      <c r="S1768" s="6"/>
    </row>
    <row r="1769" spans="1:19" x14ac:dyDescent="0.2">
      <c r="A1769" s="5"/>
      <c r="B1769" s="8" t="s">
        <v>112</v>
      </c>
      <c r="H1769" s="8" t="s">
        <v>4810</v>
      </c>
      <c r="I1769" s="8" t="s">
        <v>4810</v>
      </c>
      <c r="J1769" s="5">
        <f>5-3</f>
        <v>2</v>
      </c>
      <c r="K1769" s="5" t="s">
        <v>292</v>
      </c>
      <c r="L1769" s="5" t="s">
        <v>4781</v>
      </c>
      <c r="M1769" s="5">
        <v>3</v>
      </c>
      <c r="Q1769" s="10" t="s">
        <v>1011</v>
      </c>
      <c r="R1769" s="6"/>
      <c r="S1769" s="6"/>
    </row>
    <row r="1770" spans="1:19" x14ac:dyDescent="0.2">
      <c r="A1770" s="5"/>
      <c r="B1770" s="8" t="s">
        <v>4811</v>
      </c>
      <c r="I1770" s="8" t="s">
        <v>4812</v>
      </c>
      <c r="J1770" s="5">
        <f>2</f>
        <v>2</v>
      </c>
      <c r="K1770" s="5" t="s">
        <v>292</v>
      </c>
      <c r="L1770" s="5" t="s">
        <v>4781</v>
      </c>
      <c r="M1770" s="5">
        <v>3</v>
      </c>
      <c r="Q1770" s="10"/>
      <c r="R1770" s="6"/>
      <c r="S1770" s="6"/>
    </row>
    <row r="1771" spans="1:19" x14ac:dyDescent="0.2">
      <c r="A1771" s="5"/>
      <c r="B1771" s="8" t="s">
        <v>4813</v>
      </c>
      <c r="I1771" s="8" t="s">
        <v>4814</v>
      </c>
      <c r="J1771" s="5">
        <f>8+10+6</f>
        <v>24</v>
      </c>
      <c r="K1771" s="5" t="s">
        <v>292</v>
      </c>
      <c r="L1771" s="5" t="s">
        <v>4781</v>
      </c>
      <c r="M1771" s="5">
        <v>3</v>
      </c>
      <c r="Q1771" s="10"/>
      <c r="R1771" s="6"/>
      <c r="S1771" s="6"/>
    </row>
    <row r="1772" spans="1:19" x14ac:dyDescent="0.2">
      <c r="A1772" s="5"/>
      <c r="B1772" s="8" t="s">
        <v>4815</v>
      </c>
      <c r="I1772" s="8" t="s">
        <v>4816</v>
      </c>
      <c r="J1772" s="5">
        <f>5</f>
        <v>5</v>
      </c>
      <c r="K1772" s="5" t="s">
        <v>292</v>
      </c>
      <c r="L1772" s="5" t="s">
        <v>4781</v>
      </c>
      <c r="M1772" s="5">
        <v>3</v>
      </c>
      <c r="Q1772" s="10" t="s">
        <v>4817</v>
      </c>
      <c r="R1772" s="6"/>
      <c r="S1772" s="6"/>
    </row>
    <row r="1773" spans="1:19" x14ac:dyDescent="0.2">
      <c r="A1773" s="5"/>
      <c r="B1773" s="8" t="s">
        <v>4818</v>
      </c>
      <c r="I1773" s="8" t="s">
        <v>4819</v>
      </c>
      <c r="J1773" s="5">
        <f>3</f>
        <v>3</v>
      </c>
      <c r="K1773" s="5" t="s">
        <v>292</v>
      </c>
      <c r="L1773" s="5" t="s">
        <v>4781</v>
      </c>
      <c r="M1773" s="5">
        <v>3</v>
      </c>
      <c r="Q1773" s="10"/>
      <c r="R1773" s="6"/>
      <c r="S1773" s="6"/>
    </row>
    <row r="1774" spans="1:19" x14ac:dyDescent="0.2">
      <c r="A1774" s="5"/>
      <c r="B1774" s="8" t="s">
        <v>4820</v>
      </c>
      <c r="I1774" s="8" t="s">
        <v>4821</v>
      </c>
      <c r="J1774" s="5">
        <f>24</f>
        <v>24</v>
      </c>
      <c r="K1774" s="5" t="s">
        <v>292</v>
      </c>
      <c r="L1774" s="5" t="s">
        <v>4781</v>
      </c>
      <c r="M1774" s="5">
        <v>3</v>
      </c>
      <c r="Q1774" s="10"/>
      <c r="R1774" s="6"/>
      <c r="S1774" s="6"/>
    </row>
    <row r="1775" spans="1:19" x14ac:dyDescent="0.2">
      <c r="A1775" s="5">
        <v>1857</v>
      </c>
      <c r="B1775" s="8" t="s">
        <v>4822</v>
      </c>
      <c r="H1775" s="8" t="s">
        <v>4823</v>
      </c>
      <c r="I1775" s="8" t="s">
        <v>4823</v>
      </c>
      <c r="J1775" s="5">
        <v>551</v>
      </c>
      <c r="K1775" s="5" t="s">
        <v>292</v>
      </c>
      <c r="L1775" s="5" t="s">
        <v>4781</v>
      </c>
      <c r="M1775" s="5">
        <v>4</v>
      </c>
      <c r="N1775" s="5" t="s">
        <v>4782</v>
      </c>
      <c r="O1775" s="5" t="s">
        <v>574</v>
      </c>
      <c r="Q1775" s="10" t="s">
        <v>553</v>
      </c>
      <c r="R1775" s="6"/>
      <c r="S1775" s="6" t="s">
        <v>328</v>
      </c>
    </row>
    <row r="1776" spans="1:19" x14ac:dyDescent="0.2">
      <c r="A1776" s="5">
        <v>1858</v>
      </c>
      <c r="B1776" s="8" t="s">
        <v>4824</v>
      </c>
      <c r="H1776" s="8" t="s">
        <v>4823</v>
      </c>
      <c r="I1776" s="8" t="s">
        <v>4823</v>
      </c>
      <c r="J1776" s="5">
        <f>58-8-8</f>
        <v>42</v>
      </c>
      <c r="K1776" s="5" t="s">
        <v>292</v>
      </c>
      <c r="L1776" s="5" t="s">
        <v>4781</v>
      </c>
      <c r="M1776" s="5">
        <v>5</v>
      </c>
      <c r="N1776" s="5" t="s">
        <v>4782</v>
      </c>
      <c r="O1776" s="5" t="s">
        <v>574</v>
      </c>
      <c r="Q1776" s="10" t="s">
        <v>553</v>
      </c>
      <c r="R1776" s="6"/>
      <c r="S1776" s="6" t="s">
        <v>328</v>
      </c>
    </row>
    <row r="1777" spans="1:19" x14ac:dyDescent="0.2">
      <c r="A1777" s="5">
        <v>1859</v>
      </c>
      <c r="B1777" s="8" t="s">
        <v>4825</v>
      </c>
      <c r="H1777" s="8" t="s">
        <v>4823</v>
      </c>
      <c r="I1777" s="8" t="s">
        <v>4823</v>
      </c>
      <c r="J1777" s="5">
        <v>100</v>
      </c>
      <c r="K1777" s="5" t="s">
        <v>292</v>
      </c>
      <c r="L1777" s="5" t="s">
        <v>4781</v>
      </c>
      <c r="M1777" s="5">
        <v>5</v>
      </c>
      <c r="N1777" s="5" t="s">
        <v>4782</v>
      </c>
      <c r="O1777" s="5" t="s">
        <v>574</v>
      </c>
      <c r="Q1777" s="10" t="s">
        <v>553</v>
      </c>
      <c r="R1777" s="6"/>
      <c r="S1777" s="13" t="s">
        <v>553</v>
      </c>
    </row>
    <row r="1778" spans="1:19" x14ac:dyDescent="0.2">
      <c r="A1778" s="5"/>
      <c r="B1778" s="8" t="s">
        <v>4826</v>
      </c>
      <c r="H1778" s="8" t="s">
        <v>4827</v>
      </c>
      <c r="I1778" s="8" t="s">
        <v>4827</v>
      </c>
      <c r="J1778" s="5">
        <f>3</f>
        <v>3</v>
      </c>
      <c r="K1778" s="5" t="s">
        <v>292</v>
      </c>
      <c r="L1778" s="5" t="s">
        <v>4781</v>
      </c>
      <c r="M1778" s="5">
        <v>5</v>
      </c>
      <c r="Q1778" s="10"/>
      <c r="R1778" s="6"/>
      <c r="S1778" s="13"/>
    </row>
    <row r="1779" spans="1:19" x14ac:dyDescent="0.2">
      <c r="A1779" s="5"/>
      <c r="B1779" s="8" t="s">
        <v>4828</v>
      </c>
      <c r="H1779" s="8" t="s">
        <v>4829</v>
      </c>
      <c r="I1779" s="8" t="s">
        <v>4829</v>
      </c>
      <c r="J1779" s="5">
        <f>12-6</f>
        <v>6</v>
      </c>
      <c r="K1779" s="5" t="s">
        <v>292</v>
      </c>
      <c r="L1779" s="5" t="s">
        <v>4781</v>
      </c>
      <c r="M1779" s="5">
        <v>5</v>
      </c>
      <c r="Q1779" s="10" t="s">
        <v>4830</v>
      </c>
      <c r="R1779" s="6"/>
      <c r="S1779" s="13"/>
    </row>
    <row r="1780" spans="1:19" x14ac:dyDescent="0.2">
      <c r="A1780" s="5">
        <v>1861</v>
      </c>
      <c r="B1780" s="8" t="s">
        <v>4831</v>
      </c>
      <c r="C1780" s="8" t="s">
        <v>4832</v>
      </c>
      <c r="D1780" s="8" t="s">
        <v>4833</v>
      </c>
      <c r="E1780" s="24">
        <v>43567</v>
      </c>
      <c r="F1780" s="8" t="s">
        <v>1966</v>
      </c>
      <c r="G1780" s="8" t="s">
        <v>4834</v>
      </c>
      <c r="H1780" s="8" t="s">
        <v>4835</v>
      </c>
      <c r="I1780" s="8" t="s">
        <v>4835</v>
      </c>
      <c r="J1780" s="5">
        <f>43-2-1+11-2-22-2-2</f>
        <v>23</v>
      </c>
      <c r="K1780" s="5" t="s">
        <v>292</v>
      </c>
      <c r="L1780" s="5" t="s">
        <v>4781</v>
      </c>
      <c r="M1780" s="5">
        <v>6</v>
      </c>
      <c r="N1780" s="5" t="s">
        <v>4782</v>
      </c>
      <c r="O1780" s="5" t="s">
        <v>574</v>
      </c>
      <c r="Q1780" s="5" t="s">
        <v>4836</v>
      </c>
      <c r="R1780" s="6"/>
      <c r="S1780" s="13" t="s">
        <v>328</v>
      </c>
    </row>
    <row r="1781" spans="1:19" x14ac:dyDescent="0.2">
      <c r="A1781" s="5">
        <v>1862</v>
      </c>
      <c r="B1781" s="8" t="s">
        <v>4837</v>
      </c>
      <c r="H1781" s="8" t="s">
        <v>4838</v>
      </c>
      <c r="I1781" s="8" t="s">
        <v>4838</v>
      </c>
      <c r="J1781" s="5">
        <v>0</v>
      </c>
      <c r="K1781" s="5" t="s">
        <v>292</v>
      </c>
      <c r="L1781" s="5" t="s">
        <v>4781</v>
      </c>
      <c r="M1781" s="5">
        <v>6</v>
      </c>
      <c r="N1781" s="5" t="s">
        <v>4782</v>
      </c>
      <c r="O1781" s="5" t="s">
        <v>574</v>
      </c>
      <c r="Q1781" s="10" t="s">
        <v>553</v>
      </c>
      <c r="R1781" s="6"/>
      <c r="S1781" s="13"/>
    </row>
    <row r="1782" spans="1:19" x14ac:dyDescent="0.2">
      <c r="A1782" s="5"/>
      <c r="B1782" s="8" t="s">
        <v>212</v>
      </c>
      <c r="H1782" s="8" t="s">
        <v>4839</v>
      </c>
      <c r="I1782" s="8" t="s">
        <v>4839</v>
      </c>
      <c r="J1782" s="5">
        <f>4-0+94-2-16-2-8</f>
        <v>70</v>
      </c>
      <c r="K1782" s="5" t="s">
        <v>292</v>
      </c>
      <c r="L1782" s="5" t="s">
        <v>4781</v>
      </c>
      <c r="M1782" s="5">
        <v>6</v>
      </c>
      <c r="N1782" s="5" t="s">
        <v>4782</v>
      </c>
      <c r="Q1782" s="131" t="s">
        <v>1006</v>
      </c>
    </row>
    <row r="1783" spans="1:19" x14ac:dyDescent="0.2">
      <c r="A1783" s="5">
        <v>270</v>
      </c>
      <c r="B1783" s="8" t="s">
        <v>4840</v>
      </c>
      <c r="H1783" s="8" t="s">
        <v>4806</v>
      </c>
      <c r="I1783" s="8" t="s">
        <v>4841</v>
      </c>
      <c r="J1783" s="5">
        <f>18-2-2-8-3-3</f>
        <v>0</v>
      </c>
      <c r="K1783" s="5" t="s">
        <v>292</v>
      </c>
      <c r="L1783" s="5" t="s">
        <v>4781</v>
      </c>
      <c r="M1783" s="5">
        <v>7</v>
      </c>
      <c r="N1783" s="5" t="s">
        <v>849</v>
      </c>
      <c r="O1783" s="5" t="s">
        <v>520</v>
      </c>
      <c r="Q1783" s="5" t="s">
        <v>4842</v>
      </c>
      <c r="R1783" s="6"/>
      <c r="S1783" s="13" t="s">
        <v>553</v>
      </c>
    </row>
    <row r="1784" spans="1:19" x14ac:dyDescent="0.2">
      <c r="A1784" s="5">
        <v>1860</v>
      </c>
      <c r="B1784" s="8" t="s">
        <v>200</v>
      </c>
      <c r="H1784" s="8" t="s">
        <v>4843</v>
      </c>
      <c r="I1784" s="8" t="s">
        <v>4843</v>
      </c>
      <c r="J1784" s="5">
        <f>42+8+2-12-3-2-6-5-4+8-12-1-2-1-2-1</f>
        <v>9</v>
      </c>
      <c r="K1784" s="5" t="s">
        <v>292</v>
      </c>
      <c r="L1784" s="5" t="s">
        <v>4781</v>
      </c>
      <c r="M1784" s="5">
        <v>7</v>
      </c>
      <c r="N1784" s="5" t="s">
        <v>4782</v>
      </c>
      <c r="O1784" s="5" t="s">
        <v>574</v>
      </c>
      <c r="Q1784" s="5" t="s">
        <v>4842</v>
      </c>
      <c r="R1784" s="6"/>
      <c r="S1784" s="13"/>
    </row>
    <row r="1785" spans="1:19" x14ac:dyDescent="0.2">
      <c r="A1785" s="5"/>
      <c r="B1785" s="8" t="s">
        <v>200</v>
      </c>
      <c r="H1785" s="8" t="s">
        <v>4844</v>
      </c>
      <c r="I1785" s="8" t="s">
        <v>4845</v>
      </c>
      <c r="J1785" s="5">
        <v>37</v>
      </c>
      <c r="K1785" s="5" t="s">
        <v>292</v>
      </c>
      <c r="L1785" s="5" t="s">
        <v>4781</v>
      </c>
      <c r="M1785" s="5">
        <v>7</v>
      </c>
      <c r="N1785" s="5" t="s">
        <v>4782</v>
      </c>
      <c r="Q1785" s="107" t="s">
        <v>1006</v>
      </c>
      <c r="R1785" s="6"/>
      <c r="S1785" s="13"/>
    </row>
    <row r="1786" spans="1:19" x14ac:dyDescent="0.2">
      <c r="A1786" s="5"/>
      <c r="B1786" s="8" t="s">
        <v>200</v>
      </c>
      <c r="H1786" s="8" t="s">
        <v>4846</v>
      </c>
      <c r="I1786" s="8" t="s">
        <v>4846</v>
      </c>
      <c r="J1786" s="5">
        <f>40-24-2-4+1</f>
        <v>11</v>
      </c>
      <c r="K1786" s="5" t="s">
        <v>292</v>
      </c>
      <c r="L1786" s="5" t="s">
        <v>4781</v>
      </c>
      <c r="M1786" s="5">
        <v>7</v>
      </c>
      <c r="N1786" s="5" t="s">
        <v>4782</v>
      </c>
      <c r="Q1786" s="107" t="s">
        <v>1006</v>
      </c>
      <c r="R1786" s="6"/>
      <c r="S1786" s="6" t="s">
        <v>328</v>
      </c>
    </row>
    <row r="1787" spans="1:19" x14ac:dyDescent="0.2">
      <c r="A1787" s="5"/>
      <c r="B1787" s="8" t="s">
        <v>4847</v>
      </c>
      <c r="H1787" s="8" t="s">
        <v>4848</v>
      </c>
      <c r="I1787" s="8" t="s">
        <v>4849</v>
      </c>
      <c r="J1787" s="5">
        <f>5</f>
        <v>5</v>
      </c>
      <c r="K1787" s="5" t="s">
        <v>292</v>
      </c>
      <c r="L1787" s="5" t="s">
        <v>4781</v>
      </c>
      <c r="M1787" s="5">
        <v>7</v>
      </c>
      <c r="Q1787" s="107"/>
      <c r="R1787" s="6"/>
      <c r="S1787" s="13"/>
    </row>
    <row r="1788" spans="1:19" x14ac:dyDescent="0.2">
      <c r="A1788" s="5">
        <v>1863</v>
      </c>
      <c r="B1788" s="8" t="s">
        <v>4850</v>
      </c>
      <c r="H1788" s="8" t="s">
        <v>4851</v>
      </c>
      <c r="I1788" s="8" t="s">
        <v>4851</v>
      </c>
      <c r="J1788" s="5">
        <f>611-4</f>
        <v>607</v>
      </c>
      <c r="K1788" s="5" t="s">
        <v>292</v>
      </c>
      <c r="L1788" s="5" t="s">
        <v>4781</v>
      </c>
      <c r="M1788" s="5">
        <v>8</v>
      </c>
      <c r="N1788" s="5" t="s">
        <v>4782</v>
      </c>
      <c r="O1788" s="5" t="s">
        <v>574</v>
      </c>
      <c r="Q1788" s="10" t="s">
        <v>553</v>
      </c>
      <c r="R1788" s="6"/>
      <c r="S1788" s="6" t="s">
        <v>328</v>
      </c>
    </row>
    <row r="1789" spans="1:19" x14ac:dyDescent="0.2">
      <c r="A1789" s="5"/>
      <c r="B1789" s="8" t="s">
        <v>4852</v>
      </c>
      <c r="I1789" s="8" t="s">
        <v>172</v>
      </c>
      <c r="J1789" s="5">
        <f>5-1-2-2</f>
        <v>0</v>
      </c>
      <c r="K1789" s="5" t="s">
        <v>292</v>
      </c>
      <c r="L1789" s="5" t="s">
        <v>4781</v>
      </c>
      <c r="M1789" s="5">
        <v>8</v>
      </c>
      <c r="Q1789" s="10"/>
      <c r="R1789" s="6"/>
      <c r="S1789" s="6"/>
    </row>
    <row r="1790" spans="1:19" x14ac:dyDescent="0.2">
      <c r="A1790" s="5"/>
      <c r="B1790" s="8" t="s">
        <v>4853</v>
      </c>
      <c r="H1790" s="8" t="s">
        <v>4854</v>
      </c>
      <c r="I1790" s="8" t="s">
        <v>4854</v>
      </c>
      <c r="J1790" s="5">
        <f>30-1-4-2</f>
        <v>23</v>
      </c>
      <c r="K1790" s="5" t="s">
        <v>292</v>
      </c>
      <c r="L1790" s="5" t="s">
        <v>4781</v>
      </c>
      <c r="M1790" s="5">
        <v>8</v>
      </c>
      <c r="N1790" s="5" t="s">
        <v>4782</v>
      </c>
      <c r="O1790" s="5" t="s">
        <v>574</v>
      </c>
      <c r="Q1790" s="107" t="s">
        <v>4855</v>
      </c>
      <c r="R1790" s="6"/>
      <c r="S1790" s="6"/>
    </row>
    <row r="1791" spans="1:19" x14ac:dyDescent="0.2">
      <c r="A1791" s="5">
        <v>1864</v>
      </c>
      <c r="B1791" s="8" t="s">
        <v>4856</v>
      </c>
      <c r="H1791" s="8" t="s">
        <v>4857</v>
      </c>
      <c r="I1791" s="8" t="s">
        <v>4857</v>
      </c>
      <c r="J1791" s="5">
        <f>27-23+2</f>
        <v>6</v>
      </c>
      <c r="K1791" s="5" t="s">
        <v>292</v>
      </c>
      <c r="L1791" s="5" t="s">
        <v>4781</v>
      </c>
      <c r="M1791" s="5">
        <v>9</v>
      </c>
      <c r="N1791" s="5" t="s">
        <v>4782</v>
      </c>
      <c r="O1791" s="5" t="s">
        <v>574</v>
      </c>
      <c r="Q1791" s="107" t="s">
        <v>4858</v>
      </c>
      <c r="R1791" s="6"/>
      <c r="S1791" s="6"/>
    </row>
    <row r="1792" spans="1:19" x14ac:dyDescent="0.2">
      <c r="A1792" s="5"/>
      <c r="B1792" s="8" t="s">
        <v>4859</v>
      </c>
      <c r="H1792" s="8" t="s">
        <v>4860</v>
      </c>
      <c r="I1792" s="8" t="s">
        <v>4860</v>
      </c>
      <c r="J1792" s="5">
        <f>30-24+24</f>
        <v>30</v>
      </c>
      <c r="K1792" s="5" t="s">
        <v>292</v>
      </c>
      <c r="L1792" s="5" t="s">
        <v>4781</v>
      </c>
      <c r="M1792" s="5">
        <v>9</v>
      </c>
      <c r="N1792" s="5" t="s">
        <v>4782</v>
      </c>
      <c r="Q1792" s="107" t="s">
        <v>4858</v>
      </c>
      <c r="R1792" s="6"/>
      <c r="S1792" s="6"/>
    </row>
    <row r="1793" spans="1:19" x14ac:dyDescent="0.2">
      <c r="A1793" s="5"/>
      <c r="B1793" s="8" t="s">
        <v>4861</v>
      </c>
      <c r="H1793" s="8" t="s">
        <v>4862</v>
      </c>
      <c r="I1793" s="8" t="s">
        <v>4862</v>
      </c>
      <c r="J1793" s="5">
        <f>50-42-6+48</f>
        <v>50</v>
      </c>
      <c r="K1793" s="5" t="s">
        <v>292</v>
      </c>
      <c r="L1793" s="5" t="s">
        <v>4781</v>
      </c>
      <c r="M1793" s="5">
        <v>9</v>
      </c>
      <c r="N1793" s="5" t="s">
        <v>4782</v>
      </c>
      <c r="Q1793" s="107" t="s">
        <v>4858</v>
      </c>
      <c r="R1793" s="6"/>
      <c r="S1793" s="6" t="s">
        <v>328</v>
      </c>
    </row>
    <row r="1794" spans="1:19" x14ac:dyDescent="0.2">
      <c r="A1794" s="5">
        <v>1866</v>
      </c>
      <c r="B1794" s="8" t="s">
        <v>4863</v>
      </c>
      <c r="H1794" s="8" t="s">
        <v>4864</v>
      </c>
      <c r="I1794" s="8" t="s">
        <v>4865</v>
      </c>
      <c r="J1794" s="5">
        <v>8</v>
      </c>
      <c r="K1794" s="5" t="s">
        <v>292</v>
      </c>
      <c r="L1794" s="5" t="s">
        <v>4781</v>
      </c>
      <c r="M1794" s="5">
        <v>10</v>
      </c>
      <c r="N1794" s="5" t="s">
        <v>3879</v>
      </c>
      <c r="O1794" s="5" t="s">
        <v>574</v>
      </c>
      <c r="Q1794" s="10" t="s">
        <v>553</v>
      </c>
      <c r="R1794" s="6"/>
      <c r="S1794" s="6" t="s">
        <v>328</v>
      </c>
    </row>
    <row r="1795" spans="1:19" x14ac:dyDescent="0.2">
      <c r="A1795" s="5">
        <v>1867</v>
      </c>
      <c r="B1795" s="8" t="s">
        <v>4866</v>
      </c>
      <c r="H1795" s="8" t="s">
        <v>4864</v>
      </c>
      <c r="I1795" s="8" t="s">
        <v>4864</v>
      </c>
      <c r="J1795" s="5">
        <f>19-2+7-3-6-6</f>
        <v>9</v>
      </c>
      <c r="K1795" s="5" t="s">
        <v>292</v>
      </c>
      <c r="L1795" s="5" t="s">
        <v>4781</v>
      </c>
      <c r="M1795" s="5">
        <v>10</v>
      </c>
      <c r="N1795" s="5" t="s">
        <v>4782</v>
      </c>
      <c r="O1795" s="5" t="s">
        <v>574</v>
      </c>
      <c r="Q1795" s="10" t="s">
        <v>553</v>
      </c>
      <c r="R1795" s="6"/>
      <c r="S1795" s="6" t="s">
        <v>328</v>
      </c>
    </row>
    <row r="1796" spans="1:19" x14ac:dyDescent="0.2">
      <c r="A1796" s="5">
        <v>1865</v>
      </c>
      <c r="B1796" s="8" t="s">
        <v>4867</v>
      </c>
      <c r="H1796" s="8" t="s">
        <v>4868</v>
      </c>
      <c r="I1796" s="8" t="s">
        <v>4868</v>
      </c>
      <c r="J1796" s="5">
        <f>366-16-32</f>
        <v>318</v>
      </c>
      <c r="K1796" s="5" t="s">
        <v>292</v>
      </c>
      <c r="L1796" s="5" t="s">
        <v>4781</v>
      </c>
      <c r="M1796" s="15" t="s">
        <v>4869</v>
      </c>
      <c r="N1796" s="5" t="s">
        <v>3879</v>
      </c>
      <c r="O1796" s="5" t="s">
        <v>574</v>
      </c>
      <c r="Q1796" s="5" t="s">
        <v>3670</v>
      </c>
      <c r="R1796" s="6"/>
      <c r="S1796" s="6" t="s">
        <v>328</v>
      </c>
    </row>
    <row r="1797" spans="1:19" x14ac:dyDescent="0.2">
      <c r="A1797" s="5">
        <v>1868</v>
      </c>
      <c r="B1797" s="8" t="s">
        <v>4870</v>
      </c>
      <c r="H1797" s="8" t="s">
        <v>4871</v>
      </c>
      <c r="I1797" s="8" t="s">
        <v>4871</v>
      </c>
      <c r="J1797" s="5">
        <v>0</v>
      </c>
      <c r="K1797" s="5" t="s">
        <v>292</v>
      </c>
      <c r="L1797" s="5" t="s">
        <v>4781</v>
      </c>
      <c r="M1797" s="5">
        <v>12</v>
      </c>
      <c r="N1797" s="5" t="s">
        <v>4782</v>
      </c>
      <c r="O1797" s="5" t="s">
        <v>574</v>
      </c>
      <c r="Q1797" s="10" t="s">
        <v>553</v>
      </c>
      <c r="R1797" s="6"/>
      <c r="S1797" s="6" t="s">
        <v>328</v>
      </c>
    </row>
    <row r="1798" spans="1:19" x14ac:dyDescent="0.2">
      <c r="A1798" s="5">
        <v>1869</v>
      </c>
      <c r="B1798" s="8" t="s">
        <v>4870</v>
      </c>
      <c r="H1798" s="8" t="s">
        <v>4871</v>
      </c>
      <c r="I1798" s="8" t="s">
        <v>4871</v>
      </c>
      <c r="J1798" s="5">
        <f>1-1</f>
        <v>0</v>
      </c>
      <c r="K1798" s="5" t="s">
        <v>292</v>
      </c>
      <c r="L1798" s="5" t="s">
        <v>4781</v>
      </c>
      <c r="M1798" s="5">
        <v>12</v>
      </c>
      <c r="N1798" s="5" t="s">
        <v>4782</v>
      </c>
      <c r="O1798" s="5" t="s">
        <v>574</v>
      </c>
      <c r="Q1798" s="10" t="s">
        <v>553</v>
      </c>
      <c r="R1798" s="6"/>
      <c r="S1798" s="6" t="s">
        <v>328</v>
      </c>
    </row>
    <row r="1799" spans="1:19" x14ac:dyDescent="0.2">
      <c r="A1799" s="5"/>
      <c r="B1799" s="8" t="s">
        <v>4872</v>
      </c>
      <c r="H1799" s="8" t="s">
        <v>4873</v>
      </c>
      <c r="I1799" s="8" t="s">
        <v>4873</v>
      </c>
      <c r="J1799" s="5">
        <f>3</f>
        <v>3</v>
      </c>
      <c r="K1799" s="5" t="s">
        <v>292</v>
      </c>
      <c r="L1799" s="5" t="s">
        <v>4781</v>
      </c>
      <c r="M1799" s="5">
        <v>12</v>
      </c>
      <c r="Q1799" s="10" t="s">
        <v>4874</v>
      </c>
      <c r="R1799" s="6"/>
      <c r="S1799" s="6"/>
    </row>
    <row r="1800" spans="1:19" x14ac:dyDescent="0.2">
      <c r="A1800" s="5">
        <v>1870</v>
      </c>
      <c r="B1800" s="8" t="s">
        <v>4875</v>
      </c>
      <c r="H1800" s="8" t="s">
        <v>4864</v>
      </c>
      <c r="I1800" s="8" t="s">
        <v>4864</v>
      </c>
      <c r="J1800" s="5">
        <f>88-22-6-2+50+-1+9-4-3-1-10</f>
        <v>98</v>
      </c>
      <c r="K1800" s="5" t="s">
        <v>292</v>
      </c>
      <c r="L1800" s="5" t="s">
        <v>4781</v>
      </c>
      <c r="M1800" s="5">
        <v>13</v>
      </c>
      <c r="N1800" s="5" t="s">
        <v>4782</v>
      </c>
      <c r="O1800" s="5" t="s">
        <v>574</v>
      </c>
      <c r="Q1800" s="10" t="s">
        <v>553</v>
      </c>
      <c r="R1800" s="6"/>
      <c r="S1800" s="6" t="s">
        <v>328</v>
      </c>
    </row>
    <row r="1801" spans="1:19" x14ac:dyDescent="0.2">
      <c r="A1801" s="5">
        <v>1871</v>
      </c>
      <c r="B1801" s="8" t="s">
        <v>4876</v>
      </c>
      <c r="H1801" s="8" t="s">
        <v>4868</v>
      </c>
      <c r="I1801" s="8" t="s">
        <v>4868</v>
      </c>
      <c r="J1801" s="5">
        <f>30-12-8-7+1+1-3</f>
        <v>2</v>
      </c>
      <c r="K1801" s="5" t="s">
        <v>292</v>
      </c>
      <c r="L1801" s="5" t="s">
        <v>4781</v>
      </c>
      <c r="M1801" s="5">
        <v>13</v>
      </c>
      <c r="N1801" s="5" t="s">
        <v>4782</v>
      </c>
      <c r="O1801" s="5" t="s">
        <v>574</v>
      </c>
      <c r="Q1801" s="10" t="s">
        <v>553</v>
      </c>
      <c r="R1801" s="6"/>
      <c r="S1801" s="6" t="s">
        <v>328</v>
      </c>
    </row>
    <row r="1802" spans="1:19" x14ac:dyDescent="0.2">
      <c r="A1802" s="5">
        <v>1872</v>
      </c>
      <c r="B1802" s="8" t="s">
        <v>4877</v>
      </c>
      <c r="H1802" s="8" t="s">
        <v>4865</v>
      </c>
      <c r="I1802" s="8" t="s">
        <v>4865</v>
      </c>
      <c r="J1802" s="5">
        <v>0</v>
      </c>
      <c r="K1802" s="5" t="s">
        <v>292</v>
      </c>
      <c r="L1802" s="5" t="s">
        <v>4781</v>
      </c>
      <c r="M1802" s="5">
        <v>14</v>
      </c>
      <c r="N1802" s="5" t="s">
        <v>3845</v>
      </c>
      <c r="O1802" s="5" t="s">
        <v>574</v>
      </c>
      <c r="Q1802" s="10" t="s">
        <v>553</v>
      </c>
      <c r="R1802" s="6"/>
      <c r="S1802" s="6"/>
    </row>
    <row r="1803" spans="1:19" x14ac:dyDescent="0.2">
      <c r="A1803" s="5"/>
      <c r="B1803" s="8" t="s">
        <v>4878</v>
      </c>
      <c r="H1803" s="8" t="s">
        <v>4879</v>
      </c>
      <c r="I1803" s="8" t="s">
        <v>4880</v>
      </c>
      <c r="J1803" s="5">
        <f>3</f>
        <v>3</v>
      </c>
      <c r="K1803" s="5" t="s">
        <v>292</v>
      </c>
      <c r="L1803" s="5" t="s">
        <v>4781</v>
      </c>
      <c r="M1803" s="5">
        <v>14</v>
      </c>
      <c r="Q1803" s="10"/>
      <c r="R1803" s="6"/>
      <c r="S1803" s="6" t="s">
        <v>328</v>
      </c>
    </row>
    <row r="1804" spans="1:19" x14ac:dyDescent="0.2">
      <c r="A1804" s="5">
        <v>1873</v>
      </c>
      <c r="B1804" s="8" t="s">
        <v>4881</v>
      </c>
      <c r="H1804" s="8" t="s">
        <v>4882</v>
      </c>
      <c r="I1804" s="8" t="s">
        <v>4882</v>
      </c>
      <c r="J1804" s="5">
        <f>3-1-1</f>
        <v>1</v>
      </c>
      <c r="K1804" s="5" t="s">
        <v>292</v>
      </c>
      <c r="L1804" s="5" t="s">
        <v>4781</v>
      </c>
      <c r="M1804" s="5">
        <v>14</v>
      </c>
      <c r="N1804" s="5" t="s">
        <v>3845</v>
      </c>
      <c r="O1804" s="5" t="s">
        <v>574</v>
      </c>
      <c r="Q1804" s="10" t="s">
        <v>553</v>
      </c>
      <c r="R1804" s="6"/>
      <c r="S1804" s="6"/>
    </row>
    <row r="1805" spans="1:19" x14ac:dyDescent="0.2">
      <c r="A1805" s="5"/>
      <c r="B1805" s="8" t="s">
        <v>220</v>
      </c>
      <c r="H1805" s="8" t="s">
        <v>219</v>
      </c>
      <c r="I1805" s="8" t="s">
        <v>4883</v>
      </c>
      <c r="J1805" s="5">
        <f>30-4-22+43-7-2</f>
        <v>38</v>
      </c>
      <c r="K1805" s="5" t="s">
        <v>292</v>
      </c>
      <c r="L1805" s="5" t="s">
        <v>4781</v>
      </c>
      <c r="M1805" s="5">
        <v>14</v>
      </c>
      <c r="N1805" s="5" t="s">
        <v>3845</v>
      </c>
      <c r="Q1805" s="107" t="s">
        <v>1006</v>
      </c>
      <c r="R1805" s="6"/>
      <c r="S1805" s="6" t="s">
        <v>328</v>
      </c>
    </row>
    <row r="1806" spans="1:19" x14ac:dyDescent="0.2">
      <c r="A1806" s="5">
        <v>1874</v>
      </c>
      <c r="B1806" s="8" t="s">
        <v>4884</v>
      </c>
      <c r="H1806" s="8" t="s">
        <v>4885</v>
      </c>
      <c r="I1806" s="8" t="s">
        <v>4885</v>
      </c>
      <c r="J1806" s="5">
        <f>36+1-1</f>
        <v>36</v>
      </c>
      <c r="K1806" s="5" t="s">
        <v>292</v>
      </c>
      <c r="L1806" s="5" t="s">
        <v>4781</v>
      </c>
      <c r="M1806" s="5">
        <v>15</v>
      </c>
      <c r="N1806" s="5" t="s">
        <v>3845</v>
      </c>
      <c r="O1806" s="5" t="s">
        <v>574</v>
      </c>
      <c r="Q1806" s="10" t="s">
        <v>553</v>
      </c>
      <c r="R1806" s="6"/>
      <c r="S1806" s="6" t="s">
        <v>328</v>
      </c>
    </row>
    <row r="1807" spans="1:19" x14ac:dyDescent="0.2">
      <c r="A1807" s="5">
        <v>1875</v>
      </c>
      <c r="B1807" s="8" t="s">
        <v>4886</v>
      </c>
      <c r="H1807" s="8" t="s">
        <v>4864</v>
      </c>
      <c r="I1807" s="8" t="s">
        <v>4864</v>
      </c>
      <c r="J1807" s="5">
        <f>15-15</f>
        <v>0</v>
      </c>
      <c r="K1807" s="5" t="s">
        <v>292</v>
      </c>
      <c r="L1807" s="5" t="s">
        <v>4781</v>
      </c>
      <c r="M1807" s="5">
        <v>15</v>
      </c>
      <c r="N1807" s="5" t="s">
        <v>3845</v>
      </c>
      <c r="O1807" s="5" t="s">
        <v>574</v>
      </c>
      <c r="Q1807" s="10" t="s">
        <v>553</v>
      </c>
      <c r="R1807" s="6"/>
      <c r="S1807" s="6" t="s">
        <v>328</v>
      </c>
    </row>
    <row r="1808" spans="1:19" x14ac:dyDescent="0.2">
      <c r="A1808" s="5">
        <v>1876</v>
      </c>
      <c r="B1808" s="8" t="s">
        <v>4887</v>
      </c>
      <c r="H1808" s="8" t="s">
        <v>4888</v>
      </c>
      <c r="I1808" s="8" t="s">
        <v>4888</v>
      </c>
      <c r="J1808" s="5">
        <f>83-1-2-15</f>
        <v>65</v>
      </c>
      <c r="K1808" s="5" t="s">
        <v>292</v>
      </c>
      <c r="L1808" s="5" t="s">
        <v>4781</v>
      </c>
      <c r="M1808" s="5">
        <v>16</v>
      </c>
      <c r="N1808" s="5" t="s">
        <v>4782</v>
      </c>
      <c r="O1808" s="5" t="s">
        <v>574</v>
      </c>
      <c r="Q1808" s="10" t="s">
        <v>553</v>
      </c>
      <c r="R1808" s="6"/>
      <c r="S1808" s="6" t="s">
        <v>328</v>
      </c>
    </row>
    <row r="1809" spans="1:19" x14ac:dyDescent="0.2">
      <c r="A1809" s="5">
        <v>1877</v>
      </c>
      <c r="B1809" s="8" t="s">
        <v>4889</v>
      </c>
      <c r="H1809" s="8" t="s">
        <v>4890</v>
      </c>
      <c r="I1809" s="8" t="s">
        <v>4890</v>
      </c>
      <c r="J1809" s="5">
        <v>1</v>
      </c>
      <c r="K1809" s="5" t="s">
        <v>292</v>
      </c>
      <c r="L1809" s="5" t="s">
        <v>4781</v>
      </c>
      <c r="M1809" s="5">
        <v>16</v>
      </c>
      <c r="N1809" s="5" t="s">
        <v>4782</v>
      </c>
      <c r="O1809" s="5" t="s">
        <v>574</v>
      </c>
      <c r="Q1809" s="10" t="s">
        <v>553</v>
      </c>
      <c r="R1809" s="6"/>
      <c r="S1809" s="6" t="s">
        <v>328</v>
      </c>
    </row>
    <row r="1810" spans="1:19" x14ac:dyDescent="0.2">
      <c r="A1810" s="5">
        <v>1878</v>
      </c>
      <c r="B1810" s="8" t="s">
        <v>4891</v>
      </c>
      <c r="H1810" s="8" t="s">
        <v>4892</v>
      </c>
      <c r="I1810" s="8" t="s">
        <v>4892</v>
      </c>
      <c r="J1810" s="5">
        <f>100+2-1-3-1-2-1-1-10</f>
        <v>83</v>
      </c>
      <c r="K1810" s="5" t="s">
        <v>292</v>
      </c>
      <c r="L1810" s="5" t="s">
        <v>4781</v>
      </c>
      <c r="M1810" s="5" t="s">
        <v>4893</v>
      </c>
      <c r="N1810" s="5" t="s">
        <v>4782</v>
      </c>
      <c r="O1810" s="5" t="s">
        <v>574</v>
      </c>
      <c r="Q1810" s="10" t="s">
        <v>553</v>
      </c>
      <c r="R1810" s="6"/>
      <c r="S1810" s="6" t="s">
        <v>328</v>
      </c>
    </row>
    <row r="1811" spans="1:19" x14ac:dyDescent="0.2">
      <c r="A1811" s="5"/>
      <c r="B1811" s="8" t="s">
        <v>4891</v>
      </c>
      <c r="H1811" s="8" t="s">
        <v>4894</v>
      </c>
      <c r="I1811" s="8" t="s">
        <v>4894</v>
      </c>
      <c r="J1811" s="5">
        <f>81</f>
        <v>81</v>
      </c>
      <c r="K1811" s="5" t="s">
        <v>292</v>
      </c>
      <c r="L1811" s="5" t="s">
        <v>4781</v>
      </c>
      <c r="M1811" s="5" t="s">
        <v>4893</v>
      </c>
      <c r="N1811" s="5" t="s">
        <v>4782</v>
      </c>
      <c r="O1811" s="5" t="s">
        <v>574</v>
      </c>
      <c r="Q1811" s="10" t="s">
        <v>553</v>
      </c>
      <c r="R1811" s="6"/>
      <c r="S1811" s="6" t="s">
        <v>328</v>
      </c>
    </row>
    <row r="1812" spans="1:19" x14ac:dyDescent="0.2">
      <c r="A1812" s="5">
        <v>1879</v>
      </c>
      <c r="B1812" s="8" t="s">
        <v>4895</v>
      </c>
      <c r="H1812" s="8" t="s">
        <v>4896</v>
      </c>
      <c r="I1812" s="8" t="s">
        <v>4896</v>
      </c>
      <c r="J1812" s="5">
        <v>0</v>
      </c>
      <c r="K1812" s="5" t="s">
        <v>292</v>
      </c>
      <c r="L1812" s="5" t="s">
        <v>4781</v>
      </c>
      <c r="M1812" s="5">
        <v>18</v>
      </c>
      <c r="N1812" s="5" t="s">
        <v>4782</v>
      </c>
      <c r="O1812" s="5" t="s">
        <v>574</v>
      </c>
      <c r="Q1812" s="10" t="s">
        <v>553</v>
      </c>
      <c r="R1812" s="6"/>
      <c r="S1812" s="6"/>
    </row>
    <row r="1813" spans="1:19" x14ac:dyDescent="0.2">
      <c r="A1813" s="5"/>
      <c r="B1813" s="8" t="s">
        <v>4897</v>
      </c>
      <c r="H1813" s="8" t="s">
        <v>4898</v>
      </c>
      <c r="I1813" s="8" t="s">
        <v>4899</v>
      </c>
      <c r="J1813" s="5">
        <f>20</f>
        <v>20</v>
      </c>
      <c r="K1813" s="5" t="s">
        <v>21</v>
      </c>
      <c r="L1813" s="5" t="s">
        <v>4781</v>
      </c>
      <c r="M1813" s="5">
        <v>18</v>
      </c>
      <c r="Q1813" s="10"/>
      <c r="R1813" s="6"/>
      <c r="S1813" s="6"/>
    </row>
    <row r="1814" spans="1:19" x14ac:dyDescent="0.2">
      <c r="A1814" s="5">
        <v>1880</v>
      </c>
      <c r="B1814" s="8" t="s">
        <v>4900</v>
      </c>
      <c r="H1814" s="8" t="s">
        <v>4901</v>
      </c>
      <c r="I1814" s="8" t="s">
        <v>4901</v>
      </c>
      <c r="J1814" s="5">
        <f>1-1</f>
        <v>0</v>
      </c>
      <c r="K1814" s="5" t="s">
        <v>21</v>
      </c>
      <c r="L1814" s="5" t="s">
        <v>4781</v>
      </c>
      <c r="M1814" s="5">
        <v>19</v>
      </c>
      <c r="N1814" s="5" t="s">
        <v>4782</v>
      </c>
      <c r="O1814" s="5" t="s">
        <v>574</v>
      </c>
      <c r="Q1814" s="10" t="s">
        <v>4902</v>
      </c>
      <c r="R1814" s="6"/>
      <c r="S1814" s="6"/>
    </row>
    <row r="1815" spans="1:19" x14ac:dyDescent="0.2">
      <c r="A1815" s="5"/>
      <c r="B1815" s="8" t="s">
        <v>4903</v>
      </c>
      <c r="H1815" s="8" t="s">
        <v>4904</v>
      </c>
      <c r="I1815" s="8" t="s">
        <v>4904</v>
      </c>
      <c r="J1815" s="5">
        <f>44-1</f>
        <v>43</v>
      </c>
      <c r="K1815" s="5" t="s">
        <v>21</v>
      </c>
      <c r="L1815" s="5" t="s">
        <v>4781</v>
      </c>
      <c r="M1815" s="5">
        <v>19</v>
      </c>
      <c r="Q1815" s="10"/>
      <c r="R1815" s="6"/>
      <c r="S1815" s="6"/>
    </row>
    <row r="1816" spans="1:19" x14ac:dyDescent="0.2">
      <c r="A1816" s="5"/>
      <c r="B1816" s="8" t="s">
        <v>4905</v>
      </c>
      <c r="H1816" s="108" t="s">
        <v>2711</v>
      </c>
      <c r="I1816" s="108" t="s">
        <v>2711</v>
      </c>
      <c r="J1816" s="5">
        <f>4-2</f>
        <v>2</v>
      </c>
      <c r="K1816" s="5" t="s">
        <v>21</v>
      </c>
      <c r="L1816" s="5" t="s">
        <v>4781</v>
      </c>
      <c r="M1816" s="5">
        <v>19</v>
      </c>
      <c r="Q1816" s="107" t="s">
        <v>4906</v>
      </c>
      <c r="R1816" s="6"/>
      <c r="S1816" s="6"/>
    </row>
    <row r="1817" spans="1:19" x14ac:dyDescent="0.2">
      <c r="A1817" s="5">
        <v>1881</v>
      </c>
      <c r="B1817" s="8" t="s">
        <v>4907</v>
      </c>
      <c r="H1817" s="8" t="s">
        <v>4908</v>
      </c>
      <c r="I1817" s="8" t="s">
        <v>4908</v>
      </c>
      <c r="J1817" s="5">
        <f>31+3-12</f>
        <v>22</v>
      </c>
      <c r="K1817" s="5" t="s">
        <v>292</v>
      </c>
      <c r="L1817" s="5" t="s">
        <v>4781</v>
      </c>
      <c r="M1817" s="5">
        <v>19</v>
      </c>
      <c r="N1817" s="5" t="s">
        <v>4782</v>
      </c>
      <c r="O1817" s="5" t="s">
        <v>574</v>
      </c>
      <c r="Q1817" s="5" t="s">
        <v>4909</v>
      </c>
      <c r="R1817" s="6"/>
      <c r="S1817" s="6"/>
    </row>
    <row r="1818" spans="1:19" x14ac:dyDescent="0.2">
      <c r="A1818" s="5"/>
      <c r="B1818" s="8" t="s">
        <v>4907</v>
      </c>
      <c r="H1818" s="8" t="s">
        <v>4910</v>
      </c>
      <c r="I1818" s="8" t="s">
        <v>4911</v>
      </c>
      <c r="J1818" s="5">
        <v>21</v>
      </c>
      <c r="K1818" s="5" t="s">
        <v>292</v>
      </c>
      <c r="L1818" s="5" t="s">
        <v>4781</v>
      </c>
      <c r="M1818" s="5">
        <v>19</v>
      </c>
      <c r="N1818" s="5" t="s">
        <v>4782</v>
      </c>
      <c r="R1818" s="6"/>
      <c r="S1818" s="6"/>
    </row>
    <row r="1819" spans="1:19" x14ac:dyDescent="0.2">
      <c r="A1819" s="5"/>
      <c r="B1819" s="8" t="s">
        <v>4912</v>
      </c>
      <c r="H1819" s="8" t="s">
        <v>4913</v>
      </c>
      <c r="I1819" s="8" t="s">
        <v>4913</v>
      </c>
      <c r="J1819" s="5">
        <f>14+65+1-2-10-16</f>
        <v>52</v>
      </c>
      <c r="K1819" s="5" t="s">
        <v>292</v>
      </c>
      <c r="L1819" s="5" t="s">
        <v>4781</v>
      </c>
      <c r="M1819" s="5">
        <v>19</v>
      </c>
      <c r="N1819" s="5" t="s">
        <v>4782</v>
      </c>
      <c r="Q1819" s="107" t="s">
        <v>4858</v>
      </c>
      <c r="R1819" s="6"/>
      <c r="S1819" s="6"/>
    </row>
    <row r="1820" spans="1:19" x14ac:dyDescent="0.2">
      <c r="A1820" s="5"/>
      <c r="B1820" s="8" t="s">
        <v>216</v>
      </c>
      <c r="H1820" s="8" t="s">
        <v>215</v>
      </c>
      <c r="I1820" s="8" t="s">
        <v>215</v>
      </c>
      <c r="J1820" s="5">
        <v>38</v>
      </c>
      <c r="K1820" s="5" t="s">
        <v>292</v>
      </c>
      <c r="L1820" s="5" t="s">
        <v>4781</v>
      </c>
      <c r="M1820" s="5">
        <v>19</v>
      </c>
      <c r="N1820" s="5" t="s">
        <v>4782</v>
      </c>
      <c r="Q1820" s="107" t="s">
        <v>1006</v>
      </c>
      <c r="R1820" s="6"/>
      <c r="S1820" s="6"/>
    </row>
    <row r="1821" spans="1:19" x14ac:dyDescent="0.2">
      <c r="A1821" s="5">
        <v>1882</v>
      </c>
      <c r="B1821" s="8" t="s">
        <v>4914</v>
      </c>
      <c r="H1821" s="8" t="s">
        <v>4915</v>
      </c>
      <c r="I1821" s="8" t="s">
        <v>4915</v>
      </c>
      <c r="J1821" s="5">
        <v>2</v>
      </c>
      <c r="K1821" s="5" t="s">
        <v>292</v>
      </c>
      <c r="L1821" s="5" t="s">
        <v>4781</v>
      </c>
      <c r="M1821" s="5">
        <v>20</v>
      </c>
      <c r="N1821" s="5" t="s">
        <v>4782</v>
      </c>
      <c r="O1821" s="5" t="s">
        <v>574</v>
      </c>
      <c r="Q1821" s="5" t="s">
        <v>1116</v>
      </c>
      <c r="R1821" s="6"/>
      <c r="S1821" s="6" t="s">
        <v>328</v>
      </c>
    </row>
    <row r="1822" spans="1:19" x14ac:dyDescent="0.2">
      <c r="A1822" s="5">
        <v>1883</v>
      </c>
      <c r="B1822" s="8" t="s">
        <v>4916</v>
      </c>
      <c r="H1822" s="8" t="s">
        <v>4917</v>
      </c>
      <c r="I1822" s="8" t="s">
        <v>4917</v>
      </c>
      <c r="J1822" s="5">
        <f>59-4-9-16</f>
        <v>30</v>
      </c>
      <c r="K1822" s="5" t="s">
        <v>292</v>
      </c>
      <c r="L1822" s="5" t="s">
        <v>4781</v>
      </c>
      <c r="M1822" s="5">
        <v>20</v>
      </c>
      <c r="N1822" s="5" t="s">
        <v>4782</v>
      </c>
      <c r="O1822" s="5" t="s">
        <v>574</v>
      </c>
      <c r="Q1822" s="10" t="s">
        <v>3222</v>
      </c>
      <c r="R1822" s="6"/>
      <c r="S1822" s="6"/>
    </row>
    <row r="1823" spans="1:19" x14ac:dyDescent="0.2">
      <c r="A1823" s="5"/>
      <c r="B1823" s="8" t="s">
        <v>218</v>
      </c>
      <c r="H1823" s="8" t="s">
        <v>217</v>
      </c>
      <c r="I1823" s="8" t="s">
        <v>217</v>
      </c>
      <c r="J1823" s="5">
        <f>78-2</f>
        <v>76</v>
      </c>
      <c r="K1823" s="5" t="s">
        <v>292</v>
      </c>
      <c r="L1823" s="5" t="s">
        <v>4781</v>
      </c>
      <c r="M1823" s="5">
        <v>20</v>
      </c>
      <c r="N1823" s="5" t="s">
        <v>4782</v>
      </c>
      <c r="Q1823" s="107" t="s">
        <v>4918</v>
      </c>
      <c r="R1823" s="6"/>
      <c r="S1823" s="6"/>
    </row>
    <row r="1824" spans="1:19" x14ac:dyDescent="0.2">
      <c r="A1824" s="5"/>
      <c r="B1824" s="8" t="s">
        <v>4919</v>
      </c>
      <c r="H1824" s="8" t="s">
        <v>4920</v>
      </c>
      <c r="I1824" s="8" t="s">
        <v>4920</v>
      </c>
      <c r="J1824" s="5">
        <f>2-1</f>
        <v>1</v>
      </c>
      <c r="K1824" s="5" t="s">
        <v>292</v>
      </c>
      <c r="L1824" s="5" t="s">
        <v>4781</v>
      </c>
      <c r="M1824" s="5">
        <v>20</v>
      </c>
      <c r="N1824" s="5" t="s">
        <v>4782</v>
      </c>
      <c r="Q1824" s="107"/>
      <c r="R1824" s="6"/>
      <c r="S1824" s="6" t="s">
        <v>328</v>
      </c>
    </row>
    <row r="1825" spans="1:19" x14ac:dyDescent="0.2">
      <c r="A1825" s="5"/>
      <c r="B1825" s="8" t="s">
        <v>4921</v>
      </c>
      <c r="I1825" s="8" t="s">
        <v>4922</v>
      </c>
      <c r="J1825" s="5">
        <f>3+3</f>
        <v>6</v>
      </c>
      <c r="K1825" s="5" t="s">
        <v>292</v>
      </c>
      <c r="L1825" s="5" t="s">
        <v>4781</v>
      </c>
      <c r="M1825" s="5">
        <v>21</v>
      </c>
      <c r="Q1825" s="107"/>
      <c r="R1825" s="6"/>
      <c r="S1825" s="6"/>
    </row>
    <row r="1826" spans="1:19" x14ac:dyDescent="0.2">
      <c r="A1826" s="5"/>
      <c r="B1826" s="8" t="s">
        <v>4923</v>
      </c>
      <c r="I1826" s="8" t="s">
        <v>4924</v>
      </c>
      <c r="J1826" s="5">
        <f>2</f>
        <v>2</v>
      </c>
      <c r="K1826" s="5" t="s">
        <v>292</v>
      </c>
      <c r="L1826" s="5" t="s">
        <v>4781</v>
      </c>
      <c r="M1826" s="5">
        <v>21</v>
      </c>
      <c r="Q1826" s="107"/>
      <c r="R1826" s="6"/>
      <c r="S1826" s="6"/>
    </row>
    <row r="1827" spans="1:19" x14ac:dyDescent="0.2">
      <c r="A1827" s="5">
        <v>1884</v>
      </c>
      <c r="B1827" s="8" t="s">
        <v>4925</v>
      </c>
      <c r="H1827" s="8" t="s">
        <v>4926</v>
      </c>
      <c r="I1827" s="8" t="s">
        <v>4926</v>
      </c>
      <c r="J1827" s="5">
        <v>92</v>
      </c>
      <c r="K1827" s="5" t="s">
        <v>292</v>
      </c>
      <c r="L1827" s="5" t="s">
        <v>4781</v>
      </c>
      <c r="M1827" s="5">
        <v>21</v>
      </c>
      <c r="N1827" s="5" t="s">
        <v>4782</v>
      </c>
      <c r="O1827" s="5" t="s">
        <v>574</v>
      </c>
      <c r="Q1827" s="10" t="s">
        <v>553</v>
      </c>
      <c r="R1827" s="6"/>
      <c r="S1827" s="6" t="s">
        <v>328</v>
      </c>
    </row>
    <row r="1828" spans="1:19" x14ac:dyDescent="0.2">
      <c r="A1828" s="5">
        <v>1885</v>
      </c>
      <c r="B1828" s="8" t="s">
        <v>4927</v>
      </c>
      <c r="H1828" s="8" t="s">
        <v>4920</v>
      </c>
      <c r="I1828" s="8" t="s">
        <v>4920</v>
      </c>
      <c r="J1828" s="5">
        <f>99-4</f>
        <v>95</v>
      </c>
      <c r="K1828" s="5" t="s">
        <v>292</v>
      </c>
      <c r="L1828" s="5" t="s">
        <v>4781</v>
      </c>
      <c r="M1828" s="5">
        <v>22</v>
      </c>
      <c r="N1828" s="5" t="s">
        <v>4782</v>
      </c>
      <c r="O1828" s="5" t="s">
        <v>574</v>
      </c>
      <c r="Q1828" s="10" t="s">
        <v>553</v>
      </c>
      <c r="R1828" s="6"/>
      <c r="S1828" s="6"/>
    </row>
    <row r="1829" spans="1:19" x14ac:dyDescent="0.2">
      <c r="A1829" s="5">
        <v>1886</v>
      </c>
      <c r="B1829" s="8" t="s">
        <v>4928</v>
      </c>
      <c r="H1829" s="8" t="s">
        <v>4929</v>
      </c>
      <c r="I1829" s="8" t="s">
        <v>4929</v>
      </c>
      <c r="J1829" s="5">
        <f>36-9-2-4-2</f>
        <v>19</v>
      </c>
      <c r="K1829" s="5" t="s">
        <v>292</v>
      </c>
      <c r="L1829" s="5" t="s">
        <v>4781</v>
      </c>
      <c r="M1829" s="5">
        <v>22</v>
      </c>
      <c r="N1829" s="5" t="s">
        <v>4782</v>
      </c>
      <c r="O1829" s="5" t="s">
        <v>574</v>
      </c>
      <c r="Q1829" s="5" t="s">
        <v>4930</v>
      </c>
      <c r="R1829" s="6"/>
      <c r="S1829" s="6" t="s">
        <v>328</v>
      </c>
    </row>
    <row r="1830" spans="1:19" x14ac:dyDescent="0.2">
      <c r="A1830" s="5">
        <v>1887</v>
      </c>
      <c r="B1830" s="8" t="s">
        <v>4931</v>
      </c>
      <c r="H1830" s="8" t="s">
        <v>4920</v>
      </c>
      <c r="I1830" s="8" t="s">
        <v>4920</v>
      </c>
      <c r="J1830" s="5">
        <f>33-1-1-2</f>
        <v>29</v>
      </c>
      <c r="K1830" s="5" t="s">
        <v>292</v>
      </c>
      <c r="L1830" s="5" t="s">
        <v>4781</v>
      </c>
      <c r="M1830" s="5">
        <v>23</v>
      </c>
      <c r="N1830" s="5" t="s">
        <v>4782</v>
      </c>
      <c r="O1830" s="5" t="s">
        <v>574</v>
      </c>
      <c r="Q1830" s="10" t="s">
        <v>553</v>
      </c>
      <c r="R1830" s="6"/>
      <c r="S1830" s="6" t="s">
        <v>328</v>
      </c>
    </row>
    <row r="1831" spans="1:19" x14ac:dyDescent="0.2">
      <c r="A1831" s="5">
        <v>1888</v>
      </c>
      <c r="B1831" s="8" t="s">
        <v>4932</v>
      </c>
      <c r="H1831" s="8" t="s">
        <v>4920</v>
      </c>
      <c r="I1831" s="8" t="s">
        <v>4920</v>
      </c>
      <c r="J1831" s="5">
        <f>2-1-1</f>
        <v>0</v>
      </c>
      <c r="K1831" s="5" t="s">
        <v>292</v>
      </c>
      <c r="L1831" s="5" t="s">
        <v>4781</v>
      </c>
      <c r="M1831" s="5">
        <v>23</v>
      </c>
      <c r="N1831" s="5" t="s">
        <v>4782</v>
      </c>
      <c r="O1831" s="5" t="s">
        <v>574</v>
      </c>
      <c r="Q1831" s="10" t="s">
        <v>553</v>
      </c>
      <c r="R1831" s="6"/>
      <c r="S1831" s="6" t="s">
        <v>328</v>
      </c>
    </row>
    <row r="1832" spans="1:19" x14ac:dyDescent="0.2">
      <c r="A1832" s="5">
        <v>1889</v>
      </c>
      <c r="B1832" s="8" t="s">
        <v>4933</v>
      </c>
      <c r="H1832" s="8" t="s">
        <v>4920</v>
      </c>
      <c r="I1832" s="8" t="s">
        <v>4920</v>
      </c>
      <c r="J1832" s="5">
        <v>4</v>
      </c>
      <c r="K1832" s="5" t="s">
        <v>292</v>
      </c>
      <c r="L1832" s="5" t="s">
        <v>4781</v>
      </c>
      <c r="M1832" s="5">
        <v>24</v>
      </c>
      <c r="N1832" s="5" t="s">
        <v>4782</v>
      </c>
      <c r="O1832" s="5" t="s">
        <v>574</v>
      </c>
      <c r="Q1832" s="10" t="s">
        <v>553</v>
      </c>
      <c r="R1832" s="6"/>
      <c r="S1832" s="6"/>
    </row>
    <row r="1833" spans="1:19" x14ac:dyDescent="0.2">
      <c r="A1833" s="5"/>
      <c r="B1833" s="8" t="s">
        <v>4934</v>
      </c>
      <c r="I1833" s="8" t="s">
        <v>4920</v>
      </c>
      <c r="J1833" s="5">
        <f>20-1</f>
        <v>19</v>
      </c>
      <c r="K1833" s="5" t="s">
        <v>292</v>
      </c>
      <c r="L1833" s="5" t="s">
        <v>4781</v>
      </c>
      <c r="M1833" s="5">
        <v>24</v>
      </c>
      <c r="N1833" s="5" t="s">
        <v>4782</v>
      </c>
      <c r="O1833" s="5" t="s">
        <v>574</v>
      </c>
      <c r="Q1833" s="5" t="s">
        <v>4935</v>
      </c>
      <c r="R1833" s="6"/>
      <c r="S1833" s="6"/>
    </row>
    <row r="1834" spans="1:19" x14ac:dyDescent="0.2">
      <c r="A1834" s="5">
        <v>1891</v>
      </c>
      <c r="B1834" s="8" t="s">
        <v>4936</v>
      </c>
      <c r="H1834" s="8" t="s">
        <v>4937</v>
      </c>
      <c r="I1834" s="8" t="s">
        <v>4937</v>
      </c>
      <c r="J1834" s="5">
        <v>2</v>
      </c>
      <c r="K1834" s="5" t="s">
        <v>292</v>
      </c>
      <c r="L1834" s="5" t="s">
        <v>4781</v>
      </c>
      <c r="M1834" s="5">
        <v>25</v>
      </c>
      <c r="N1834" s="5" t="s">
        <v>4782</v>
      </c>
      <c r="O1834" s="5" t="s">
        <v>574</v>
      </c>
      <c r="Q1834" s="5" t="s">
        <v>4938</v>
      </c>
      <c r="R1834" s="6"/>
      <c r="S1834" s="6"/>
    </row>
    <row r="1835" spans="1:19" x14ac:dyDescent="0.2">
      <c r="A1835" s="5">
        <v>1892</v>
      </c>
      <c r="B1835" s="8" t="s">
        <v>4939</v>
      </c>
      <c r="H1835" s="8" t="s">
        <v>4920</v>
      </c>
      <c r="I1835" s="8" t="s">
        <v>4920</v>
      </c>
      <c r="J1835" s="5">
        <f>74-12</f>
        <v>62</v>
      </c>
      <c r="K1835" s="5" t="s">
        <v>292</v>
      </c>
      <c r="L1835" s="5" t="s">
        <v>4781</v>
      </c>
      <c r="M1835" s="5">
        <v>25</v>
      </c>
      <c r="N1835" s="5" t="s">
        <v>4782</v>
      </c>
      <c r="O1835" s="5" t="s">
        <v>574</v>
      </c>
      <c r="Q1835" s="10" t="s">
        <v>4940</v>
      </c>
      <c r="R1835" s="6"/>
      <c r="S1835" s="6"/>
    </row>
    <row r="1836" spans="1:19" x14ac:dyDescent="0.2">
      <c r="A1836" s="5"/>
      <c r="B1836" s="8" t="s">
        <v>4941</v>
      </c>
      <c r="H1836" s="8" t="s">
        <v>4942</v>
      </c>
      <c r="I1836" s="8" t="s">
        <v>4942</v>
      </c>
      <c r="J1836" s="5">
        <v>9</v>
      </c>
      <c r="K1836" s="5" t="s">
        <v>292</v>
      </c>
      <c r="L1836" s="5" t="s">
        <v>4781</v>
      </c>
      <c r="M1836" s="5">
        <v>25</v>
      </c>
      <c r="N1836" s="5" t="s">
        <v>4782</v>
      </c>
      <c r="Q1836" s="10"/>
      <c r="R1836" s="6"/>
      <c r="S1836" s="6" t="s">
        <v>328</v>
      </c>
    </row>
    <row r="1837" spans="1:19" x14ac:dyDescent="0.2">
      <c r="A1837" s="5">
        <v>1893</v>
      </c>
      <c r="B1837" s="8" t="s">
        <v>4943</v>
      </c>
      <c r="H1837" s="8" t="s">
        <v>4890</v>
      </c>
      <c r="I1837" s="8" t="s">
        <v>4890</v>
      </c>
      <c r="J1837" s="5">
        <v>1</v>
      </c>
      <c r="K1837" s="5" t="s">
        <v>292</v>
      </c>
      <c r="L1837" s="5" t="s">
        <v>4781</v>
      </c>
      <c r="M1837" s="5">
        <v>26</v>
      </c>
      <c r="N1837" s="5" t="s">
        <v>4782</v>
      </c>
      <c r="O1837" s="5" t="s">
        <v>574</v>
      </c>
      <c r="Q1837" s="10" t="s">
        <v>553</v>
      </c>
      <c r="R1837" s="6"/>
      <c r="S1837" s="6" t="s">
        <v>328</v>
      </c>
    </row>
    <row r="1838" spans="1:19" x14ac:dyDescent="0.2">
      <c r="A1838" s="5">
        <v>1894</v>
      </c>
      <c r="B1838" s="8" t="s">
        <v>4944</v>
      </c>
      <c r="H1838" s="8" t="s">
        <v>4945</v>
      </c>
      <c r="I1838" s="8" t="s">
        <v>4945</v>
      </c>
      <c r="J1838" s="5">
        <v>33</v>
      </c>
      <c r="K1838" s="5" t="s">
        <v>292</v>
      </c>
      <c r="L1838" s="5" t="s">
        <v>4781</v>
      </c>
      <c r="M1838" s="5">
        <v>26</v>
      </c>
      <c r="N1838" s="5" t="s">
        <v>4782</v>
      </c>
      <c r="O1838" s="5" t="s">
        <v>574</v>
      </c>
      <c r="Q1838" s="10" t="s">
        <v>553</v>
      </c>
      <c r="R1838" s="6"/>
      <c r="S1838" s="6"/>
    </row>
    <row r="1839" spans="1:19" x14ac:dyDescent="0.2">
      <c r="A1839" s="5"/>
      <c r="B1839" s="8" t="s">
        <v>198</v>
      </c>
      <c r="H1839" s="8" t="s">
        <v>4946</v>
      </c>
      <c r="I1839" s="8" t="s">
        <v>4946</v>
      </c>
      <c r="J1839" s="5">
        <f>21-4-2-1+1+7</f>
        <v>22</v>
      </c>
      <c r="K1839" s="5" t="s">
        <v>292</v>
      </c>
      <c r="L1839" s="5" t="s">
        <v>4781</v>
      </c>
      <c r="M1839" s="5">
        <v>26</v>
      </c>
      <c r="N1839" s="5" t="s">
        <v>4782</v>
      </c>
      <c r="O1839" s="5" t="s">
        <v>574</v>
      </c>
      <c r="Q1839" s="10" t="s">
        <v>553</v>
      </c>
      <c r="R1839" s="6"/>
      <c r="S1839" s="6"/>
    </row>
    <row r="1840" spans="1:19" x14ac:dyDescent="0.2">
      <c r="A1840" s="5"/>
      <c r="B1840" s="8" t="s">
        <v>198</v>
      </c>
      <c r="H1840" s="8" t="s">
        <v>4947</v>
      </c>
      <c r="I1840" s="8" t="s">
        <v>4947</v>
      </c>
      <c r="J1840" s="5">
        <f>40</f>
        <v>40</v>
      </c>
      <c r="K1840" s="5" t="s">
        <v>292</v>
      </c>
      <c r="L1840" s="5" t="s">
        <v>4781</v>
      </c>
      <c r="M1840" s="5">
        <v>26</v>
      </c>
      <c r="N1840" s="5" t="s">
        <v>4782</v>
      </c>
      <c r="O1840" s="5" t="s">
        <v>574</v>
      </c>
      <c r="Q1840" s="107" t="s">
        <v>1006</v>
      </c>
      <c r="R1840" s="6"/>
      <c r="S1840" s="6" t="s">
        <v>328</v>
      </c>
    </row>
    <row r="1841" spans="1:21" x14ac:dyDescent="0.2">
      <c r="A1841" s="5">
        <v>1895</v>
      </c>
      <c r="B1841" s="8" t="s">
        <v>4948</v>
      </c>
      <c r="H1841" s="8" t="s">
        <v>4949</v>
      </c>
      <c r="I1841" s="8" t="s">
        <v>4949</v>
      </c>
      <c r="J1841" s="5">
        <f>29-8</f>
        <v>21</v>
      </c>
      <c r="K1841" s="5" t="s">
        <v>292</v>
      </c>
      <c r="L1841" s="5" t="s">
        <v>4781</v>
      </c>
      <c r="M1841" s="5">
        <v>27</v>
      </c>
      <c r="N1841" s="5" t="s">
        <v>4782</v>
      </c>
      <c r="O1841" s="5" t="s">
        <v>574</v>
      </c>
      <c r="Q1841" s="10" t="s">
        <v>553</v>
      </c>
      <c r="R1841" s="6"/>
      <c r="S1841" s="6" t="s">
        <v>328</v>
      </c>
    </row>
    <row r="1842" spans="1:21" x14ac:dyDescent="0.2">
      <c r="A1842" s="5">
        <v>1896</v>
      </c>
      <c r="B1842" s="8" t="s">
        <v>4897</v>
      </c>
      <c r="H1842" s="8" t="s">
        <v>4898</v>
      </c>
      <c r="I1842" s="8" t="s">
        <v>4898</v>
      </c>
      <c r="J1842" s="5">
        <f>1-1</f>
        <v>0</v>
      </c>
      <c r="K1842" s="5" t="s">
        <v>292</v>
      </c>
      <c r="L1842" s="5" t="s">
        <v>4781</v>
      </c>
      <c r="M1842" s="5">
        <v>27</v>
      </c>
      <c r="N1842" s="5" t="s">
        <v>4782</v>
      </c>
      <c r="O1842" s="5" t="s">
        <v>574</v>
      </c>
      <c r="Q1842" s="10" t="s">
        <v>553</v>
      </c>
      <c r="R1842" s="6"/>
      <c r="S1842" s="6" t="s">
        <v>328</v>
      </c>
    </row>
    <row r="1843" spans="1:21" x14ac:dyDescent="0.2">
      <c r="A1843" s="5">
        <v>1897</v>
      </c>
      <c r="B1843" s="8" t="s">
        <v>4950</v>
      </c>
      <c r="H1843" s="8" t="s">
        <v>4951</v>
      </c>
      <c r="I1843" s="8" t="s">
        <v>4951</v>
      </c>
      <c r="J1843" s="5">
        <f>29</f>
        <v>29</v>
      </c>
      <c r="K1843" s="5" t="s">
        <v>292</v>
      </c>
      <c r="L1843" s="5" t="s">
        <v>4781</v>
      </c>
      <c r="M1843" s="5">
        <v>28</v>
      </c>
      <c r="N1843" s="5" t="s">
        <v>4782</v>
      </c>
      <c r="O1843" s="5" t="s">
        <v>574</v>
      </c>
      <c r="Q1843" s="10" t="s">
        <v>553</v>
      </c>
      <c r="R1843" s="6"/>
      <c r="S1843" s="6" t="s">
        <v>328</v>
      </c>
    </row>
    <row r="1844" spans="1:21" x14ac:dyDescent="0.2">
      <c r="A1844" s="5">
        <v>1898</v>
      </c>
      <c r="B1844" s="8" t="s">
        <v>4952</v>
      </c>
      <c r="H1844" s="8" t="s">
        <v>4953</v>
      </c>
      <c r="I1844" s="8" t="s">
        <v>4953</v>
      </c>
      <c r="J1844" s="5">
        <v>4</v>
      </c>
      <c r="K1844" s="5" t="s">
        <v>292</v>
      </c>
      <c r="L1844" s="5" t="s">
        <v>4781</v>
      </c>
      <c r="M1844" s="5">
        <v>28</v>
      </c>
      <c r="N1844" s="5" t="s">
        <v>4782</v>
      </c>
      <c r="O1844" s="5" t="s">
        <v>574</v>
      </c>
      <c r="Q1844" s="10" t="s">
        <v>553</v>
      </c>
      <c r="R1844" s="6"/>
      <c r="S1844" s="6" t="s">
        <v>328</v>
      </c>
    </row>
    <row r="1845" spans="1:21" x14ac:dyDescent="0.2">
      <c r="A1845" s="5">
        <v>1899</v>
      </c>
      <c r="B1845" s="8" t="s">
        <v>4954</v>
      </c>
      <c r="H1845" s="8" t="s">
        <v>4955</v>
      </c>
      <c r="I1845" s="8" t="s">
        <v>4955</v>
      </c>
      <c r="J1845" s="5">
        <f>98+21-2-4+29-1</f>
        <v>141</v>
      </c>
      <c r="K1845" s="5" t="s">
        <v>292</v>
      </c>
      <c r="L1845" s="5" t="s">
        <v>4781</v>
      </c>
      <c r="M1845" s="5">
        <v>29</v>
      </c>
      <c r="N1845" s="5" t="s">
        <v>4782</v>
      </c>
      <c r="O1845" s="5" t="s">
        <v>574</v>
      </c>
      <c r="Q1845" s="10" t="s">
        <v>4956</v>
      </c>
      <c r="R1845" s="6"/>
      <c r="S1845" s="6" t="s">
        <v>328</v>
      </c>
    </row>
    <row r="1846" spans="1:21" x14ac:dyDescent="0.2">
      <c r="A1846" s="5">
        <v>1902</v>
      </c>
      <c r="B1846" s="8" t="s">
        <v>4957</v>
      </c>
      <c r="H1846" s="8" t="s">
        <v>4958</v>
      </c>
      <c r="I1846" s="8" t="s">
        <v>4958</v>
      </c>
      <c r="J1846" s="5">
        <f>185-185</f>
        <v>0</v>
      </c>
      <c r="K1846" s="5" t="s">
        <v>292</v>
      </c>
      <c r="L1846" s="5" t="s">
        <v>4781</v>
      </c>
      <c r="M1846" s="5">
        <v>29</v>
      </c>
      <c r="N1846" s="5" t="s">
        <v>4782</v>
      </c>
      <c r="O1846" s="5" t="s">
        <v>574</v>
      </c>
      <c r="Q1846" s="10" t="s">
        <v>553</v>
      </c>
      <c r="R1846" s="6"/>
      <c r="S1846" s="6" t="s">
        <v>328</v>
      </c>
    </row>
    <row r="1847" spans="1:21" x14ac:dyDescent="0.2">
      <c r="A1847" s="5">
        <v>1900</v>
      </c>
      <c r="B1847" s="8" t="s">
        <v>4959</v>
      </c>
      <c r="H1847" s="8" t="s">
        <v>4960</v>
      </c>
      <c r="I1847" s="8" t="s">
        <v>4960</v>
      </c>
      <c r="J1847" s="5">
        <v>161</v>
      </c>
      <c r="K1847" s="5" t="s">
        <v>292</v>
      </c>
      <c r="L1847" s="5" t="s">
        <v>4781</v>
      </c>
      <c r="M1847" s="5">
        <v>30</v>
      </c>
      <c r="N1847" s="5" t="s">
        <v>4782</v>
      </c>
      <c r="O1847" s="5" t="s">
        <v>574</v>
      </c>
      <c r="Q1847" s="10" t="s">
        <v>553</v>
      </c>
      <c r="R1847" s="6"/>
      <c r="S1847" s="6" t="s">
        <v>328</v>
      </c>
      <c r="U1847" t="s">
        <v>321</v>
      </c>
    </row>
    <row r="1848" spans="1:21" x14ac:dyDescent="0.2">
      <c r="A1848" s="5">
        <v>1901</v>
      </c>
      <c r="B1848" s="8" t="s">
        <v>4961</v>
      </c>
      <c r="H1848" s="8" t="s">
        <v>4962</v>
      </c>
      <c r="I1848" s="8" t="s">
        <v>4962</v>
      </c>
      <c r="J1848" s="5">
        <v>61</v>
      </c>
      <c r="K1848" s="5" t="s">
        <v>292</v>
      </c>
      <c r="L1848" s="5" t="s">
        <v>4781</v>
      </c>
      <c r="M1848" s="5">
        <v>30</v>
      </c>
      <c r="N1848" s="5" t="s">
        <v>4782</v>
      </c>
      <c r="O1848" s="5" t="s">
        <v>574</v>
      </c>
      <c r="Q1848" s="10" t="s">
        <v>553</v>
      </c>
      <c r="R1848" s="6"/>
      <c r="S1848" s="6" t="s">
        <v>328</v>
      </c>
    </row>
    <row r="1849" spans="1:21" x14ac:dyDescent="0.2">
      <c r="A1849" s="5">
        <v>1903</v>
      </c>
      <c r="B1849" s="8" t="s">
        <v>4963</v>
      </c>
      <c r="C1849" s="34"/>
      <c r="H1849" s="8" t="s">
        <v>4960</v>
      </c>
      <c r="I1849" s="8" t="s">
        <v>4960</v>
      </c>
      <c r="J1849" s="5">
        <f>78-2</f>
        <v>76</v>
      </c>
      <c r="K1849" s="5" t="s">
        <v>292</v>
      </c>
      <c r="L1849" s="5" t="s">
        <v>4781</v>
      </c>
      <c r="M1849" s="5">
        <v>31</v>
      </c>
      <c r="N1849" s="5" t="s">
        <v>4782</v>
      </c>
      <c r="O1849" s="5" t="s">
        <v>574</v>
      </c>
      <c r="Q1849" s="10" t="s">
        <v>553</v>
      </c>
      <c r="R1849" s="6"/>
      <c r="S1849" s="6"/>
    </row>
    <row r="1850" spans="1:21" x14ac:dyDescent="0.2">
      <c r="A1850" s="5"/>
      <c r="B1850" s="8" t="s">
        <v>171</v>
      </c>
      <c r="C1850" s="34"/>
      <c r="H1850" s="8" t="s">
        <v>4964</v>
      </c>
      <c r="I1850" s="8" t="s">
        <v>4964</v>
      </c>
      <c r="J1850" s="5">
        <f>50-30-2-1-2-1-2-7+8-1</f>
        <v>12</v>
      </c>
      <c r="K1850" s="5" t="s">
        <v>292</v>
      </c>
      <c r="L1850" s="5" t="s">
        <v>4781</v>
      </c>
      <c r="M1850" s="5">
        <v>31</v>
      </c>
      <c r="N1850" s="5" t="s">
        <v>4782</v>
      </c>
      <c r="Q1850" s="107" t="s">
        <v>4965</v>
      </c>
      <c r="R1850" s="6"/>
      <c r="S1850" s="6"/>
    </row>
    <row r="1851" spans="1:21" x14ac:dyDescent="0.2">
      <c r="A1851" s="5"/>
      <c r="B1851" s="8" t="s">
        <v>4966</v>
      </c>
      <c r="C1851" s="34"/>
      <c r="H1851" s="8" t="s">
        <v>4967</v>
      </c>
      <c r="I1851" s="8" t="s">
        <v>4967</v>
      </c>
      <c r="J1851" s="5">
        <f>63-1</f>
        <v>62</v>
      </c>
      <c r="K1851" s="5" t="s">
        <v>292</v>
      </c>
      <c r="L1851" s="5" t="s">
        <v>4781</v>
      </c>
      <c r="M1851" s="5">
        <v>31</v>
      </c>
      <c r="Q1851" s="107"/>
      <c r="R1851" s="6"/>
      <c r="S1851" s="6"/>
    </row>
    <row r="1852" spans="1:21" x14ac:dyDescent="0.2">
      <c r="A1852" s="5"/>
      <c r="B1852" s="8" t="s">
        <v>4968</v>
      </c>
      <c r="C1852" s="34"/>
      <c r="H1852" s="8" t="s">
        <v>4969</v>
      </c>
      <c r="I1852" s="8" t="s">
        <v>4969</v>
      </c>
      <c r="J1852" s="5">
        <f>50-20+30-21-7-1-2-1</f>
        <v>28</v>
      </c>
      <c r="K1852" s="5" t="s">
        <v>292</v>
      </c>
      <c r="L1852" s="5" t="s">
        <v>4781</v>
      </c>
      <c r="M1852" s="5">
        <v>31</v>
      </c>
      <c r="N1852" s="5" t="s">
        <v>4782</v>
      </c>
      <c r="Q1852" s="107" t="s">
        <v>1800</v>
      </c>
      <c r="R1852" s="6"/>
      <c r="S1852" s="6" t="s">
        <v>328</v>
      </c>
    </row>
    <row r="1853" spans="1:21" x14ac:dyDescent="0.2">
      <c r="A1853" s="5">
        <v>1904</v>
      </c>
      <c r="B1853" s="8" t="s">
        <v>4970</v>
      </c>
      <c r="H1853" s="8" t="s">
        <v>4971</v>
      </c>
      <c r="I1853" s="8" t="s">
        <v>4971</v>
      </c>
      <c r="J1853" s="5">
        <v>108</v>
      </c>
      <c r="K1853" s="5" t="s">
        <v>292</v>
      </c>
      <c r="L1853" s="5" t="s">
        <v>4781</v>
      </c>
      <c r="M1853" s="5">
        <v>32</v>
      </c>
      <c r="N1853" s="5" t="s">
        <v>4782</v>
      </c>
      <c r="O1853" s="5" t="s">
        <v>574</v>
      </c>
      <c r="Q1853" s="10" t="s">
        <v>553</v>
      </c>
      <c r="R1853" s="6"/>
      <c r="S1853" s="6" t="s">
        <v>328</v>
      </c>
    </row>
    <row r="1854" spans="1:21" x14ac:dyDescent="0.2">
      <c r="A1854" s="5">
        <v>1905</v>
      </c>
      <c r="B1854" s="8" t="s">
        <v>4970</v>
      </c>
      <c r="H1854" s="8" t="s">
        <v>4972</v>
      </c>
      <c r="I1854" s="8" t="s">
        <v>4972</v>
      </c>
      <c r="J1854" s="5">
        <v>201</v>
      </c>
      <c r="K1854" s="5" t="s">
        <v>292</v>
      </c>
      <c r="L1854" s="5" t="s">
        <v>4781</v>
      </c>
      <c r="M1854" s="5">
        <v>32</v>
      </c>
      <c r="N1854" s="5" t="s">
        <v>4782</v>
      </c>
      <c r="O1854" s="5" t="s">
        <v>574</v>
      </c>
      <c r="Q1854" s="10" t="s">
        <v>553</v>
      </c>
      <c r="R1854" s="6"/>
      <c r="S1854" s="6"/>
    </row>
    <row r="1855" spans="1:21" x14ac:dyDescent="0.2">
      <c r="A1855" s="5"/>
      <c r="B1855" s="101" t="s">
        <v>194</v>
      </c>
      <c r="H1855" s="8" t="s">
        <v>194</v>
      </c>
      <c r="I1855" s="101" t="s">
        <v>1004</v>
      </c>
      <c r="J1855" s="5">
        <f>9</f>
        <v>9</v>
      </c>
      <c r="K1855" s="5" t="s">
        <v>292</v>
      </c>
      <c r="L1855" s="5" t="s">
        <v>4781</v>
      </c>
      <c r="M1855" s="5">
        <v>32</v>
      </c>
      <c r="N1855" s="5" t="s">
        <v>4782</v>
      </c>
      <c r="Q1855" s="107" t="s">
        <v>1006</v>
      </c>
      <c r="R1855" s="6"/>
      <c r="S1855" s="6"/>
    </row>
    <row r="1856" spans="1:21" x14ac:dyDescent="0.2">
      <c r="A1856" s="5"/>
      <c r="B1856" s="8" t="s">
        <v>4973</v>
      </c>
      <c r="H1856" s="8" t="s">
        <v>4974</v>
      </c>
      <c r="I1856" s="8" t="s">
        <v>4974</v>
      </c>
      <c r="J1856" s="5">
        <f>30-4-22+44+49</f>
        <v>97</v>
      </c>
      <c r="K1856" s="5" t="s">
        <v>292</v>
      </c>
      <c r="L1856" s="5" t="s">
        <v>4781</v>
      </c>
      <c r="M1856" s="5">
        <v>32</v>
      </c>
      <c r="N1856" s="5" t="s">
        <v>4782</v>
      </c>
      <c r="Q1856" s="107" t="s">
        <v>4975</v>
      </c>
      <c r="R1856" s="6"/>
      <c r="S1856" s="6"/>
    </row>
    <row r="1857" spans="1:21" x14ac:dyDescent="0.2">
      <c r="A1857" s="5"/>
      <c r="B1857" s="8" t="s">
        <v>185</v>
      </c>
      <c r="H1857" s="8" t="s">
        <v>4976</v>
      </c>
      <c r="I1857" s="8" t="s">
        <v>4976</v>
      </c>
      <c r="J1857" s="5">
        <f>71-8-12-8-43+42+85-14+44+44+200-32+14-6-4+15-1-2-7-24-6-42+42-4</f>
        <v>344</v>
      </c>
      <c r="K1857" s="5" t="s">
        <v>292</v>
      </c>
      <c r="L1857" s="5" t="s">
        <v>4781</v>
      </c>
      <c r="M1857" s="5">
        <v>32</v>
      </c>
      <c r="N1857" s="5" t="s">
        <v>4782</v>
      </c>
      <c r="Q1857" s="107" t="s">
        <v>4956</v>
      </c>
      <c r="R1857" s="6"/>
      <c r="S1857" s="6"/>
    </row>
    <row r="1858" spans="1:21" x14ac:dyDescent="0.2">
      <c r="A1858" s="5"/>
      <c r="B1858" s="8" t="s">
        <v>4977</v>
      </c>
      <c r="I1858" s="8" t="s">
        <v>184</v>
      </c>
      <c r="J1858" s="5">
        <f>20-1</f>
        <v>19</v>
      </c>
      <c r="K1858" s="5" t="s">
        <v>292</v>
      </c>
      <c r="L1858" s="5" t="s">
        <v>4781</v>
      </c>
      <c r="M1858" s="5">
        <v>32</v>
      </c>
      <c r="Q1858" s="107"/>
      <c r="R1858" s="6"/>
      <c r="S1858" s="6"/>
    </row>
    <row r="1859" spans="1:21" x14ac:dyDescent="0.2">
      <c r="A1859" s="5"/>
      <c r="B1859" s="8" t="s">
        <v>4978</v>
      </c>
      <c r="H1859" s="8" t="s">
        <v>4979</v>
      </c>
      <c r="I1859" s="8" t="s">
        <v>4980</v>
      </c>
      <c r="J1859" s="5">
        <f>3</f>
        <v>3</v>
      </c>
      <c r="K1859" s="5" t="s">
        <v>21</v>
      </c>
      <c r="L1859" s="5" t="s">
        <v>4781</v>
      </c>
      <c r="M1859" s="5">
        <v>32</v>
      </c>
      <c r="Q1859" s="107"/>
      <c r="R1859" s="6"/>
      <c r="S1859" s="6" t="s">
        <v>328</v>
      </c>
    </row>
    <row r="1860" spans="1:21" x14ac:dyDescent="0.2">
      <c r="A1860" s="5">
        <v>1906</v>
      </c>
      <c r="B1860" s="8" t="s">
        <v>4981</v>
      </c>
      <c r="H1860" s="8" t="s">
        <v>4960</v>
      </c>
      <c r="I1860" s="8" t="s">
        <v>4960</v>
      </c>
      <c r="J1860" s="5">
        <f>712</f>
        <v>712</v>
      </c>
      <c r="K1860" s="5" t="s">
        <v>292</v>
      </c>
      <c r="L1860" s="5" t="s">
        <v>4781</v>
      </c>
      <c r="M1860" s="5">
        <v>33</v>
      </c>
      <c r="N1860" s="5" t="s">
        <v>4782</v>
      </c>
      <c r="O1860" s="5" t="s">
        <v>574</v>
      </c>
      <c r="Q1860" s="10" t="s">
        <v>553</v>
      </c>
      <c r="R1860" s="6"/>
      <c r="S1860" s="6" t="s">
        <v>328</v>
      </c>
    </row>
    <row r="1861" spans="1:21" x14ac:dyDescent="0.2">
      <c r="A1861" s="5"/>
      <c r="B1861" s="8" t="s">
        <v>4982</v>
      </c>
      <c r="H1861" s="8" t="s">
        <v>4960</v>
      </c>
      <c r="I1861" s="8" t="s">
        <v>4960</v>
      </c>
      <c r="J1861" s="5">
        <f>185</f>
        <v>185</v>
      </c>
      <c r="K1861" s="5" t="s">
        <v>292</v>
      </c>
      <c r="L1861" s="5" t="s">
        <v>4781</v>
      </c>
      <c r="M1861" s="5">
        <v>33</v>
      </c>
      <c r="N1861" s="5" t="s">
        <v>4782</v>
      </c>
      <c r="Q1861" s="10"/>
      <c r="R1861" s="6"/>
      <c r="S1861" s="6"/>
    </row>
    <row r="1862" spans="1:21" x14ac:dyDescent="0.2">
      <c r="A1862" s="5">
        <v>1907</v>
      </c>
      <c r="B1862" s="34" t="s">
        <v>4954</v>
      </c>
      <c r="H1862" s="8" t="s">
        <v>4955</v>
      </c>
      <c r="I1862" s="8" t="s">
        <v>4955</v>
      </c>
      <c r="J1862" s="5">
        <v>0</v>
      </c>
      <c r="K1862" s="5" t="s">
        <v>292</v>
      </c>
      <c r="L1862" s="5" t="s">
        <v>4781</v>
      </c>
      <c r="M1862" s="5">
        <v>34</v>
      </c>
      <c r="N1862" s="5" t="s">
        <v>4782</v>
      </c>
      <c r="O1862" s="5" t="s">
        <v>574</v>
      </c>
      <c r="Q1862" s="10" t="s">
        <v>553</v>
      </c>
      <c r="R1862" s="6"/>
      <c r="S1862" s="6" t="s">
        <v>1139</v>
      </c>
    </row>
    <row r="1863" spans="1:21" x14ac:dyDescent="0.2">
      <c r="A1863" s="5">
        <v>1908</v>
      </c>
      <c r="B1863" s="8" t="s">
        <v>4959</v>
      </c>
      <c r="C1863" s="34"/>
      <c r="H1863" s="8" t="s">
        <v>4983</v>
      </c>
      <c r="I1863" s="8" t="s">
        <v>4983</v>
      </c>
      <c r="J1863" s="5">
        <v>23</v>
      </c>
      <c r="K1863" s="5" t="s">
        <v>292</v>
      </c>
      <c r="L1863" s="5" t="s">
        <v>4781</v>
      </c>
      <c r="M1863" s="5">
        <v>34</v>
      </c>
      <c r="N1863" s="5" t="s">
        <v>4782</v>
      </c>
      <c r="O1863" s="5" t="s">
        <v>574</v>
      </c>
      <c r="Q1863" s="10" t="s">
        <v>553</v>
      </c>
      <c r="R1863" s="6"/>
      <c r="S1863" s="6" t="s">
        <v>328</v>
      </c>
      <c r="U1863" t="s">
        <v>321</v>
      </c>
    </row>
    <row r="1864" spans="1:21" x14ac:dyDescent="0.2">
      <c r="A1864" s="5">
        <v>1909</v>
      </c>
      <c r="B1864" s="8" t="s">
        <v>4984</v>
      </c>
      <c r="C1864" s="34"/>
      <c r="H1864" s="8" t="s">
        <v>4985</v>
      </c>
      <c r="I1864" s="8" t="s">
        <v>4985</v>
      </c>
      <c r="J1864" s="5">
        <v>8</v>
      </c>
      <c r="K1864" s="5" t="s">
        <v>292</v>
      </c>
      <c r="L1864" s="5" t="s">
        <v>4781</v>
      </c>
      <c r="M1864" s="5">
        <v>34</v>
      </c>
      <c r="N1864" s="5" t="s">
        <v>4782</v>
      </c>
      <c r="O1864" s="5" t="s">
        <v>574</v>
      </c>
      <c r="Q1864" s="10" t="s">
        <v>553</v>
      </c>
      <c r="R1864" s="6"/>
      <c r="S1864" s="6"/>
    </row>
    <row r="1865" spans="1:21" x14ac:dyDescent="0.2">
      <c r="A1865" s="5"/>
      <c r="B1865" s="8" t="s">
        <v>4379</v>
      </c>
      <c r="C1865" s="34"/>
      <c r="H1865" s="8" t="s">
        <v>4986</v>
      </c>
      <c r="I1865" s="8" t="s">
        <v>4986</v>
      </c>
      <c r="J1865" s="5">
        <f>30-5-2+3+1</f>
        <v>27</v>
      </c>
      <c r="K1865" s="5" t="s">
        <v>292</v>
      </c>
      <c r="L1865" s="5" t="s">
        <v>4781</v>
      </c>
      <c r="M1865" s="5">
        <v>34</v>
      </c>
      <c r="N1865" s="5" t="s">
        <v>4782</v>
      </c>
      <c r="Q1865" s="107" t="s">
        <v>4858</v>
      </c>
      <c r="R1865" s="6"/>
      <c r="S1865" s="6"/>
    </row>
    <row r="1866" spans="1:21" x14ac:dyDescent="0.2">
      <c r="A1866" s="5"/>
      <c r="B1866" s="8" t="s">
        <v>4987</v>
      </c>
      <c r="C1866" s="34"/>
      <c r="H1866" s="8" t="s">
        <v>4988</v>
      </c>
      <c r="I1866" s="8" t="s">
        <v>4988</v>
      </c>
      <c r="J1866" s="5">
        <f>2</f>
        <v>2</v>
      </c>
      <c r="K1866" s="5" t="s">
        <v>292</v>
      </c>
      <c r="L1866" s="5" t="s">
        <v>4781</v>
      </c>
      <c r="M1866" s="5">
        <v>34</v>
      </c>
      <c r="Q1866" s="107"/>
      <c r="R1866" s="6"/>
      <c r="S1866" s="6"/>
    </row>
    <row r="1867" spans="1:21" x14ac:dyDescent="0.2">
      <c r="A1867" s="5"/>
      <c r="B1867" s="8" t="s">
        <v>4989</v>
      </c>
      <c r="C1867" s="34"/>
      <c r="H1867" s="8" t="s">
        <v>4988</v>
      </c>
      <c r="I1867" s="8" t="s">
        <v>4988</v>
      </c>
      <c r="J1867" s="5">
        <f>6</f>
        <v>6</v>
      </c>
      <c r="K1867" s="5" t="s">
        <v>292</v>
      </c>
      <c r="L1867" s="5" t="s">
        <v>4781</v>
      </c>
      <c r="M1867" s="5">
        <v>34</v>
      </c>
      <c r="Q1867" s="107"/>
      <c r="R1867" s="6"/>
      <c r="S1867" s="6" t="s">
        <v>1139</v>
      </c>
    </row>
    <row r="1868" spans="1:21" x14ac:dyDescent="0.2">
      <c r="A1868" s="5">
        <v>1910</v>
      </c>
      <c r="B1868" s="8" t="s">
        <v>4990</v>
      </c>
      <c r="H1868" s="8" t="s">
        <v>4991</v>
      </c>
      <c r="I1868" s="8" t="s">
        <v>4991</v>
      </c>
      <c r="J1868" s="5">
        <f>3-1</f>
        <v>2</v>
      </c>
      <c r="K1868" s="5" t="s">
        <v>292</v>
      </c>
      <c r="L1868" s="5" t="s">
        <v>4781</v>
      </c>
      <c r="M1868" s="5">
        <v>35</v>
      </c>
      <c r="N1868" s="5" t="s">
        <v>3724</v>
      </c>
      <c r="O1868" s="5" t="s">
        <v>574</v>
      </c>
      <c r="Q1868" s="10" t="s">
        <v>553</v>
      </c>
      <c r="R1868" s="6"/>
      <c r="S1868" s="6" t="s">
        <v>1139</v>
      </c>
    </row>
    <row r="1869" spans="1:21" x14ac:dyDescent="0.2">
      <c r="A1869" s="5">
        <v>1911</v>
      </c>
      <c r="B1869" s="8" t="s">
        <v>4990</v>
      </c>
      <c r="H1869" s="8" t="s">
        <v>4992</v>
      </c>
      <c r="I1869" s="8" t="s">
        <v>4992</v>
      </c>
      <c r="J1869" s="5">
        <f>10+20-10</f>
        <v>20</v>
      </c>
      <c r="K1869" s="5" t="s">
        <v>292</v>
      </c>
      <c r="L1869" s="5" t="s">
        <v>4781</v>
      </c>
      <c r="M1869" s="5">
        <v>35</v>
      </c>
      <c r="N1869" s="5" t="s">
        <v>3724</v>
      </c>
      <c r="O1869" s="5" t="s">
        <v>574</v>
      </c>
      <c r="Q1869" s="10" t="s">
        <v>553</v>
      </c>
      <c r="R1869" s="6"/>
      <c r="S1869" s="6"/>
    </row>
    <row r="1870" spans="1:21" x14ac:dyDescent="0.2">
      <c r="A1870" s="5"/>
      <c r="B1870" s="8" t="s">
        <v>4993</v>
      </c>
      <c r="H1870" s="8" t="s">
        <v>4994</v>
      </c>
      <c r="I1870" s="8" t="s">
        <v>4994</v>
      </c>
      <c r="J1870" s="5">
        <f>3</f>
        <v>3</v>
      </c>
      <c r="K1870" s="5" t="s">
        <v>292</v>
      </c>
      <c r="L1870" s="5" t="s">
        <v>4781</v>
      </c>
      <c r="M1870" s="5">
        <v>35</v>
      </c>
      <c r="N1870" s="5" t="s">
        <v>3724</v>
      </c>
      <c r="Q1870" s="107" t="s">
        <v>4995</v>
      </c>
      <c r="R1870" s="6"/>
      <c r="S1870" s="6" t="s">
        <v>1139</v>
      </c>
    </row>
    <row r="1871" spans="1:21" x14ac:dyDescent="0.2">
      <c r="A1871" s="5">
        <v>1912</v>
      </c>
      <c r="B1871" s="8" t="s">
        <v>4993</v>
      </c>
      <c r="H1871" s="8" t="s">
        <v>4996</v>
      </c>
      <c r="I1871" s="8" t="s">
        <v>4997</v>
      </c>
      <c r="J1871" s="5">
        <f>1+30-22-8</f>
        <v>1</v>
      </c>
      <c r="K1871" s="5" t="s">
        <v>292</v>
      </c>
      <c r="L1871" s="5" t="s">
        <v>4781</v>
      </c>
      <c r="M1871" s="5">
        <v>36</v>
      </c>
      <c r="N1871" s="5" t="s">
        <v>3724</v>
      </c>
      <c r="O1871" s="5" t="s">
        <v>574</v>
      </c>
      <c r="Q1871" s="10" t="s">
        <v>553</v>
      </c>
      <c r="R1871" s="6"/>
      <c r="S1871" s="6" t="s">
        <v>1139</v>
      </c>
    </row>
    <row r="1872" spans="1:21" x14ac:dyDescent="0.2">
      <c r="A1872" s="5">
        <v>1913</v>
      </c>
      <c r="B1872" s="8" t="s">
        <v>4993</v>
      </c>
      <c r="H1872" s="8" t="s">
        <v>4998</v>
      </c>
      <c r="I1872" s="8" t="s">
        <v>4999</v>
      </c>
      <c r="J1872" s="5">
        <f>1-1</f>
        <v>0</v>
      </c>
      <c r="K1872" s="5" t="s">
        <v>292</v>
      </c>
      <c r="L1872" s="5" t="s">
        <v>4781</v>
      </c>
      <c r="M1872" s="5">
        <v>36</v>
      </c>
      <c r="N1872" s="5" t="s">
        <v>3724</v>
      </c>
      <c r="O1872" s="5" t="s">
        <v>574</v>
      </c>
      <c r="Q1872" s="10" t="s">
        <v>553</v>
      </c>
      <c r="R1872" s="6"/>
      <c r="S1872" s="6"/>
    </row>
    <row r="1873" spans="1:21" x14ac:dyDescent="0.2">
      <c r="A1873" s="5"/>
      <c r="B1873" s="8" t="s">
        <v>5000</v>
      </c>
      <c r="H1873" s="8" t="s">
        <v>5001</v>
      </c>
      <c r="I1873" s="8" t="s">
        <v>5001</v>
      </c>
      <c r="J1873" s="5">
        <f>20+12</f>
        <v>32</v>
      </c>
      <c r="K1873" s="5" t="s">
        <v>292</v>
      </c>
      <c r="L1873" s="5" t="s">
        <v>4781</v>
      </c>
      <c r="M1873" s="5">
        <v>36</v>
      </c>
      <c r="N1873" s="5" t="s">
        <v>3724</v>
      </c>
      <c r="Q1873" s="10" t="s">
        <v>5002</v>
      </c>
      <c r="R1873" s="6"/>
      <c r="S1873" s="6" t="s">
        <v>328</v>
      </c>
    </row>
    <row r="1874" spans="1:21" x14ac:dyDescent="0.2">
      <c r="A1874" s="5">
        <v>1914</v>
      </c>
      <c r="B1874" s="8" t="s">
        <v>4990</v>
      </c>
      <c r="H1874" s="8" t="s">
        <v>4996</v>
      </c>
      <c r="I1874" s="8" t="s">
        <v>4997</v>
      </c>
      <c r="J1874" s="5">
        <v>5</v>
      </c>
      <c r="K1874" s="5" t="s">
        <v>292</v>
      </c>
      <c r="L1874" s="5" t="s">
        <v>4781</v>
      </c>
      <c r="M1874" s="5">
        <v>37</v>
      </c>
      <c r="N1874" s="5" t="s">
        <v>3724</v>
      </c>
      <c r="O1874" s="5" t="s">
        <v>574</v>
      </c>
      <c r="Q1874" s="10" t="s">
        <v>553</v>
      </c>
      <c r="R1874" s="6"/>
      <c r="S1874" s="6" t="s">
        <v>328</v>
      </c>
      <c r="U1874" t="s">
        <v>5003</v>
      </c>
    </row>
    <row r="1875" spans="1:21" x14ac:dyDescent="0.2">
      <c r="A1875" s="5">
        <v>1915</v>
      </c>
      <c r="B1875" s="8" t="s">
        <v>5004</v>
      </c>
      <c r="H1875" s="8" t="s">
        <v>4996</v>
      </c>
      <c r="I1875" s="8" t="s">
        <v>4996</v>
      </c>
      <c r="J1875" s="5">
        <f>16-6+6</f>
        <v>16</v>
      </c>
      <c r="K1875" s="5" t="s">
        <v>292</v>
      </c>
      <c r="L1875" s="5" t="s">
        <v>4781</v>
      </c>
      <c r="M1875" s="5">
        <v>37</v>
      </c>
      <c r="N1875" s="5" t="s">
        <v>3724</v>
      </c>
      <c r="O1875" s="5" t="s">
        <v>574</v>
      </c>
      <c r="Q1875" s="10" t="s">
        <v>553</v>
      </c>
      <c r="R1875" s="6"/>
      <c r="S1875" s="6" t="s">
        <v>328</v>
      </c>
    </row>
    <row r="1876" spans="1:21" x14ac:dyDescent="0.2">
      <c r="A1876" s="5">
        <v>1916</v>
      </c>
      <c r="B1876" s="8" t="s">
        <v>5004</v>
      </c>
      <c r="H1876" s="8" t="s">
        <v>4991</v>
      </c>
      <c r="I1876" s="8" t="s">
        <v>4991</v>
      </c>
      <c r="J1876" s="5">
        <v>370</v>
      </c>
      <c r="K1876" s="5" t="s">
        <v>292</v>
      </c>
      <c r="L1876" s="5" t="s">
        <v>4781</v>
      </c>
      <c r="M1876" s="5">
        <v>38</v>
      </c>
      <c r="N1876" s="5" t="s">
        <v>4782</v>
      </c>
      <c r="O1876" s="5" t="s">
        <v>574</v>
      </c>
      <c r="Q1876" s="10" t="s">
        <v>553</v>
      </c>
      <c r="R1876" s="6"/>
      <c r="S1876" s="6" t="s">
        <v>328</v>
      </c>
      <c r="U1876" t="s">
        <v>5005</v>
      </c>
    </row>
    <row r="1877" spans="1:21" x14ac:dyDescent="0.2">
      <c r="A1877" s="5">
        <v>1581</v>
      </c>
      <c r="B1877" s="8" t="s">
        <v>5006</v>
      </c>
      <c r="H1877" s="8" t="s">
        <v>2969</v>
      </c>
      <c r="I1877" s="8" t="s">
        <v>3193</v>
      </c>
      <c r="J1877" s="5">
        <v>6</v>
      </c>
      <c r="K1877" s="5" t="s">
        <v>292</v>
      </c>
      <c r="L1877" s="5" t="s">
        <v>4781</v>
      </c>
      <c r="M1877" s="5">
        <v>39</v>
      </c>
      <c r="N1877" s="5" t="s">
        <v>2962</v>
      </c>
      <c r="O1877" s="5" t="s">
        <v>574</v>
      </c>
      <c r="Q1877" s="10" t="s">
        <v>553</v>
      </c>
      <c r="R1877" s="6"/>
      <c r="S1877" s="6" t="s">
        <v>328</v>
      </c>
    </row>
    <row r="1878" spans="1:21" x14ac:dyDescent="0.2">
      <c r="A1878" s="5">
        <v>1917</v>
      </c>
      <c r="B1878" s="8" t="s">
        <v>5006</v>
      </c>
      <c r="H1878" s="8" t="s">
        <v>2969</v>
      </c>
      <c r="I1878" s="8" t="s">
        <v>2969</v>
      </c>
      <c r="J1878" s="5">
        <v>0</v>
      </c>
      <c r="K1878" s="5" t="s">
        <v>292</v>
      </c>
      <c r="L1878" s="5" t="s">
        <v>4781</v>
      </c>
      <c r="M1878" s="5">
        <v>39</v>
      </c>
      <c r="N1878" s="5" t="s">
        <v>3724</v>
      </c>
      <c r="O1878" s="5" t="s">
        <v>574</v>
      </c>
      <c r="Q1878" s="10" t="s">
        <v>553</v>
      </c>
      <c r="R1878" s="6"/>
      <c r="S1878" s="6" t="s">
        <v>328</v>
      </c>
    </row>
    <row r="1879" spans="1:21" x14ac:dyDescent="0.2">
      <c r="A1879" s="5">
        <v>1918</v>
      </c>
      <c r="B1879" s="8" t="s">
        <v>187</v>
      </c>
      <c r="H1879" s="8" t="s">
        <v>5007</v>
      </c>
      <c r="I1879" s="8" t="s">
        <v>5007</v>
      </c>
      <c r="J1879" s="5">
        <v>0</v>
      </c>
      <c r="K1879" s="5" t="s">
        <v>292</v>
      </c>
      <c r="L1879" s="5" t="s">
        <v>4781</v>
      </c>
      <c r="M1879" s="5">
        <v>40</v>
      </c>
      <c r="N1879" s="5" t="s">
        <v>4782</v>
      </c>
      <c r="O1879" s="5" t="s">
        <v>574</v>
      </c>
      <c r="Q1879" s="10" t="s">
        <v>553</v>
      </c>
      <c r="R1879" s="6"/>
      <c r="S1879" s="6"/>
    </row>
    <row r="1880" spans="1:21" x14ac:dyDescent="0.2">
      <c r="A1880" s="5"/>
      <c r="B1880" s="8" t="s">
        <v>4784</v>
      </c>
      <c r="H1880" s="8" t="s">
        <v>5008</v>
      </c>
      <c r="I1880" s="8" t="s">
        <v>5009</v>
      </c>
      <c r="J1880" s="5">
        <v>0</v>
      </c>
      <c r="K1880" s="5" t="s">
        <v>21</v>
      </c>
      <c r="L1880" s="5" t="s">
        <v>4781</v>
      </c>
      <c r="M1880" s="5">
        <v>40</v>
      </c>
      <c r="N1880" s="5" t="s">
        <v>4782</v>
      </c>
      <c r="O1880" s="5" t="s">
        <v>574</v>
      </c>
      <c r="Q1880" s="5" t="s">
        <v>5010</v>
      </c>
      <c r="R1880" s="6"/>
      <c r="S1880" s="6"/>
    </row>
    <row r="1881" spans="1:21" x14ac:dyDescent="0.2">
      <c r="A1881" s="5"/>
      <c r="B1881" s="8" t="s">
        <v>168</v>
      </c>
      <c r="H1881" s="8" t="s">
        <v>167</v>
      </c>
      <c r="I1881" s="8" t="s">
        <v>167</v>
      </c>
      <c r="J1881" s="5">
        <f>93-42+48</f>
        <v>99</v>
      </c>
      <c r="K1881" s="5" t="s">
        <v>21</v>
      </c>
      <c r="L1881" s="5" t="s">
        <v>4781</v>
      </c>
      <c r="M1881" s="5">
        <v>40</v>
      </c>
      <c r="N1881" s="5" t="s">
        <v>4782</v>
      </c>
      <c r="Q1881" s="107" t="s">
        <v>4965</v>
      </c>
      <c r="R1881" s="6"/>
      <c r="S1881" s="6"/>
    </row>
    <row r="1882" spans="1:21" x14ac:dyDescent="0.2">
      <c r="A1882" s="5"/>
      <c r="B1882" s="8" t="s">
        <v>173</v>
      </c>
      <c r="H1882" s="8" t="s">
        <v>172</v>
      </c>
      <c r="I1882" s="8" t="s">
        <v>172</v>
      </c>
      <c r="J1882" s="5">
        <f>122-6</f>
        <v>116</v>
      </c>
      <c r="K1882" s="5" t="s">
        <v>21</v>
      </c>
      <c r="L1882" s="5" t="s">
        <v>4781</v>
      </c>
      <c r="M1882" s="5">
        <v>40</v>
      </c>
      <c r="N1882" s="5" t="s">
        <v>4782</v>
      </c>
      <c r="Q1882" s="107" t="s">
        <v>4965</v>
      </c>
      <c r="R1882" s="6"/>
      <c r="S1882" s="6" t="s">
        <v>328</v>
      </c>
    </row>
    <row r="1883" spans="1:21" x14ac:dyDescent="0.2">
      <c r="A1883" s="5"/>
      <c r="B1883" s="8" t="s">
        <v>5011</v>
      </c>
      <c r="I1883" s="8" t="s">
        <v>5012</v>
      </c>
      <c r="J1883" s="5">
        <f>24-1</f>
        <v>23</v>
      </c>
      <c r="K1883" s="5" t="s">
        <v>21</v>
      </c>
      <c r="L1883" s="5" t="s">
        <v>4781</v>
      </c>
      <c r="M1883" s="5">
        <v>40</v>
      </c>
      <c r="Q1883" s="107"/>
      <c r="R1883" s="6"/>
      <c r="S1883" s="6"/>
    </row>
    <row r="1884" spans="1:21" x14ac:dyDescent="0.2">
      <c r="A1884" s="5">
        <v>1919</v>
      </c>
      <c r="B1884" s="8" t="s">
        <v>5013</v>
      </c>
      <c r="H1884" s="8" t="s">
        <v>5014</v>
      </c>
      <c r="I1884" s="8" t="s">
        <v>5015</v>
      </c>
      <c r="J1884" s="5">
        <v>8</v>
      </c>
      <c r="K1884" s="5" t="s">
        <v>292</v>
      </c>
      <c r="L1884" s="5" t="s">
        <v>4781</v>
      </c>
      <c r="M1884" s="5">
        <v>41</v>
      </c>
      <c r="N1884" s="5" t="s">
        <v>3797</v>
      </c>
      <c r="O1884" s="5" t="s">
        <v>574</v>
      </c>
      <c r="Q1884" s="10" t="s">
        <v>5016</v>
      </c>
      <c r="R1884" s="6"/>
      <c r="S1884" s="6" t="s">
        <v>328</v>
      </c>
    </row>
    <row r="1885" spans="1:21" x14ac:dyDescent="0.2">
      <c r="A1885" s="5">
        <v>1920</v>
      </c>
      <c r="B1885" s="8" t="s">
        <v>5017</v>
      </c>
      <c r="H1885" s="8" t="s">
        <v>5018</v>
      </c>
      <c r="I1885" s="8" t="s">
        <v>5019</v>
      </c>
      <c r="J1885" s="5">
        <v>362</v>
      </c>
      <c r="K1885" s="5" t="s">
        <v>292</v>
      </c>
      <c r="L1885" s="5" t="s">
        <v>4781</v>
      </c>
      <c r="M1885" s="5">
        <v>41</v>
      </c>
      <c r="N1885" s="5" t="s">
        <v>3797</v>
      </c>
      <c r="O1885" s="5" t="s">
        <v>574</v>
      </c>
      <c r="Q1885" s="10" t="s">
        <v>5020</v>
      </c>
      <c r="R1885" s="6"/>
      <c r="S1885" s="6" t="s">
        <v>328</v>
      </c>
    </row>
    <row r="1886" spans="1:21" x14ac:dyDescent="0.2">
      <c r="A1886" s="5">
        <v>1921</v>
      </c>
      <c r="B1886" s="8" t="s">
        <v>5021</v>
      </c>
      <c r="H1886" s="8" t="s">
        <v>5022</v>
      </c>
      <c r="I1886" s="8" t="s">
        <v>5023</v>
      </c>
      <c r="J1886" s="5">
        <v>7</v>
      </c>
      <c r="K1886" s="5" t="s">
        <v>292</v>
      </c>
      <c r="L1886" s="5" t="s">
        <v>4781</v>
      </c>
      <c r="M1886" s="5">
        <v>41</v>
      </c>
      <c r="N1886" s="5" t="s">
        <v>3797</v>
      </c>
      <c r="O1886" s="5" t="s">
        <v>574</v>
      </c>
      <c r="Q1886" s="10" t="s">
        <v>553</v>
      </c>
      <c r="R1886" s="6"/>
      <c r="S1886" s="6" t="s">
        <v>328</v>
      </c>
    </row>
    <row r="1887" spans="1:21" x14ac:dyDescent="0.2">
      <c r="A1887" s="5">
        <v>1922</v>
      </c>
      <c r="B1887" s="8" t="s">
        <v>5024</v>
      </c>
      <c r="H1887" s="8" t="s">
        <v>5024</v>
      </c>
      <c r="I1887" s="8" t="s">
        <v>5025</v>
      </c>
      <c r="J1887" s="5">
        <v>8</v>
      </c>
      <c r="K1887" s="5" t="s">
        <v>292</v>
      </c>
      <c r="L1887" s="5" t="s">
        <v>4781</v>
      </c>
      <c r="M1887" s="5">
        <v>42</v>
      </c>
      <c r="N1887" s="5" t="s">
        <v>3797</v>
      </c>
      <c r="O1887" s="5" t="s">
        <v>574</v>
      </c>
      <c r="Q1887" s="10" t="s">
        <v>553</v>
      </c>
      <c r="R1887" s="6"/>
      <c r="S1887" s="6" t="s">
        <v>328</v>
      </c>
    </row>
    <row r="1888" spans="1:21" x14ac:dyDescent="0.2">
      <c r="A1888" s="5">
        <v>1923</v>
      </c>
      <c r="B1888" s="8" t="s">
        <v>5026</v>
      </c>
      <c r="H1888" s="8" t="s">
        <v>5026</v>
      </c>
      <c r="I1888" s="8" t="s">
        <v>5027</v>
      </c>
      <c r="J1888" s="5">
        <v>10</v>
      </c>
      <c r="K1888" s="5" t="s">
        <v>292</v>
      </c>
      <c r="L1888" s="5" t="s">
        <v>4781</v>
      </c>
      <c r="M1888" s="5">
        <v>42</v>
      </c>
      <c r="N1888" s="5" t="s">
        <v>3797</v>
      </c>
      <c r="O1888" s="5" t="s">
        <v>574</v>
      </c>
      <c r="Q1888" s="10" t="s">
        <v>553</v>
      </c>
      <c r="R1888" s="6"/>
      <c r="S1888" s="6" t="s">
        <v>328</v>
      </c>
    </row>
    <row r="1889" spans="1:21" x14ac:dyDescent="0.2">
      <c r="A1889" s="5">
        <v>1924</v>
      </c>
      <c r="B1889" s="8" t="s">
        <v>5028</v>
      </c>
      <c r="H1889" s="8" t="s">
        <v>5028</v>
      </c>
      <c r="I1889" s="8" t="s">
        <v>5029</v>
      </c>
      <c r="J1889" s="5">
        <v>1</v>
      </c>
      <c r="K1889" s="5" t="s">
        <v>292</v>
      </c>
      <c r="L1889" s="5" t="s">
        <v>4781</v>
      </c>
      <c r="M1889" s="5">
        <v>42</v>
      </c>
      <c r="N1889" s="5" t="s">
        <v>3797</v>
      </c>
      <c r="O1889" s="5" t="s">
        <v>574</v>
      </c>
      <c r="Q1889" s="10" t="s">
        <v>553</v>
      </c>
      <c r="R1889" s="6"/>
      <c r="S1889" s="6" t="s">
        <v>328</v>
      </c>
    </row>
    <row r="1890" spans="1:21" x14ac:dyDescent="0.2">
      <c r="A1890" s="5">
        <v>1925</v>
      </c>
      <c r="B1890" s="8" t="s">
        <v>5030</v>
      </c>
      <c r="H1890" s="8" t="s">
        <v>5030</v>
      </c>
      <c r="I1890" s="8" t="s">
        <v>5025</v>
      </c>
      <c r="J1890" s="5">
        <v>4</v>
      </c>
      <c r="K1890" s="5" t="s">
        <v>292</v>
      </c>
      <c r="L1890" s="5" t="s">
        <v>4781</v>
      </c>
      <c r="M1890" s="5">
        <v>42</v>
      </c>
      <c r="N1890" s="5" t="s">
        <v>3797</v>
      </c>
      <c r="O1890" s="5" t="s">
        <v>574</v>
      </c>
      <c r="Q1890" s="10" t="s">
        <v>553</v>
      </c>
    </row>
    <row r="1891" spans="1:21" x14ac:dyDescent="0.2">
      <c r="A1891" s="5">
        <v>2304</v>
      </c>
      <c r="B1891" s="8" t="s">
        <v>5031</v>
      </c>
      <c r="H1891" s="8" t="s">
        <v>5032</v>
      </c>
      <c r="I1891" s="8" t="s">
        <v>5032</v>
      </c>
      <c r="J1891" s="5">
        <v>2</v>
      </c>
      <c r="K1891" s="5" t="s">
        <v>292</v>
      </c>
      <c r="L1891" s="5" t="s">
        <v>4781</v>
      </c>
      <c r="M1891" s="5">
        <v>42</v>
      </c>
      <c r="N1891" s="5" t="s">
        <v>5025</v>
      </c>
      <c r="O1891" s="5" t="s">
        <v>574</v>
      </c>
      <c r="Q1891" s="5" t="s">
        <v>5033</v>
      </c>
    </row>
    <row r="1892" spans="1:21" x14ac:dyDescent="0.2">
      <c r="A1892" s="5">
        <v>2305</v>
      </c>
      <c r="B1892" s="8" t="s">
        <v>5034</v>
      </c>
      <c r="H1892" s="8" t="s">
        <v>5035</v>
      </c>
      <c r="I1892" s="8" t="s">
        <v>5035</v>
      </c>
      <c r="J1892" s="5">
        <v>4</v>
      </c>
      <c r="K1892" s="5" t="s">
        <v>292</v>
      </c>
      <c r="L1892" s="5" t="s">
        <v>4781</v>
      </c>
      <c r="M1892" s="5">
        <v>42</v>
      </c>
      <c r="N1892" s="5" t="s">
        <v>5025</v>
      </c>
      <c r="O1892" s="5" t="s">
        <v>574</v>
      </c>
      <c r="Q1892" s="5" t="s">
        <v>5036</v>
      </c>
    </row>
    <row r="1893" spans="1:21" x14ac:dyDescent="0.2">
      <c r="A1893" s="5">
        <v>2316</v>
      </c>
      <c r="B1893" s="8" t="s">
        <v>5037</v>
      </c>
      <c r="H1893" s="8" t="s">
        <v>5038</v>
      </c>
      <c r="I1893" s="8" t="s">
        <v>5038</v>
      </c>
      <c r="J1893" s="5">
        <v>26</v>
      </c>
      <c r="K1893" s="5" t="s">
        <v>292</v>
      </c>
      <c r="L1893" s="5" t="s">
        <v>4781</v>
      </c>
      <c r="M1893" s="5">
        <v>42</v>
      </c>
      <c r="N1893" s="5" t="s">
        <v>5025</v>
      </c>
      <c r="O1893" s="5" t="s">
        <v>574</v>
      </c>
      <c r="Q1893" s="5" t="s">
        <v>5039</v>
      </c>
    </row>
    <row r="1894" spans="1:21" x14ac:dyDescent="0.2">
      <c r="A1894" s="5">
        <v>2324</v>
      </c>
      <c r="B1894" s="8" t="s">
        <v>5040</v>
      </c>
      <c r="H1894" s="8" t="s">
        <v>5041</v>
      </c>
      <c r="I1894" s="8" t="s">
        <v>5041</v>
      </c>
      <c r="J1894" s="5">
        <v>0</v>
      </c>
      <c r="K1894" s="5" t="s">
        <v>292</v>
      </c>
      <c r="L1894" s="5" t="s">
        <v>4781</v>
      </c>
      <c r="M1894" s="5">
        <v>42</v>
      </c>
      <c r="N1894" s="5" t="s">
        <v>5025</v>
      </c>
      <c r="O1894" s="5" t="s">
        <v>574</v>
      </c>
      <c r="Q1894" s="5" t="s">
        <v>5042</v>
      </c>
    </row>
    <row r="1895" spans="1:21" x14ac:dyDescent="0.2">
      <c r="A1895" s="5">
        <v>2390</v>
      </c>
      <c r="B1895" s="8" t="s">
        <v>5043</v>
      </c>
      <c r="H1895" s="8" t="s">
        <v>5044</v>
      </c>
      <c r="I1895" s="8" t="s">
        <v>5044</v>
      </c>
      <c r="J1895" s="5">
        <v>4</v>
      </c>
      <c r="K1895" s="5" t="s">
        <v>292</v>
      </c>
      <c r="L1895" s="5" t="s">
        <v>4781</v>
      </c>
      <c r="M1895" s="5">
        <v>43</v>
      </c>
      <c r="N1895" s="5" t="s">
        <v>5025</v>
      </c>
      <c r="O1895" s="5" t="s">
        <v>520</v>
      </c>
      <c r="Q1895" s="33" t="s">
        <v>5045</v>
      </c>
    </row>
    <row r="1896" spans="1:21" x14ac:dyDescent="0.2">
      <c r="A1896" s="5">
        <v>2392</v>
      </c>
      <c r="B1896" s="8" t="s">
        <v>5043</v>
      </c>
      <c r="H1896" s="8" t="s">
        <v>5044</v>
      </c>
      <c r="I1896" s="8" t="s">
        <v>5044</v>
      </c>
      <c r="J1896" s="5">
        <v>7</v>
      </c>
      <c r="K1896" s="5" t="s">
        <v>292</v>
      </c>
      <c r="L1896" s="5" t="s">
        <v>4781</v>
      </c>
      <c r="M1896" s="5">
        <v>43</v>
      </c>
      <c r="N1896" s="5" t="s">
        <v>5025</v>
      </c>
      <c r="O1896" s="5" t="s">
        <v>520</v>
      </c>
      <c r="Q1896" s="5" t="s">
        <v>5045</v>
      </c>
      <c r="U1896" t="s">
        <v>5046</v>
      </c>
    </row>
    <row r="1897" spans="1:21" x14ac:dyDescent="0.2">
      <c r="A1897" s="5">
        <v>2398</v>
      </c>
      <c r="B1897" s="8" t="s">
        <v>5047</v>
      </c>
      <c r="D1897" s="8" t="s">
        <v>5048</v>
      </c>
      <c r="E1897" s="24">
        <v>43687</v>
      </c>
      <c r="F1897" s="8" t="s">
        <v>259</v>
      </c>
      <c r="G1897" s="8" t="s">
        <v>260</v>
      </c>
      <c r="H1897" s="8" t="s">
        <v>5049</v>
      </c>
      <c r="I1897" s="8" t="s">
        <v>5015</v>
      </c>
      <c r="J1897" s="5">
        <f>22-6-6-4+6-8+8+8-16</f>
        <v>4</v>
      </c>
      <c r="K1897" s="5" t="s">
        <v>292</v>
      </c>
      <c r="L1897" s="5" t="s">
        <v>4781</v>
      </c>
      <c r="M1897" s="5">
        <v>43</v>
      </c>
      <c r="N1897" s="5" t="s">
        <v>5050</v>
      </c>
      <c r="O1897" s="5" t="s">
        <v>520</v>
      </c>
      <c r="Q1897" s="5" t="s">
        <v>3820</v>
      </c>
      <c r="R1897" s="6"/>
      <c r="S1897" s="6"/>
    </row>
    <row r="1898" spans="1:21" x14ac:dyDescent="0.2">
      <c r="A1898" s="5"/>
      <c r="B1898" s="8" t="s">
        <v>5051</v>
      </c>
      <c r="I1898" s="8" t="s">
        <v>5052</v>
      </c>
      <c r="J1898" s="5">
        <f>14</f>
        <v>14</v>
      </c>
      <c r="K1898" s="5" t="s">
        <v>292</v>
      </c>
      <c r="L1898" s="5" t="s">
        <v>4781</v>
      </c>
      <c r="M1898" s="5">
        <v>43</v>
      </c>
      <c r="R1898" s="6"/>
      <c r="S1898" s="6"/>
    </row>
    <row r="1899" spans="1:21" x14ac:dyDescent="0.2">
      <c r="A1899" s="5">
        <v>1926</v>
      </c>
      <c r="B1899" s="8" t="s">
        <v>5053</v>
      </c>
      <c r="H1899" s="8" t="s">
        <v>5054</v>
      </c>
      <c r="I1899" s="8" t="s">
        <v>5054</v>
      </c>
      <c r="J1899" s="5">
        <v>8</v>
      </c>
      <c r="K1899" s="5" t="s">
        <v>292</v>
      </c>
      <c r="L1899" s="5" t="s">
        <v>4781</v>
      </c>
      <c r="M1899" s="5">
        <v>44</v>
      </c>
      <c r="N1899" s="5" t="s">
        <v>3797</v>
      </c>
      <c r="O1899" s="5" t="s">
        <v>574</v>
      </c>
      <c r="Q1899" s="5" t="s">
        <v>5055</v>
      </c>
      <c r="R1899" s="6"/>
      <c r="S1899" s="6"/>
    </row>
    <row r="1900" spans="1:21" x14ac:dyDescent="0.2">
      <c r="A1900" s="5">
        <v>1927</v>
      </c>
      <c r="B1900" s="8" t="s">
        <v>5056</v>
      </c>
      <c r="H1900" s="8" t="s">
        <v>5057</v>
      </c>
      <c r="I1900" s="8" t="s">
        <v>5057</v>
      </c>
      <c r="J1900" s="5">
        <v>10</v>
      </c>
      <c r="K1900" s="5" t="s">
        <v>292</v>
      </c>
      <c r="L1900" s="5" t="s">
        <v>4781</v>
      </c>
      <c r="M1900" s="5">
        <v>44</v>
      </c>
      <c r="N1900" s="5" t="s">
        <v>3797</v>
      </c>
      <c r="O1900" s="5" t="s">
        <v>574</v>
      </c>
      <c r="Q1900" s="5" t="s">
        <v>5058</v>
      </c>
      <c r="R1900" s="6"/>
      <c r="S1900" s="6" t="s">
        <v>328</v>
      </c>
    </row>
    <row r="1901" spans="1:21" x14ac:dyDescent="0.2">
      <c r="A1901" s="5">
        <v>1928</v>
      </c>
      <c r="B1901" s="8" t="s">
        <v>5059</v>
      </c>
      <c r="H1901" s="8" t="s">
        <v>5059</v>
      </c>
      <c r="I1901" s="8" t="s">
        <v>5060</v>
      </c>
      <c r="J1901" s="5">
        <v>8</v>
      </c>
      <c r="K1901" s="5" t="s">
        <v>292</v>
      </c>
      <c r="L1901" s="5" t="s">
        <v>4781</v>
      </c>
      <c r="M1901" s="5">
        <v>44</v>
      </c>
      <c r="N1901" s="5" t="s">
        <v>3797</v>
      </c>
      <c r="O1901" s="5" t="s">
        <v>574</v>
      </c>
      <c r="Q1901" s="10" t="s">
        <v>553</v>
      </c>
      <c r="R1901" s="6"/>
      <c r="S1901" s="6"/>
    </row>
    <row r="1902" spans="1:21" x14ac:dyDescent="0.2">
      <c r="A1902" s="5">
        <v>1929</v>
      </c>
      <c r="B1902" s="8" t="s">
        <v>5061</v>
      </c>
      <c r="H1902" s="8" t="s">
        <v>5062</v>
      </c>
      <c r="I1902" s="8" t="s">
        <v>5062</v>
      </c>
      <c r="J1902" s="5">
        <v>16</v>
      </c>
      <c r="K1902" s="5" t="s">
        <v>292</v>
      </c>
      <c r="L1902" s="5" t="s">
        <v>4781</v>
      </c>
      <c r="M1902" s="5">
        <v>44</v>
      </c>
      <c r="N1902" s="5" t="s">
        <v>3797</v>
      </c>
      <c r="O1902" s="5" t="s">
        <v>574</v>
      </c>
      <c r="Q1902" s="5" t="s">
        <v>5063</v>
      </c>
      <c r="R1902" s="6"/>
      <c r="S1902" s="6"/>
    </row>
    <row r="1903" spans="1:21" x14ac:dyDescent="0.2">
      <c r="A1903" s="5">
        <v>1930</v>
      </c>
      <c r="B1903" s="8" t="s">
        <v>5064</v>
      </c>
      <c r="H1903" s="8" t="s">
        <v>5065</v>
      </c>
      <c r="I1903" s="8" t="s">
        <v>5065</v>
      </c>
      <c r="J1903" s="5">
        <v>9</v>
      </c>
      <c r="K1903" s="5" t="s">
        <v>292</v>
      </c>
      <c r="L1903" s="5" t="s">
        <v>4781</v>
      </c>
      <c r="M1903" s="5">
        <v>44</v>
      </c>
      <c r="N1903" s="5" t="s">
        <v>3797</v>
      </c>
      <c r="O1903" s="5" t="s">
        <v>574</v>
      </c>
      <c r="Q1903" s="5" t="s">
        <v>5058</v>
      </c>
      <c r="R1903" s="6"/>
      <c r="S1903" s="6" t="s">
        <v>328</v>
      </c>
    </row>
    <row r="1904" spans="1:21" x14ac:dyDescent="0.2">
      <c r="A1904" s="5">
        <v>1931</v>
      </c>
      <c r="B1904" s="8" t="s">
        <v>5066</v>
      </c>
      <c r="H1904" s="8" t="s">
        <v>5067</v>
      </c>
      <c r="I1904" s="8" t="s">
        <v>5068</v>
      </c>
      <c r="J1904" s="5">
        <v>4</v>
      </c>
      <c r="K1904" s="5" t="s">
        <v>292</v>
      </c>
      <c r="L1904" s="5" t="s">
        <v>4781</v>
      </c>
      <c r="M1904" s="5">
        <v>45</v>
      </c>
      <c r="N1904" s="5" t="s">
        <v>3797</v>
      </c>
      <c r="O1904" s="5" t="s">
        <v>574</v>
      </c>
      <c r="Q1904" s="10" t="s">
        <v>553</v>
      </c>
      <c r="R1904" s="6"/>
      <c r="S1904" s="6" t="s">
        <v>328</v>
      </c>
    </row>
    <row r="1905" spans="1:19" x14ac:dyDescent="0.2">
      <c r="A1905" s="5">
        <v>1932</v>
      </c>
      <c r="B1905" s="8" t="s">
        <v>5069</v>
      </c>
      <c r="H1905" s="8" t="s">
        <v>5070</v>
      </c>
      <c r="I1905" s="8" t="s">
        <v>5071</v>
      </c>
      <c r="J1905" s="5">
        <v>5</v>
      </c>
      <c r="K1905" s="5" t="s">
        <v>292</v>
      </c>
      <c r="L1905" s="5" t="s">
        <v>4781</v>
      </c>
      <c r="M1905" s="5">
        <v>45</v>
      </c>
      <c r="N1905" s="5" t="s">
        <v>3797</v>
      </c>
      <c r="O1905" s="5" t="s">
        <v>574</v>
      </c>
      <c r="Q1905" s="10" t="s">
        <v>553</v>
      </c>
      <c r="R1905" s="6"/>
      <c r="S1905" s="6" t="s">
        <v>328</v>
      </c>
    </row>
    <row r="1906" spans="1:19" x14ac:dyDescent="0.2">
      <c r="A1906" s="5">
        <v>1933</v>
      </c>
      <c r="B1906" s="8" t="s">
        <v>5060</v>
      </c>
      <c r="H1906" s="8" t="s">
        <v>5072</v>
      </c>
      <c r="I1906" s="8" t="s">
        <v>5060</v>
      </c>
      <c r="J1906" s="5">
        <v>8</v>
      </c>
      <c r="K1906" s="5" t="s">
        <v>292</v>
      </c>
      <c r="L1906" s="5" t="s">
        <v>4781</v>
      </c>
      <c r="M1906" s="5">
        <v>45</v>
      </c>
      <c r="N1906" s="5" t="s">
        <v>3797</v>
      </c>
      <c r="O1906" s="5" t="s">
        <v>574</v>
      </c>
      <c r="Q1906" s="10" t="s">
        <v>553</v>
      </c>
      <c r="R1906" s="6"/>
      <c r="S1906" s="6"/>
    </row>
    <row r="1907" spans="1:19" x14ac:dyDescent="0.2">
      <c r="A1907" s="5">
        <v>1934</v>
      </c>
      <c r="B1907" s="8" t="s">
        <v>5073</v>
      </c>
      <c r="H1907" s="8" t="s">
        <v>5074</v>
      </c>
      <c r="I1907" s="8" t="s">
        <v>5075</v>
      </c>
      <c r="J1907" s="5">
        <v>10</v>
      </c>
      <c r="K1907" s="5" t="s">
        <v>292</v>
      </c>
      <c r="L1907" s="5" t="s">
        <v>4781</v>
      </c>
      <c r="M1907" s="5">
        <v>45</v>
      </c>
      <c r="N1907" s="5" t="s">
        <v>3797</v>
      </c>
      <c r="O1907" s="5" t="s">
        <v>574</v>
      </c>
      <c r="Q1907" s="10" t="s">
        <v>5076</v>
      </c>
      <c r="R1907" s="6"/>
      <c r="S1907" s="6"/>
    </row>
    <row r="1908" spans="1:19" x14ac:dyDescent="0.2">
      <c r="A1908" s="5">
        <v>1935</v>
      </c>
      <c r="B1908" s="8" t="s">
        <v>5077</v>
      </c>
      <c r="H1908" s="8" t="s">
        <v>5078</v>
      </c>
      <c r="I1908" s="8" t="s">
        <v>5079</v>
      </c>
      <c r="J1908" s="5">
        <f>7-1</f>
        <v>6</v>
      </c>
      <c r="K1908" s="5" t="s">
        <v>292</v>
      </c>
      <c r="L1908" s="5" t="s">
        <v>4781</v>
      </c>
      <c r="M1908" s="5">
        <v>45</v>
      </c>
      <c r="N1908" s="5" t="s">
        <v>3797</v>
      </c>
      <c r="O1908" s="5" t="s">
        <v>574</v>
      </c>
      <c r="Q1908" s="5" t="s">
        <v>5080</v>
      </c>
      <c r="R1908" s="6"/>
      <c r="S1908" s="6"/>
    </row>
    <row r="1909" spans="1:19" x14ac:dyDescent="0.2">
      <c r="A1909" s="5">
        <v>1936</v>
      </c>
      <c r="B1909" s="8" t="s">
        <v>5081</v>
      </c>
      <c r="H1909" s="8" t="s">
        <v>5082</v>
      </c>
      <c r="I1909" s="8" t="s">
        <v>5083</v>
      </c>
      <c r="J1909" s="5">
        <f>16-2</f>
        <v>14</v>
      </c>
      <c r="K1909" s="5" t="s">
        <v>292</v>
      </c>
      <c r="L1909" s="5" t="s">
        <v>4781</v>
      </c>
      <c r="M1909" s="5">
        <v>45</v>
      </c>
      <c r="N1909" s="5" t="s">
        <v>3797</v>
      </c>
      <c r="O1909" s="5" t="s">
        <v>574</v>
      </c>
      <c r="Q1909" s="5" t="s">
        <v>5084</v>
      </c>
      <c r="R1909" s="6"/>
      <c r="S1909" s="6"/>
    </row>
    <row r="1910" spans="1:19" x14ac:dyDescent="0.2">
      <c r="A1910" s="5">
        <v>1937</v>
      </c>
      <c r="B1910" s="8" t="s">
        <v>5085</v>
      </c>
      <c r="H1910" s="8" t="s">
        <v>5086</v>
      </c>
      <c r="I1910" s="8" t="s">
        <v>5087</v>
      </c>
      <c r="J1910" s="5">
        <v>9</v>
      </c>
      <c r="K1910" s="5" t="s">
        <v>292</v>
      </c>
      <c r="L1910" s="5" t="s">
        <v>4781</v>
      </c>
      <c r="M1910" s="5">
        <v>45</v>
      </c>
      <c r="N1910" s="5" t="s">
        <v>3797</v>
      </c>
      <c r="O1910" s="5" t="s">
        <v>574</v>
      </c>
      <c r="Q1910" s="5" t="s">
        <v>5088</v>
      </c>
      <c r="R1910" s="6"/>
      <c r="S1910" s="6"/>
    </row>
    <row r="1911" spans="1:19" x14ac:dyDescent="0.2">
      <c r="A1911" s="5">
        <v>1938</v>
      </c>
      <c r="B1911" s="8" t="s">
        <v>5089</v>
      </c>
      <c r="H1911" s="8" t="s">
        <v>5090</v>
      </c>
      <c r="I1911" s="8" t="s">
        <v>5090</v>
      </c>
      <c r="J1911" s="5">
        <v>6</v>
      </c>
      <c r="K1911" s="5" t="s">
        <v>292</v>
      </c>
      <c r="L1911" s="5" t="s">
        <v>4781</v>
      </c>
      <c r="M1911" s="5">
        <v>45</v>
      </c>
      <c r="N1911" s="5" t="s">
        <v>3797</v>
      </c>
      <c r="O1911" s="5" t="s">
        <v>574</v>
      </c>
      <c r="Q1911" s="5" t="s">
        <v>5091</v>
      </c>
      <c r="R1911" s="6"/>
      <c r="S1911" s="6"/>
    </row>
    <row r="1912" spans="1:19" x14ac:dyDescent="0.2">
      <c r="A1912" s="5">
        <v>1939</v>
      </c>
      <c r="B1912" s="8" t="s">
        <v>5092</v>
      </c>
      <c r="H1912" s="8" t="s">
        <v>5093</v>
      </c>
      <c r="I1912" s="8" t="s">
        <v>5093</v>
      </c>
      <c r="J1912" s="5">
        <f>20-2-4-4</f>
        <v>10</v>
      </c>
      <c r="K1912" s="5" t="s">
        <v>292</v>
      </c>
      <c r="L1912" s="5" t="s">
        <v>4781</v>
      </c>
      <c r="M1912" s="5">
        <v>46</v>
      </c>
      <c r="N1912" s="5" t="s">
        <v>3797</v>
      </c>
      <c r="O1912" s="5" t="s">
        <v>574</v>
      </c>
      <c r="Q1912" s="5" t="s">
        <v>5094</v>
      </c>
      <c r="R1912" s="6"/>
      <c r="S1912" s="6"/>
    </row>
    <row r="1913" spans="1:19" x14ac:dyDescent="0.2">
      <c r="A1913" s="5">
        <v>1940</v>
      </c>
      <c r="B1913" s="8" t="s">
        <v>5095</v>
      </c>
      <c r="H1913" s="8" t="s">
        <v>5096</v>
      </c>
      <c r="I1913" s="8" t="s">
        <v>5097</v>
      </c>
      <c r="J1913" s="5">
        <v>8</v>
      </c>
      <c r="K1913" s="5" t="s">
        <v>292</v>
      </c>
      <c r="L1913" s="5" t="s">
        <v>4781</v>
      </c>
      <c r="M1913" s="5">
        <v>46</v>
      </c>
      <c r="N1913" s="5" t="s">
        <v>3797</v>
      </c>
      <c r="O1913" s="5" t="s">
        <v>574</v>
      </c>
      <c r="Q1913" s="5" t="s">
        <v>5098</v>
      </c>
      <c r="R1913" s="6"/>
      <c r="S1913" s="6"/>
    </row>
    <row r="1914" spans="1:19" x14ac:dyDescent="0.2">
      <c r="A1914" s="5">
        <v>1941</v>
      </c>
      <c r="B1914" s="8" t="s">
        <v>5099</v>
      </c>
      <c r="H1914" s="8" t="s">
        <v>5100</v>
      </c>
      <c r="I1914" s="8" t="s">
        <v>5100</v>
      </c>
      <c r="J1914" s="5">
        <v>39</v>
      </c>
      <c r="K1914" s="5" t="s">
        <v>292</v>
      </c>
      <c r="L1914" s="5" t="s">
        <v>4781</v>
      </c>
      <c r="M1914" s="5">
        <v>46</v>
      </c>
      <c r="N1914" s="5" t="s">
        <v>3797</v>
      </c>
      <c r="O1914" s="5" t="s">
        <v>574</v>
      </c>
      <c r="Q1914" s="5" t="s">
        <v>5101</v>
      </c>
      <c r="R1914" s="6"/>
      <c r="S1914" s="6"/>
    </row>
    <row r="1915" spans="1:19" x14ac:dyDescent="0.2">
      <c r="A1915" s="5">
        <v>1942</v>
      </c>
      <c r="B1915" s="8" t="s">
        <v>5102</v>
      </c>
      <c r="H1915" s="8" t="s">
        <v>5103</v>
      </c>
      <c r="I1915" s="8" t="s">
        <v>5104</v>
      </c>
      <c r="J1915" s="5">
        <v>4</v>
      </c>
      <c r="K1915" s="5" t="s">
        <v>292</v>
      </c>
      <c r="L1915" s="5" t="s">
        <v>4781</v>
      </c>
      <c r="M1915" s="5">
        <v>46</v>
      </c>
      <c r="N1915" s="5" t="s">
        <v>3797</v>
      </c>
      <c r="O1915" s="5" t="s">
        <v>574</v>
      </c>
      <c r="Q1915" s="5" t="s">
        <v>5094</v>
      </c>
      <c r="R1915" s="6"/>
      <c r="S1915" s="6"/>
    </row>
    <row r="1916" spans="1:19" x14ac:dyDescent="0.2">
      <c r="A1916" s="5">
        <v>1943</v>
      </c>
      <c r="B1916" s="8" t="s">
        <v>5105</v>
      </c>
      <c r="H1916" s="8" t="s">
        <v>5106</v>
      </c>
      <c r="I1916" s="8" t="s">
        <v>5106</v>
      </c>
      <c r="J1916" s="5">
        <v>102</v>
      </c>
      <c r="K1916" s="5" t="s">
        <v>292</v>
      </c>
      <c r="L1916" s="5" t="s">
        <v>4781</v>
      </c>
      <c r="M1916" s="5">
        <v>46</v>
      </c>
      <c r="N1916" s="5" t="s">
        <v>3797</v>
      </c>
      <c r="O1916" s="5" t="s">
        <v>574</v>
      </c>
      <c r="Q1916" s="5" t="s">
        <v>5107</v>
      </c>
      <c r="R1916" s="6"/>
      <c r="S1916" s="6"/>
    </row>
    <row r="1917" spans="1:19" x14ac:dyDescent="0.2">
      <c r="A1917" s="5">
        <v>1944</v>
      </c>
      <c r="B1917" s="8" t="s">
        <v>5108</v>
      </c>
      <c r="H1917" s="8" t="s">
        <v>5109</v>
      </c>
      <c r="I1917" s="8" t="s">
        <v>5109</v>
      </c>
      <c r="J1917" s="5">
        <v>16</v>
      </c>
      <c r="K1917" s="5" t="s">
        <v>292</v>
      </c>
      <c r="L1917" s="5" t="s">
        <v>4781</v>
      </c>
      <c r="M1917" s="5">
        <v>46</v>
      </c>
      <c r="N1917" s="5" t="s">
        <v>3797</v>
      </c>
      <c r="O1917" s="5" t="s">
        <v>574</v>
      </c>
      <c r="Q1917" s="5" t="s">
        <v>5063</v>
      </c>
      <c r="R1917" s="6"/>
      <c r="S1917" s="6"/>
    </row>
    <row r="1918" spans="1:19" x14ac:dyDescent="0.2">
      <c r="A1918" s="5">
        <v>1945</v>
      </c>
      <c r="B1918" s="8" t="s">
        <v>5110</v>
      </c>
      <c r="H1918" s="8" t="s">
        <v>5111</v>
      </c>
      <c r="I1918" s="8" t="s">
        <v>5111</v>
      </c>
      <c r="J1918" s="5">
        <v>5</v>
      </c>
      <c r="K1918" s="5" t="s">
        <v>292</v>
      </c>
      <c r="L1918" s="5" t="s">
        <v>4781</v>
      </c>
      <c r="M1918" s="5">
        <v>46</v>
      </c>
      <c r="N1918" s="5" t="s">
        <v>3797</v>
      </c>
      <c r="O1918" s="5" t="s">
        <v>574</v>
      </c>
      <c r="Q1918" s="5" t="s">
        <v>5107</v>
      </c>
      <c r="R1918" s="6"/>
      <c r="S1918" s="6"/>
    </row>
    <row r="1919" spans="1:19" x14ac:dyDescent="0.2">
      <c r="A1919" s="5">
        <v>1946</v>
      </c>
      <c r="B1919" s="8" t="s">
        <v>5112</v>
      </c>
      <c r="H1919" s="8" t="s">
        <v>5113</v>
      </c>
      <c r="I1919" s="8" t="s">
        <v>5113</v>
      </c>
      <c r="J1919" s="5">
        <v>4</v>
      </c>
      <c r="K1919" s="5" t="s">
        <v>292</v>
      </c>
      <c r="L1919" s="5" t="s">
        <v>4781</v>
      </c>
      <c r="M1919" s="5">
        <v>46</v>
      </c>
      <c r="N1919" s="5" t="s">
        <v>3797</v>
      </c>
      <c r="O1919" s="5" t="s">
        <v>574</v>
      </c>
      <c r="Q1919" s="5" t="s">
        <v>5114</v>
      </c>
      <c r="R1919" s="6"/>
      <c r="S1919" s="6"/>
    </row>
    <row r="1920" spans="1:19" x14ac:dyDescent="0.2">
      <c r="A1920" s="5">
        <v>1947</v>
      </c>
      <c r="B1920" s="8" t="s">
        <v>5115</v>
      </c>
      <c r="H1920" s="8" t="s">
        <v>5116</v>
      </c>
      <c r="I1920" s="8" t="s">
        <v>5116</v>
      </c>
      <c r="J1920" s="5">
        <v>6</v>
      </c>
      <c r="K1920" s="5" t="s">
        <v>292</v>
      </c>
      <c r="L1920" s="5" t="s">
        <v>4781</v>
      </c>
      <c r="M1920" s="5">
        <v>46</v>
      </c>
      <c r="N1920" s="5" t="s">
        <v>3797</v>
      </c>
      <c r="O1920" s="5" t="s">
        <v>574</v>
      </c>
      <c r="Q1920" s="5" t="s">
        <v>5117</v>
      </c>
      <c r="R1920" s="6"/>
      <c r="S1920" s="6"/>
    </row>
    <row r="1921" spans="1:21" x14ac:dyDescent="0.2">
      <c r="A1921" s="5">
        <v>1948</v>
      </c>
      <c r="B1921" s="8" t="s">
        <v>5118</v>
      </c>
      <c r="H1921" s="8" t="s">
        <v>5119</v>
      </c>
      <c r="I1921" s="8" t="s">
        <v>5119</v>
      </c>
      <c r="J1921" s="5">
        <v>4</v>
      </c>
      <c r="K1921" s="5" t="s">
        <v>292</v>
      </c>
      <c r="L1921" s="5" t="s">
        <v>4781</v>
      </c>
      <c r="M1921" s="5">
        <v>46</v>
      </c>
      <c r="N1921" s="5" t="s">
        <v>3797</v>
      </c>
      <c r="O1921" s="5" t="s">
        <v>574</v>
      </c>
      <c r="Q1921" s="5" t="s">
        <v>5117</v>
      </c>
      <c r="R1921" s="6"/>
      <c r="S1921" s="6"/>
    </row>
    <row r="1922" spans="1:21" x14ac:dyDescent="0.2">
      <c r="A1922" s="5">
        <v>1949</v>
      </c>
      <c r="B1922" s="8" t="s">
        <v>5120</v>
      </c>
      <c r="H1922" s="8" t="s">
        <v>5121</v>
      </c>
      <c r="I1922" s="8" t="s">
        <v>5121</v>
      </c>
      <c r="J1922" s="5">
        <v>0</v>
      </c>
      <c r="K1922" s="5" t="s">
        <v>292</v>
      </c>
      <c r="L1922" s="5" t="s">
        <v>4781</v>
      </c>
      <c r="M1922" s="5">
        <v>46</v>
      </c>
      <c r="N1922" s="5" t="s">
        <v>3797</v>
      </c>
      <c r="O1922" s="5" t="s">
        <v>574</v>
      </c>
      <c r="Q1922" s="5" t="s">
        <v>5080</v>
      </c>
      <c r="R1922" s="6"/>
      <c r="S1922" s="6"/>
    </row>
    <row r="1923" spans="1:21" x14ac:dyDescent="0.2">
      <c r="A1923" s="5">
        <v>1950</v>
      </c>
      <c r="B1923" s="8" t="s">
        <v>5122</v>
      </c>
      <c r="H1923" s="8" t="s">
        <v>5123</v>
      </c>
      <c r="I1923" s="8" t="s">
        <v>5123</v>
      </c>
      <c r="J1923" s="5">
        <v>8</v>
      </c>
      <c r="K1923" s="5" t="s">
        <v>292</v>
      </c>
      <c r="L1923" s="5" t="s">
        <v>4781</v>
      </c>
      <c r="M1923" s="5">
        <v>46</v>
      </c>
      <c r="N1923" s="5" t="s">
        <v>3797</v>
      </c>
      <c r="O1923" s="5" t="s">
        <v>574</v>
      </c>
      <c r="Q1923" s="5" t="s">
        <v>5124</v>
      </c>
      <c r="R1923" s="6"/>
      <c r="S1923" s="6"/>
    </row>
    <row r="1924" spans="1:21" x14ac:dyDescent="0.2">
      <c r="A1924" s="5">
        <v>1951</v>
      </c>
      <c r="B1924" s="8" t="s">
        <v>5125</v>
      </c>
      <c r="H1924" s="8" t="s">
        <v>5126</v>
      </c>
      <c r="I1924" s="8" t="s">
        <v>5126</v>
      </c>
      <c r="J1924" s="5">
        <v>4</v>
      </c>
      <c r="K1924" s="5" t="s">
        <v>292</v>
      </c>
      <c r="L1924" s="5" t="s">
        <v>4781</v>
      </c>
      <c r="M1924" s="5">
        <v>46</v>
      </c>
      <c r="N1924" s="5" t="s">
        <v>3797</v>
      </c>
      <c r="O1924" s="5" t="s">
        <v>574</v>
      </c>
      <c r="Q1924" s="5" t="s">
        <v>5127</v>
      </c>
      <c r="R1924" s="6"/>
      <c r="S1924" s="6"/>
    </row>
    <row r="1925" spans="1:21" x14ac:dyDescent="0.2">
      <c r="A1925" s="5">
        <v>1952</v>
      </c>
      <c r="B1925" s="8" t="s">
        <v>5128</v>
      </c>
      <c r="H1925" s="8" t="s">
        <v>5129</v>
      </c>
      <c r="I1925" s="8" t="s">
        <v>5129</v>
      </c>
      <c r="J1925" s="5">
        <v>3</v>
      </c>
      <c r="K1925" s="5" t="s">
        <v>292</v>
      </c>
      <c r="L1925" s="5" t="s">
        <v>4781</v>
      </c>
      <c r="M1925" s="5">
        <v>46</v>
      </c>
      <c r="N1925" s="5" t="s">
        <v>3797</v>
      </c>
      <c r="O1925" s="5" t="s">
        <v>574</v>
      </c>
      <c r="Q1925" s="5" t="s">
        <v>5098</v>
      </c>
      <c r="R1925" s="6"/>
      <c r="S1925" s="6" t="s">
        <v>328</v>
      </c>
    </row>
    <row r="1926" spans="1:21" x14ac:dyDescent="0.2">
      <c r="A1926" s="5">
        <v>1953</v>
      </c>
      <c r="B1926" s="8" t="s">
        <v>5130</v>
      </c>
      <c r="H1926" s="8" t="s">
        <v>5131</v>
      </c>
      <c r="I1926" s="8" t="s">
        <v>5132</v>
      </c>
      <c r="J1926" s="5">
        <v>15</v>
      </c>
      <c r="K1926" s="5" t="s">
        <v>292</v>
      </c>
      <c r="L1926" s="5" t="s">
        <v>4781</v>
      </c>
      <c r="M1926" s="5">
        <v>46</v>
      </c>
      <c r="N1926" s="5" t="s">
        <v>3797</v>
      </c>
      <c r="O1926" s="5" t="s">
        <v>574</v>
      </c>
      <c r="Q1926" s="10" t="s">
        <v>553</v>
      </c>
      <c r="R1926" s="6"/>
      <c r="S1926" s="6" t="s">
        <v>328</v>
      </c>
    </row>
    <row r="1927" spans="1:21" x14ac:dyDescent="0.2">
      <c r="A1927" s="5">
        <v>1954</v>
      </c>
      <c r="B1927" s="8" t="s">
        <v>5133</v>
      </c>
      <c r="H1927" s="8" t="s">
        <v>5134</v>
      </c>
      <c r="I1927" s="8" t="s">
        <v>5134</v>
      </c>
      <c r="J1927" s="5">
        <v>8</v>
      </c>
      <c r="K1927" s="5" t="s">
        <v>292</v>
      </c>
      <c r="L1927" s="5" t="s">
        <v>4781</v>
      </c>
      <c r="M1927" s="5">
        <v>46</v>
      </c>
      <c r="N1927" s="5" t="s">
        <v>3797</v>
      </c>
      <c r="O1927" s="5" t="s">
        <v>574</v>
      </c>
      <c r="Q1927" s="10" t="s">
        <v>553</v>
      </c>
      <c r="R1927" s="6"/>
      <c r="S1927" s="6" t="s">
        <v>328</v>
      </c>
    </row>
    <row r="1928" spans="1:21" x14ac:dyDescent="0.2">
      <c r="A1928" s="5">
        <v>1955</v>
      </c>
      <c r="B1928" s="8" t="s">
        <v>5044</v>
      </c>
      <c r="H1928" s="8" t="s">
        <v>5135</v>
      </c>
      <c r="I1928" s="8" t="s">
        <v>5044</v>
      </c>
      <c r="J1928" s="5">
        <v>2</v>
      </c>
      <c r="K1928" s="5" t="s">
        <v>292</v>
      </c>
      <c r="L1928" s="5" t="s">
        <v>4781</v>
      </c>
      <c r="M1928" s="5">
        <v>46</v>
      </c>
      <c r="N1928" s="5" t="s">
        <v>3797</v>
      </c>
      <c r="O1928" s="5" t="s">
        <v>574</v>
      </c>
      <c r="Q1928" s="10" t="s">
        <v>553</v>
      </c>
      <c r="R1928" s="6"/>
      <c r="S1928" s="6" t="s">
        <v>328</v>
      </c>
    </row>
    <row r="1929" spans="1:21" x14ac:dyDescent="0.2">
      <c r="A1929" s="5">
        <v>1956</v>
      </c>
      <c r="B1929" s="8" t="s">
        <v>5136</v>
      </c>
      <c r="H1929" s="8" t="s">
        <v>5137</v>
      </c>
      <c r="I1929" s="8" t="s">
        <v>5025</v>
      </c>
      <c r="J1929" s="5">
        <v>8</v>
      </c>
      <c r="K1929" s="5" t="s">
        <v>292</v>
      </c>
      <c r="L1929" s="5" t="s">
        <v>4781</v>
      </c>
      <c r="M1929" s="5">
        <v>46</v>
      </c>
      <c r="N1929" s="5" t="s">
        <v>3797</v>
      </c>
      <c r="O1929" s="5" t="s">
        <v>574</v>
      </c>
      <c r="Q1929" s="10" t="s">
        <v>553</v>
      </c>
      <c r="R1929" s="6"/>
      <c r="S1929" s="6" t="s">
        <v>328</v>
      </c>
    </row>
    <row r="1930" spans="1:21" x14ac:dyDescent="0.2">
      <c r="A1930" s="5">
        <v>1957</v>
      </c>
      <c r="B1930" s="8" t="s">
        <v>5138</v>
      </c>
      <c r="H1930" s="8" t="s">
        <v>5139</v>
      </c>
      <c r="I1930" s="8" t="s">
        <v>5140</v>
      </c>
      <c r="J1930" s="5">
        <v>6</v>
      </c>
      <c r="K1930" s="5" t="s">
        <v>292</v>
      </c>
      <c r="L1930" s="5" t="s">
        <v>4781</v>
      </c>
      <c r="M1930" s="5">
        <v>46</v>
      </c>
      <c r="N1930" s="5" t="s">
        <v>3797</v>
      </c>
      <c r="O1930" s="5" t="s">
        <v>574</v>
      </c>
      <c r="Q1930" s="10" t="s">
        <v>553</v>
      </c>
      <c r="R1930" s="6"/>
      <c r="S1930" s="6" t="s">
        <v>328</v>
      </c>
    </row>
    <row r="1931" spans="1:21" x14ac:dyDescent="0.2">
      <c r="A1931" s="5">
        <v>1958</v>
      </c>
      <c r="B1931" s="8" t="s">
        <v>5141</v>
      </c>
      <c r="H1931" s="8" t="s">
        <v>5142</v>
      </c>
      <c r="I1931" s="8" t="s">
        <v>5025</v>
      </c>
      <c r="J1931" s="5">
        <v>10</v>
      </c>
      <c r="K1931" s="5" t="s">
        <v>292</v>
      </c>
      <c r="L1931" s="5" t="s">
        <v>4781</v>
      </c>
      <c r="M1931" s="5">
        <v>46</v>
      </c>
      <c r="N1931" s="5" t="s">
        <v>3797</v>
      </c>
      <c r="O1931" s="5" t="s">
        <v>574</v>
      </c>
      <c r="Q1931" s="10" t="s">
        <v>553</v>
      </c>
      <c r="R1931" s="6"/>
      <c r="S1931" s="6" t="s">
        <v>1139</v>
      </c>
    </row>
    <row r="1932" spans="1:21" x14ac:dyDescent="0.2">
      <c r="A1932" s="5">
        <v>1959</v>
      </c>
      <c r="B1932" s="8" t="s">
        <v>5143</v>
      </c>
      <c r="H1932" s="8" t="s">
        <v>5143</v>
      </c>
      <c r="I1932" s="8" t="s">
        <v>5144</v>
      </c>
      <c r="J1932" s="5">
        <v>3</v>
      </c>
      <c r="K1932" s="5" t="s">
        <v>292</v>
      </c>
      <c r="L1932" s="5" t="s">
        <v>4781</v>
      </c>
      <c r="M1932" s="5">
        <v>46</v>
      </c>
      <c r="N1932" s="5" t="s">
        <v>3797</v>
      </c>
      <c r="O1932" s="5" t="s">
        <v>574</v>
      </c>
      <c r="Q1932" s="10" t="s">
        <v>553</v>
      </c>
      <c r="U1932" t="s">
        <v>321</v>
      </c>
    </row>
    <row r="1933" spans="1:21" x14ac:dyDescent="0.2">
      <c r="A1933" s="5">
        <v>2310</v>
      </c>
      <c r="B1933" s="8" t="s">
        <v>5145</v>
      </c>
      <c r="H1933" s="8" t="s">
        <v>5121</v>
      </c>
      <c r="I1933" s="8" t="s">
        <v>5121</v>
      </c>
      <c r="J1933" s="5">
        <f>5</f>
        <v>5</v>
      </c>
      <c r="K1933" s="5" t="s">
        <v>292</v>
      </c>
      <c r="L1933" s="5" t="s">
        <v>4781</v>
      </c>
      <c r="M1933" s="5">
        <v>46</v>
      </c>
      <c r="N1933" s="5" t="s">
        <v>5025</v>
      </c>
      <c r="O1933" s="5" t="s">
        <v>574</v>
      </c>
      <c r="Q1933" s="5" t="s">
        <v>5146</v>
      </c>
    </row>
    <row r="1934" spans="1:21" x14ac:dyDescent="0.2">
      <c r="A1934" s="5">
        <v>2311</v>
      </c>
      <c r="B1934" s="8" t="s">
        <v>5147</v>
      </c>
      <c r="H1934" s="8" t="s">
        <v>5148</v>
      </c>
      <c r="I1934" s="8" t="s">
        <v>5148</v>
      </c>
      <c r="J1934" s="5">
        <v>1</v>
      </c>
      <c r="K1934" s="5" t="s">
        <v>292</v>
      </c>
      <c r="L1934" s="5" t="s">
        <v>4781</v>
      </c>
      <c r="M1934" s="5">
        <v>46</v>
      </c>
      <c r="N1934" s="5" t="s">
        <v>5025</v>
      </c>
      <c r="O1934" s="5" t="s">
        <v>574</v>
      </c>
      <c r="Q1934" s="5" t="s">
        <v>5149</v>
      </c>
    </row>
    <row r="1935" spans="1:21" x14ac:dyDescent="0.2">
      <c r="A1935" s="5">
        <v>2319</v>
      </c>
      <c r="B1935" s="8" t="s">
        <v>5120</v>
      </c>
      <c r="H1935" s="8" t="s">
        <v>5121</v>
      </c>
      <c r="I1935" s="8" t="s">
        <v>5121</v>
      </c>
      <c r="J1935" s="5">
        <v>0</v>
      </c>
      <c r="K1935" s="5" t="s">
        <v>292</v>
      </c>
      <c r="L1935" s="5" t="s">
        <v>4781</v>
      </c>
      <c r="M1935" s="5">
        <v>46</v>
      </c>
      <c r="N1935" s="5" t="s">
        <v>5025</v>
      </c>
      <c r="O1935" s="5" t="s">
        <v>574</v>
      </c>
    </row>
    <row r="1936" spans="1:21" x14ac:dyDescent="0.2">
      <c r="A1936" s="5">
        <v>2323</v>
      </c>
      <c r="B1936" s="8" t="s">
        <v>5150</v>
      </c>
      <c r="H1936" s="8" t="s">
        <v>5151</v>
      </c>
      <c r="I1936" s="8" t="s">
        <v>5151</v>
      </c>
      <c r="J1936" s="5">
        <v>13</v>
      </c>
      <c r="K1936" s="5" t="s">
        <v>292</v>
      </c>
      <c r="L1936" s="5" t="s">
        <v>4781</v>
      </c>
      <c r="M1936" s="5">
        <v>46</v>
      </c>
      <c r="N1936" s="5" t="s">
        <v>5025</v>
      </c>
      <c r="O1936" s="5" t="s">
        <v>574</v>
      </c>
      <c r="Q1936" s="5" t="s">
        <v>5152</v>
      </c>
    </row>
    <row r="1937" spans="1:19" x14ac:dyDescent="0.2">
      <c r="A1937" s="5">
        <v>2393</v>
      </c>
      <c r="B1937" s="8" t="s">
        <v>5153</v>
      </c>
      <c r="H1937" s="8" t="s">
        <v>5154</v>
      </c>
      <c r="I1937" s="8" t="s">
        <v>5154</v>
      </c>
      <c r="J1937" s="5">
        <v>2</v>
      </c>
      <c r="K1937" s="5" t="s">
        <v>292</v>
      </c>
      <c r="L1937" s="5" t="s">
        <v>4781</v>
      </c>
      <c r="M1937" s="5">
        <v>46</v>
      </c>
      <c r="N1937" s="5" t="s">
        <v>5025</v>
      </c>
      <c r="O1937" s="5" t="s">
        <v>520</v>
      </c>
      <c r="Q1937" s="5" t="s">
        <v>5155</v>
      </c>
      <c r="R1937" s="6"/>
      <c r="S1937" s="6"/>
    </row>
    <row r="1938" spans="1:19" x14ac:dyDescent="0.2">
      <c r="A1938" s="5"/>
      <c r="B1938" s="8" t="s">
        <v>5156</v>
      </c>
      <c r="H1938" s="8" t="s">
        <v>5157</v>
      </c>
      <c r="I1938" s="8" t="s">
        <v>5158</v>
      </c>
      <c r="J1938" s="5">
        <f>100-100</f>
        <v>0</v>
      </c>
      <c r="K1938" s="5" t="s">
        <v>292</v>
      </c>
      <c r="L1938" s="5" t="s">
        <v>4781</v>
      </c>
      <c r="M1938" s="5">
        <v>46</v>
      </c>
      <c r="N1938" s="5" t="s">
        <v>5025</v>
      </c>
      <c r="O1938" s="5" t="s">
        <v>520</v>
      </c>
      <c r="Q1938" s="5" t="s">
        <v>5159</v>
      </c>
      <c r="R1938" s="6"/>
      <c r="S1938" s="6"/>
    </row>
    <row r="1939" spans="1:19" x14ac:dyDescent="0.2">
      <c r="A1939" s="5"/>
      <c r="B1939" s="8" t="s">
        <v>5160</v>
      </c>
      <c r="H1939" s="8" t="s">
        <v>5161</v>
      </c>
      <c r="I1939" s="8" t="s">
        <v>5161</v>
      </c>
      <c r="J1939" s="5">
        <f>10-4</f>
        <v>6</v>
      </c>
      <c r="K1939" s="5" t="s">
        <v>292</v>
      </c>
      <c r="L1939" s="5" t="s">
        <v>4781</v>
      </c>
      <c r="M1939" s="5">
        <v>46</v>
      </c>
      <c r="N1939" s="5" t="s">
        <v>5025</v>
      </c>
      <c r="O1939" s="5" t="s">
        <v>520</v>
      </c>
      <c r="Q1939" s="5" t="s">
        <v>5162</v>
      </c>
      <c r="R1939" s="6"/>
      <c r="S1939" s="6"/>
    </row>
    <row r="1940" spans="1:19" x14ac:dyDescent="0.2">
      <c r="A1940" s="5">
        <v>1961</v>
      </c>
      <c r="B1940" s="8" t="s">
        <v>5163</v>
      </c>
      <c r="H1940" s="8" t="s">
        <v>5164</v>
      </c>
      <c r="I1940" s="8" t="s">
        <v>5164</v>
      </c>
      <c r="J1940" s="5">
        <v>39</v>
      </c>
      <c r="K1940" s="5" t="s">
        <v>292</v>
      </c>
      <c r="L1940" s="5" t="s">
        <v>4781</v>
      </c>
      <c r="M1940" s="5">
        <v>47</v>
      </c>
      <c r="N1940" s="5" t="s">
        <v>3797</v>
      </c>
      <c r="O1940" s="5" t="s">
        <v>574</v>
      </c>
      <c r="Q1940" s="35" t="s">
        <v>5165</v>
      </c>
      <c r="R1940" s="6"/>
      <c r="S1940" s="6"/>
    </row>
    <row r="1941" spans="1:19" x14ac:dyDescent="0.2">
      <c r="A1941" s="5">
        <v>1962</v>
      </c>
      <c r="B1941" s="8" t="s">
        <v>5166</v>
      </c>
      <c r="H1941" s="8" t="s">
        <v>5167</v>
      </c>
      <c r="I1941" s="8" t="s">
        <v>5167</v>
      </c>
      <c r="J1941" s="5">
        <v>1</v>
      </c>
      <c r="K1941" s="5" t="s">
        <v>292</v>
      </c>
      <c r="L1941" s="5" t="s">
        <v>4781</v>
      </c>
      <c r="M1941" s="5">
        <v>47</v>
      </c>
      <c r="N1941" s="5" t="s">
        <v>3797</v>
      </c>
      <c r="O1941" s="5" t="s">
        <v>574</v>
      </c>
      <c r="Q1941" s="5" t="s">
        <v>5168</v>
      </c>
      <c r="R1941" s="6"/>
      <c r="S1941" s="6"/>
    </row>
    <row r="1942" spans="1:19" x14ac:dyDescent="0.2">
      <c r="A1942" s="5">
        <v>1963</v>
      </c>
      <c r="B1942" s="8" t="s">
        <v>5169</v>
      </c>
      <c r="H1942" s="8" t="s">
        <v>5170</v>
      </c>
      <c r="I1942" s="8" t="s">
        <v>5170</v>
      </c>
      <c r="J1942" s="5">
        <v>2</v>
      </c>
      <c r="K1942" s="5" t="s">
        <v>292</v>
      </c>
      <c r="L1942" s="5" t="s">
        <v>4781</v>
      </c>
      <c r="M1942" s="5">
        <v>47</v>
      </c>
      <c r="N1942" s="5" t="s">
        <v>3797</v>
      </c>
      <c r="O1942" s="5" t="s">
        <v>574</v>
      </c>
      <c r="Q1942" s="5" t="s">
        <v>5171</v>
      </c>
      <c r="R1942" s="6"/>
      <c r="S1942" s="6"/>
    </row>
    <row r="1943" spans="1:19" x14ac:dyDescent="0.2">
      <c r="A1943" s="5">
        <v>1964</v>
      </c>
      <c r="B1943" s="8" t="s">
        <v>5172</v>
      </c>
      <c r="H1943" s="8" t="s">
        <v>5173</v>
      </c>
      <c r="I1943" s="8" t="s">
        <v>5173</v>
      </c>
      <c r="J1943" s="5">
        <v>7</v>
      </c>
      <c r="K1943" s="5" t="s">
        <v>292</v>
      </c>
      <c r="L1943" s="5" t="s">
        <v>4781</v>
      </c>
      <c r="M1943" s="5">
        <v>47</v>
      </c>
      <c r="N1943" s="5" t="s">
        <v>3797</v>
      </c>
      <c r="O1943" s="5" t="s">
        <v>574</v>
      </c>
      <c r="Q1943" s="5" t="s">
        <v>5171</v>
      </c>
      <c r="R1943" s="6"/>
      <c r="S1943" s="6"/>
    </row>
    <row r="1944" spans="1:19" x14ac:dyDescent="0.2">
      <c r="A1944" s="5">
        <v>1965</v>
      </c>
      <c r="B1944" s="8" t="s">
        <v>5174</v>
      </c>
      <c r="H1944" s="8" t="s">
        <v>5175</v>
      </c>
      <c r="I1944" s="8" t="s">
        <v>5175</v>
      </c>
      <c r="J1944" s="5">
        <v>22</v>
      </c>
      <c r="K1944" s="5" t="s">
        <v>292</v>
      </c>
      <c r="L1944" s="5" t="s">
        <v>4781</v>
      </c>
      <c r="M1944" s="5">
        <v>47</v>
      </c>
      <c r="N1944" s="5" t="s">
        <v>3797</v>
      </c>
      <c r="O1944" s="5" t="s">
        <v>574</v>
      </c>
      <c r="Q1944" s="7" t="s">
        <v>5176</v>
      </c>
      <c r="R1944" s="6"/>
      <c r="S1944" s="6"/>
    </row>
    <row r="1945" spans="1:19" x14ac:dyDescent="0.2">
      <c r="A1945" s="5">
        <v>1966</v>
      </c>
      <c r="B1945" s="8" t="s">
        <v>5177</v>
      </c>
      <c r="H1945" s="8" t="s">
        <v>5178</v>
      </c>
      <c r="I1945" s="8" t="s">
        <v>5178</v>
      </c>
      <c r="J1945" s="5">
        <v>6</v>
      </c>
      <c r="K1945" s="5" t="s">
        <v>292</v>
      </c>
      <c r="L1945" s="5" t="s">
        <v>4781</v>
      </c>
      <c r="M1945" s="5">
        <v>47</v>
      </c>
      <c r="N1945" s="5" t="s">
        <v>3797</v>
      </c>
      <c r="O1945" s="5" t="s">
        <v>574</v>
      </c>
      <c r="Q1945" s="7" t="s">
        <v>5124</v>
      </c>
      <c r="R1945" s="6"/>
      <c r="S1945" s="6" t="s">
        <v>328</v>
      </c>
    </row>
    <row r="1946" spans="1:19" x14ac:dyDescent="0.2">
      <c r="A1946" s="5">
        <v>1967</v>
      </c>
      <c r="B1946" s="8" t="s">
        <v>5179</v>
      </c>
      <c r="H1946" s="8" t="s">
        <v>5180</v>
      </c>
      <c r="I1946" s="8" t="s">
        <v>5157</v>
      </c>
      <c r="J1946" s="5">
        <v>14</v>
      </c>
      <c r="K1946" s="5" t="s">
        <v>292</v>
      </c>
      <c r="L1946" s="5" t="s">
        <v>4781</v>
      </c>
      <c r="M1946" s="5">
        <v>47</v>
      </c>
      <c r="N1946" s="5" t="s">
        <v>3797</v>
      </c>
      <c r="O1946" s="5" t="s">
        <v>574</v>
      </c>
      <c r="Q1946" s="10" t="s">
        <v>553</v>
      </c>
      <c r="R1946" s="6"/>
      <c r="S1946" s="6" t="s">
        <v>328</v>
      </c>
    </row>
    <row r="1947" spans="1:19" x14ac:dyDescent="0.2">
      <c r="A1947" s="5">
        <v>1968</v>
      </c>
      <c r="B1947" s="8" t="s">
        <v>5181</v>
      </c>
      <c r="H1947" s="8" t="s">
        <v>5182</v>
      </c>
      <c r="I1947" s="8" t="s">
        <v>5183</v>
      </c>
      <c r="J1947" s="5">
        <v>3</v>
      </c>
      <c r="K1947" s="5" t="s">
        <v>292</v>
      </c>
      <c r="L1947" s="5" t="s">
        <v>4781</v>
      </c>
      <c r="M1947" s="5">
        <v>47</v>
      </c>
      <c r="N1947" s="5" t="s">
        <v>3797</v>
      </c>
      <c r="O1947" s="5" t="s">
        <v>574</v>
      </c>
      <c r="Q1947" s="10" t="s">
        <v>553</v>
      </c>
      <c r="R1947" s="6"/>
      <c r="S1947" s="6" t="s">
        <v>328</v>
      </c>
    </row>
    <row r="1948" spans="1:19" x14ac:dyDescent="0.2">
      <c r="A1948" s="5">
        <v>1969</v>
      </c>
      <c r="B1948" s="8" t="s">
        <v>5184</v>
      </c>
      <c r="H1948" s="8" t="s">
        <v>5185</v>
      </c>
      <c r="I1948" s="8" t="s">
        <v>5186</v>
      </c>
      <c r="J1948" s="5">
        <v>14</v>
      </c>
      <c r="K1948" s="5" t="s">
        <v>292</v>
      </c>
      <c r="L1948" s="5" t="s">
        <v>4781</v>
      </c>
      <c r="M1948" s="5">
        <v>47</v>
      </c>
      <c r="N1948" s="5" t="s">
        <v>3797</v>
      </c>
      <c r="O1948" s="5" t="s">
        <v>574</v>
      </c>
      <c r="Q1948" s="10" t="s">
        <v>553</v>
      </c>
      <c r="R1948" s="6"/>
      <c r="S1948" s="6" t="s">
        <v>328</v>
      </c>
    </row>
    <row r="1949" spans="1:19" x14ac:dyDescent="0.2">
      <c r="A1949" s="5">
        <v>1970</v>
      </c>
      <c r="B1949" s="8" t="s">
        <v>5187</v>
      </c>
      <c r="H1949" s="8" t="s">
        <v>5188</v>
      </c>
      <c r="I1949" s="8" t="s">
        <v>5188</v>
      </c>
      <c r="J1949" s="5">
        <v>16</v>
      </c>
      <c r="K1949" s="5" t="s">
        <v>292</v>
      </c>
      <c r="L1949" s="5" t="s">
        <v>4781</v>
      </c>
      <c r="M1949" s="5">
        <v>47</v>
      </c>
      <c r="N1949" s="5" t="s">
        <v>3797</v>
      </c>
      <c r="O1949" s="5" t="s">
        <v>574</v>
      </c>
      <c r="Q1949" s="10" t="s">
        <v>553</v>
      </c>
      <c r="R1949" s="6"/>
      <c r="S1949" s="6" t="s">
        <v>328</v>
      </c>
    </row>
    <row r="1950" spans="1:19" x14ac:dyDescent="0.2">
      <c r="A1950" s="5">
        <v>1971</v>
      </c>
      <c r="B1950" s="8" t="s">
        <v>5189</v>
      </c>
      <c r="H1950" s="8" t="s">
        <v>5190</v>
      </c>
      <c r="I1950" s="8" t="s">
        <v>5025</v>
      </c>
      <c r="J1950" s="5">
        <v>10</v>
      </c>
      <c r="K1950" s="5" t="s">
        <v>292</v>
      </c>
      <c r="L1950" s="5" t="s">
        <v>4781</v>
      </c>
      <c r="M1950" s="5">
        <v>47</v>
      </c>
      <c r="N1950" s="5" t="s">
        <v>3797</v>
      </c>
      <c r="O1950" s="5" t="s">
        <v>574</v>
      </c>
      <c r="Q1950" s="10" t="s">
        <v>553</v>
      </c>
      <c r="R1950" s="6"/>
      <c r="S1950" s="6"/>
    </row>
    <row r="1951" spans="1:19" x14ac:dyDescent="0.2">
      <c r="A1951" s="5">
        <v>1979</v>
      </c>
      <c r="B1951" s="8" t="s">
        <v>5191</v>
      </c>
      <c r="H1951" s="8" t="s">
        <v>5192</v>
      </c>
      <c r="I1951" s="8" t="s">
        <v>5192</v>
      </c>
      <c r="J1951" s="5">
        <f>16-1-1-1-3-1</f>
        <v>9</v>
      </c>
      <c r="K1951" s="5" t="s">
        <v>292</v>
      </c>
      <c r="L1951" s="5" t="s">
        <v>4781</v>
      </c>
      <c r="M1951" s="5">
        <v>47</v>
      </c>
      <c r="N1951" s="5" t="s">
        <v>3797</v>
      </c>
      <c r="O1951" s="5" t="s">
        <v>574</v>
      </c>
      <c r="Q1951" s="5" t="s">
        <v>5193</v>
      </c>
    </row>
    <row r="1952" spans="1:19" x14ac:dyDescent="0.2">
      <c r="A1952" s="5">
        <v>2301</v>
      </c>
      <c r="B1952" s="8" t="s">
        <v>5194</v>
      </c>
      <c r="H1952" s="8" t="s">
        <v>5195</v>
      </c>
      <c r="I1952" s="8" t="s">
        <v>5195</v>
      </c>
      <c r="J1952" s="5">
        <v>4</v>
      </c>
      <c r="K1952" s="5" t="s">
        <v>292</v>
      </c>
      <c r="L1952" s="5" t="s">
        <v>4781</v>
      </c>
      <c r="M1952" s="5">
        <v>47</v>
      </c>
      <c r="N1952" s="5" t="s">
        <v>5025</v>
      </c>
      <c r="O1952" s="5" t="s">
        <v>574</v>
      </c>
      <c r="Q1952" s="5" t="s">
        <v>5196</v>
      </c>
    </row>
    <row r="1953" spans="1:19" x14ac:dyDescent="0.2">
      <c r="A1953" s="5">
        <v>2303</v>
      </c>
      <c r="B1953" s="8" t="s">
        <v>5197</v>
      </c>
      <c r="H1953" s="8" t="s">
        <v>5186</v>
      </c>
      <c r="I1953" s="8" t="s">
        <v>5186</v>
      </c>
      <c r="J1953" s="5">
        <v>2</v>
      </c>
      <c r="K1953" s="5" t="s">
        <v>292</v>
      </c>
      <c r="L1953" s="5" t="s">
        <v>4781</v>
      </c>
      <c r="M1953" s="5">
        <v>47</v>
      </c>
      <c r="N1953" s="5" t="s">
        <v>5025</v>
      </c>
      <c r="O1953" s="5" t="s">
        <v>574</v>
      </c>
      <c r="Q1953" s="5" t="s">
        <v>5198</v>
      </c>
    </row>
    <row r="1954" spans="1:19" x14ac:dyDescent="0.2">
      <c r="A1954" s="5">
        <v>2309</v>
      </c>
      <c r="B1954" s="8" t="s">
        <v>5199</v>
      </c>
      <c r="H1954" s="8" t="s">
        <v>5200</v>
      </c>
      <c r="I1954" s="8" t="s">
        <v>5200</v>
      </c>
      <c r="J1954" s="5">
        <v>6</v>
      </c>
      <c r="K1954" s="5" t="s">
        <v>292</v>
      </c>
      <c r="L1954" s="5" t="s">
        <v>4781</v>
      </c>
      <c r="M1954" s="5">
        <v>47</v>
      </c>
      <c r="N1954" s="5" t="s">
        <v>5025</v>
      </c>
      <c r="O1954" s="5" t="s">
        <v>574</v>
      </c>
      <c r="Q1954" s="5" t="s">
        <v>5201</v>
      </c>
    </row>
    <row r="1955" spans="1:19" x14ac:dyDescent="0.2">
      <c r="A1955" s="5"/>
      <c r="B1955" s="8" t="s">
        <v>5202</v>
      </c>
      <c r="H1955" s="8" t="s">
        <v>5203</v>
      </c>
      <c r="I1955" s="8" t="s">
        <v>5203</v>
      </c>
      <c r="J1955" s="5">
        <v>8</v>
      </c>
      <c r="K1955" s="5" t="s">
        <v>292</v>
      </c>
      <c r="L1955" s="5" t="s">
        <v>4781</v>
      </c>
      <c r="M1955" s="5">
        <v>47</v>
      </c>
      <c r="N1955" s="5" t="s">
        <v>5025</v>
      </c>
      <c r="O1955" s="5" t="s">
        <v>574</v>
      </c>
      <c r="Q1955" s="5" t="s">
        <v>5204</v>
      </c>
    </row>
    <row r="1956" spans="1:19" x14ac:dyDescent="0.2">
      <c r="A1956" s="5">
        <v>2314</v>
      </c>
      <c r="B1956" s="8" t="s">
        <v>5205</v>
      </c>
      <c r="H1956" s="8" t="s">
        <v>5206</v>
      </c>
      <c r="I1956" s="8" t="s">
        <v>5206</v>
      </c>
      <c r="J1956" s="5">
        <v>0</v>
      </c>
      <c r="K1956" s="5" t="s">
        <v>292</v>
      </c>
      <c r="L1956" s="5" t="s">
        <v>4781</v>
      </c>
      <c r="M1956" s="5">
        <v>47</v>
      </c>
      <c r="N1956" s="5" t="s">
        <v>5025</v>
      </c>
      <c r="O1956" s="5" t="s">
        <v>574</v>
      </c>
      <c r="Q1956" s="5" t="s">
        <v>5207</v>
      </c>
    </row>
    <row r="1957" spans="1:19" x14ac:dyDescent="0.2">
      <c r="A1957" s="5">
        <v>2317</v>
      </c>
      <c r="B1957" s="8" t="s">
        <v>5191</v>
      </c>
      <c r="H1957" s="8" t="s">
        <v>5208</v>
      </c>
      <c r="I1957" s="8" t="s">
        <v>5208</v>
      </c>
      <c r="J1957" s="5">
        <v>0</v>
      </c>
      <c r="K1957" s="5" t="s">
        <v>292</v>
      </c>
      <c r="L1957" s="5" t="s">
        <v>4781</v>
      </c>
      <c r="M1957" s="5">
        <v>47</v>
      </c>
      <c r="N1957" s="5" t="s">
        <v>5025</v>
      </c>
      <c r="O1957" s="5" t="s">
        <v>574</v>
      </c>
      <c r="Q1957" s="5" t="s">
        <v>5209</v>
      </c>
    </row>
    <row r="1958" spans="1:19" x14ac:dyDescent="0.2">
      <c r="A1958" s="5">
        <v>2325</v>
      </c>
      <c r="B1958" s="8" t="s">
        <v>5210</v>
      </c>
      <c r="H1958" s="8" t="s">
        <v>5211</v>
      </c>
      <c r="I1958" s="8" t="s">
        <v>5211</v>
      </c>
      <c r="J1958" s="5">
        <v>0</v>
      </c>
      <c r="K1958" s="5" t="s">
        <v>292</v>
      </c>
      <c r="L1958" s="5" t="s">
        <v>4781</v>
      </c>
      <c r="M1958" s="5">
        <v>47</v>
      </c>
      <c r="N1958" s="5" t="s">
        <v>5025</v>
      </c>
      <c r="O1958" s="5" t="s">
        <v>574</v>
      </c>
      <c r="Q1958" s="5" t="s">
        <v>5165</v>
      </c>
    </row>
    <row r="1959" spans="1:19" x14ac:dyDescent="0.2">
      <c r="A1959" s="5">
        <v>2327</v>
      </c>
      <c r="B1959" s="8" t="s">
        <v>5212</v>
      </c>
      <c r="H1959" s="8" t="s">
        <v>5213</v>
      </c>
      <c r="I1959" s="8" t="s">
        <v>5213</v>
      </c>
      <c r="J1959" s="5">
        <v>0</v>
      </c>
      <c r="K1959" s="5" t="s">
        <v>292</v>
      </c>
      <c r="L1959" s="5" t="s">
        <v>4781</v>
      </c>
      <c r="M1959" s="5">
        <v>47</v>
      </c>
      <c r="N1959" s="5" t="s">
        <v>5025</v>
      </c>
      <c r="O1959" s="5" t="s">
        <v>574</v>
      </c>
      <c r="Q1959" s="33" t="s">
        <v>5201</v>
      </c>
    </row>
    <row r="1960" spans="1:19" x14ac:dyDescent="0.2">
      <c r="A1960" s="5">
        <v>2328</v>
      </c>
      <c r="B1960" s="8" t="s">
        <v>5214</v>
      </c>
      <c r="H1960" s="8" t="s">
        <v>5186</v>
      </c>
      <c r="I1960" s="8" t="s">
        <v>5186</v>
      </c>
      <c r="J1960" s="5">
        <v>9</v>
      </c>
      <c r="K1960" s="5" t="s">
        <v>292</v>
      </c>
      <c r="L1960" s="5" t="s">
        <v>4781</v>
      </c>
      <c r="M1960" s="5">
        <v>47</v>
      </c>
      <c r="N1960" s="5" t="s">
        <v>5025</v>
      </c>
      <c r="O1960" s="5" t="s">
        <v>574</v>
      </c>
      <c r="Q1960" s="5" t="s">
        <v>5036</v>
      </c>
    </row>
    <row r="1961" spans="1:19" x14ac:dyDescent="0.2">
      <c r="A1961" s="5">
        <v>2329</v>
      </c>
      <c r="B1961" s="34" t="s">
        <v>5215</v>
      </c>
      <c r="H1961" s="8" t="s">
        <v>5216</v>
      </c>
      <c r="I1961" s="8" t="s">
        <v>5216</v>
      </c>
      <c r="J1961" s="5">
        <v>5</v>
      </c>
      <c r="K1961" s="5" t="s">
        <v>292</v>
      </c>
      <c r="L1961" s="5" t="s">
        <v>4781</v>
      </c>
      <c r="M1961" s="5">
        <v>47</v>
      </c>
      <c r="N1961" s="5" t="s">
        <v>5025</v>
      </c>
      <c r="O1961" s="5" t="s">
        <v>574</v>
      </c>
      <c r="Q1961" s="5" t="s">
        <v>5217</v>
      </c>
    </row>
    <row r="1962" spans="1:19" x14ac:dyDescent="0.2">
      <c r="A1962" s="5">
        <v>2388</v>
      </c>
      <c r="B1962" s="8" t="s">
        <v>5218</v>
      </c>
      <c r="H1962" s="8" t="s">
        <v>5219</v>
      </c>
      <c r="I1962" s="8" t="s">
        <v>5219</v>
      </c>
      <c r="J1962" s="5">
        <v>2</v>
      </c>
      <c r="K1962" s="5" t="s">
        <v>292</v>
      </c>
      <c r="L1962" s="5" t="s">
        <v>4781</v>
      </c>
      <c r="M1962" s="5">
        <v>47</v>
      </c>
      <c r="N1962" s="5" t="s">
        <v>5025</v>
      </c>
      <c r="O1962" s="5" t="s">
        <v>520</v>
      </c>
      <c r="Q1962" s="33" t="s">
        <v>5220</v>
      </c>
      <c r="R1962" s="6"/>
      <c r="S1962" s="6"/>
    </row>
    <row r="1963" spans="1:19" x14ac:dyDescent="0.2">
      <c r="A1963" s="5">
        <v>1972</v>
      </c>
      <c r="B1963" s="8" t="s">
        <v>5221</v>
      </c>
      <c r="H1963" s="8" t="s">
        <v>5222</v>
      </c>
      <c r="I1963" s="8" t="s">
        <v>5025</v>
      </c>
      <c r="J1963" s="5">
        <v>50</v>
      </c>
      <c r="K1963" s="5" t="s">
        <v>292</v>
      </c>
      <c r="L1963" s="5" t="s">
        <v>4781</v>
      </c>
      <c r="M1963" s="5">
        <v>48</v>
      </c>
      <c r="N1963" s="5" t="s">
        <v>3797</v>
      </c>
      <c r="O1963" s="5" t="s">
        <v>574</v>
      </c>
      <c r="Q1963" s="5" t="s">
        <v>5223</v>
      </c>
      <c r="R1963" s="6"/>
      <c r="S1963" s="6"/>
    </row>
    <row r="1964" spans="1:19" x14ac:dyDescent="0.2">
      <c r="A1964" s="5">
        <v>1973</v>
      </c>
      <c r="B1964" s="8" t="s">
        <v>5224</v>
      </c>
      <c r="H1964" s="8" t="s">
        <v>5225</v>
      </c>
      <c r="I1964" s="8" t="s">
        <v>5226</v>
      </c>
      <c r="J1964" s="5">
        <v>2</v>
      </c>
      <c r="K1964" s="5" t="s">
        <v>292</v>
      </c>
      <c r="L1964" s="5" t="s">
        <v>4781</v>
      </c>
      <c r="M1964" s="5">
        <v>48</v>
      </c>
      <c r="N1964" s="5" t="s">
        <v>3797</v>
      </c>
      <c r="O1964" s="5" t="s">
        <v>574</v>
      </c>
      <c r="Q1964" s="5" t="s">
        <v>5227</v>
      </c>
      <c r="R1964" s="6"/>
      <c r="S1964" s="6"/>
    </row>
    <row r="1965" spans="1:19" x14ac:dyDescent="0.2">
      <c r="A1965" s="5">
        <v>1974</v>
      </c>
      <c r="B1965" s="8" t="s">
        <v>5228</v>
      </c>
      <c r="H1965" s="8" t="s">
        <v>5229</v>
      </c>
      <c r="I1965" s="8" t="s">
        <v>5226</v>
      </c>
      <c r="J1965" s="5">
        <v>0</v>
      </c>
      <c r="K1965" s="5" t="s">
        <v>292</v>
      </c>
      <c r="L1965" s="5" t="s">
        <v>4781</v>
      </c>
      <c r="M1965" s="5">
        <v>48</v>
      </c>
      <c r="N1965" s="5" t="s">
        <v>3797</v>
      </c>
      <c r="O1965" s="5" t="s">
        <v>574</v>
      </c>
      <c r="Q1965" s="5" t="s">
        <v>5230</v>
      </c>
      <c r="R1965" s="6"/>
      <c r="S1965" s="6" t="s">
        <v>328</v>
      </c>
    </row>
    <row r="1966" spans="1:19" x14ac:dyDescent="0.2">
      <c r="A1966" s="5">
        <v>1975</v>
      </c>
      <c r="B1966" s="8" t="s">
        <v>5231</v>
      </c>
      <c r="H1966" s="8" t="s">
        <v>5232</v>
      </c>
      <c r="I1966" s="8" t="s">
        <v>5068</v>
      </c>
      <c r="J1966" s="5">
        <v>6</v>
      </c>
      <c r="K1966" s="5" t="s">
        <v>292</v>
      </c>
      <c r="L1966" s="5" t="s">
        <v>4781</v>
      </c>
      <c r="M1966" s="5">
        <v>48</v>
      </c>
      <c r="N1966" s="5" t="s">
        <v>3797</v>
      </c>
      <c r="O1966" s="5" t="s">
        <v>574</v>
      </c>
      <c r="Q1966" s="10" t="s">
        <v>553</v>
      </c>
      <c r="R1966" s="6"/>
      <c r="S1966" s="6"/>
    </row>
    <row r="1967" spans="1:19" x14ac:dyDescent="0.2">
      <c r="A1967" s="5">
        <v>1976</v>
      </c>
      <c r="B1967" s="8" t="s">
        <v>5233</v>
      </c>
      <c r="H1967" s="8" t="s">
        <v>5234</v>
      </c>
      <c r="I1967" s="8" t="s">
        <v>5234</v>
      </c>
      <c r="J1967" s="5">
        <v>8</v>
      </c>
      <c r="K1967" s="5" t="s">
        <v>292</v>
      </c>
      <c r="L1967" s="5" t="s">
        <v>4781</v>
      </c>
      <c r="M1967" s="5">
        <v>48</v>
      </c>
      <c r="N1967" s="5" t="s">
        <v>3797</v>
      </c>
      <c r="O1967" s="5" t="s">
        <v>574</v>
      </c>
      <c r="Q1967" s="5" t="s">
        <v>5235</v>
      </c>
      <c r="R1967" s="6"/>
      <c r="S1967" s="6"/>
    </row>
    <row r="1968" spans="1:19" x14ac:dyDescent="0.2">
      <c r="A1968" s="5">
        <v>1977</v>
      </c>
      <c r="B1968" s="8" t="s">
        <v>5236</v>
      </c>
      <c r="H1968" s="8" t="s">
        <v>5237</v>
      </c>
      <c r="I1968" s="8" t="s">
        <v>5237</v>
      </c>
      <c r="J1968" s="5">
        <v>8</v>
      </c>
      <c r="K1968" s="5" t="s">
        <v>292</v>
      </c>
      <c r="L1968" s="5" t="s">
        <v>4781</v>
      </c>
      <c r="M1968" s="5">
        <v>48</v>
      </c>
      <c r="N1968" s="5" t="s">
        <v>3797</v>
      </c>
      <c r="O1968" s="5" t="s">
        <v>574</v>
      </c>
      <c r="Q1968" s="5" t="s">
        <v>5238</v>
      </c>
      <c r="R1968" s="6"/>
      <c r="S1968" s="6"/>
    </row>
    <row r="1969" spans="1:19" x14ac:dyDescent="0.2">
      <c r="A1969" s="5">
        <v>1978</v>
      </c>
      <c r="B1969" s="8" t="s">
        <v>5239</v>
      </c>
      <c r="H1969" s="8" t="s">
        <v>5240</v>
      </c>
      <c r="I1969" s="8" t="s">
        <v>5240</v>
      </c>
      <c r="J1969" s="5">
        <v>6</v>
      </c>
      <c r="K1969" s="5" t="s">
        <v>292</v>
      </c>
      <c r="L1969" s="5" t="s">
        <v>4781</v>
      </c>
      <c r="M1969" s="5">
        <v>48</v>
      </c>
      <c r="N1969" s="5" t="s">
        <v>3797</v>
      </c>
      <c r="O1969" s="5" t="s">
        <v>574</v>
      </c>
      <c r="Q1969" s="5" t="s">
        <v>5124</v>
      </c>
      <c r="R1969" s="6"/>
      <c r="S1969" s="6"/>
    </row>
    <row r="1970" spans="1:19" x14ac:dyDescent="0.2">
      <c r="A1970" s="5">
        <v>1980</v>
      </c>
      <c r="B1970" s="8" t="s">
        <v>5241</v>
      </c>
      <c r="H1970" s="8" t="s">
        <v>5242</v>
      </c>
      <c r="I1970" s="8" t="s">
        <v>5242</v>
      </c>
      <c r="J1970" s="5">
        <v>0</v>
      </c>
      <c r="K1970" s="5" t="s">
        <v>292</v>
      </c>
      <c r="L1970" s="5" t="s">
        <v>4781</v>
      </c>
      <c r="M1970" s="5">
        <v>48</v>
      </c>
      <c r="N1970" s="5" t="s">
        <v>3797</v>
      </c>
      <c r="O1970" s="5" t="s">
        <v>574</v>
      </c>
      <c r="Q1970" s="5" t="s">
        <v>5124</v>
      </c>
      <c r="R1970" s="6"/>
      <c r="S1970" s="6"/>
    </row>
    <row r="1971" spans="1:19" x14ac:dyDescent="0.2">
      <c r="A1971" s="5">
        <v>1981</v>
      </c>
      <c r="B1971" s="8" t="s">
        <v>5243</v>
      </c>
      <c r="H1971" s="8" t="s">
        <v>5244</v>
      </c>
      <c r="I1971" s="8" t="s">
        <v>5244</v>
      </c>
      <c r="J1971" s="5">
        <v>0</v>
      </c>
      <c r="K1971" s="5" t="s">
        <v>292</v>
      </c>
      <c r="L1971" s="5" t="s">
        <v>4781</v>
      </c>
      <c r="M1971" s="5">
        <v>48</v>
      </c>
      <c r="N1971" s="5" t="s">
        <v>3797</v>
      </c>
      <c r="O1971" s="5" t="s">
        <v>574</v>
      </c>
      <c r="Q1971" s="5" t="s">
        <v>5245</v>
      </c>
      <c r="R1971" s="6"/>
      <c r="S1971" s="6"/>
    </row>
    <row r="1972" spans="1:19" x14ac:dyDescent="0.2">
      <c r="A1972" s="5">
        <v>1982</v>
      </c>
      <c r="B1972" s="8" t="s">
        <v>5246</v>
      </c>
      <c r="H1972" s="8" t="s">
        <v>5247</v>
      </c>
      <c r="I1972" s="8" t="s">
        <v>5247</v>
      </c>
      <c r="J1972" s="5">
        <v>0</v>
      </c>
      <c r="K1972" s="5" t="s">
        <v>292</v>
      </c>
      <c r="L1972" s="5" t="s">
        <v>4781</v>
      </c>
      <c r="M1972" s="5">
        <v>48</v>
      </c>
      <c r="N1972" s="5" t="s">
        <v>3797</v>
      </c>
      <c r="O1972" s="5" t="s">
        <v>574</v>
      </c>
      <c r="Q1972" s="5" t="s">
        <v>5248</v>
      </c>
      <c r="R1972" s="6"/>
      <c r="S1972" s="6"/>
    </row>
    <row r="1973" spans="1:19" x14ac:dyDescent="0.2">
      <c r="A1973" s="5">
        <v>1983</v>
      </c>
      <c r="B1973" s="8" t="s">
        <v>5249</v>
      </c>
      <c r="H1973" s="8" t="s">
        <v>5250</v>
      </c>
      <c r="I1973" s="8" t="s">
        <v>5250</v>
      </c>
      <c r="J1973" s="5">
        <v>14</v>
      </c>
      <c r="K1973" s="5" t="s">
        <v>292</v>
      </c>
      <c r="L1973" s="5" t="s">
        <v>4781</v>
      </c>
      <c r="M1973" s="5">
        <v>48</v>
      </c>
      <c r="N1973" s="5" t="s">
        <v>3797</v>
      </c>
      <c r="O1973" s="5" t="s">
        <v>574</v>
      </c>
      <c r="Q1973" s="5" t="s">
        <v>5251</v>
      </c>
      <c r="R1973" s="6"/>
      <c r="S1973" s="6"/>
    </row>
    <row r="1974" spans="1:19" x14ac:dyDescent="0.2">
      <c r="A1974" s="5">
        <v>1984</v>
      </c>
      <c r="B1974" s="8" t="s">
        <v>5252</v>
      </c>
      <c r="H1974" s="8" t="s">
        <v>5253</v>
      </c>
      <c r="I1974" s="8" t="s">
        <v>5253</v>
      </c>
      <c r="J1974" s="5">
        <v>0</v>
      </c>
      <c r="K1974" s="5" t="s">
        <v>292</v>
      </c>
      <c r="L1974" s="5" t="s">
        <v>4781</v>
      </c>
      <c r="M1974" s="5">
        <v>48</v>
      </c>
      <c r="N1974" s="5" t="s">
        <v>3797</v>
      </c>
      <c r="O1974" s="5" t="s">
        <v>574</v>
      </c>
      <c r="Q1974" s="5" t="s">
        <v>5254</v>
      </c>
      <c r="R1974" s="6"/>
      <c r="S1974" s="6"/>
    </row>
    <row r="1975" spans="1:19" x14ac:dyDescent="0.2">
      <c r="A1975" s="5">
        <v>1985</v>
      </c>
      <c r="B1975" s="8" t="s">
        <v>5255</v>
      </c>
      <c r="H1975" s="8" t="s">
        <v>5256</v>
      </c>
      <c r="I1975" s="8" t="s">
        <v>5256</v>
      </c>
      <c r="J1975" s="5">
        <v>10</v>
      </c>
      <c r="K1975" s="5" t="s">
        <v>292</v>
      </c>
      <c r="L1975" s="5" t="s">
        <v>4781</v>
      </c>
      <c r="M1975" s="5">
        <v>48</v>
      </c>
      <c r="N1975" s="5" t="s">
        <v>3797</v>
      </c>
      <c r="O1975" s="5" t="s">
        <v>574</v>
      </c>
      <c r="Q1975" s="5" t="s">
        <v>5207</v>
      </c>
      <c r="R1975" s="6"/>
      <c r="S1975" s="6" t="s">
        <v>328</v>
      </c>
    </row>
    <row r="1976" spans="1:19" x14ac:dyDescent="0.2">
      <c r="A1976" s="5">
        <v>1986</v>
      </c>
      <c r="B1976" s="8" t="s">
        <v>5257</v>
      </c>
      <c r="H1976" s="8" t="s">
        <v>5258</v>
      </c>
      <c r="I1976" s="8" t="s">
        <v>5257</v>
      </c>
      <c r="J1976" s="5">
        <v>6</v>
      </c>
      <c r="K1976" s="5" t="s">
        <v>292</v>
      </c>
      <c r="L1976" s="5" t="s">
        <v>4781</v>
      </c>
      <c r="M1976" s="5">
        <v>48</v>
      </c>
      <c r="N1976" s="5" t="s">
        <v>3797</v>
      </c>
      <c r="O1976" s="5" t="s">
        <v>574</v>
      </c>
      <c r="Q1976" s="10" t="s">
        <v>553</v>
      </c>
    </row>
    <row r="1977" spans="1:19" x14ac:dyDescent="0.2">
      <c r="A1977" s="5">
        <v>2302</v>
      </c>
      <c r="B1977" s="8" t="s">
        <v>5259</v>
      </c>
      <c r="H1977" s="8" t="s">
        <v>5132</v>
      </c>
      <c r="I1977" s="8" t="s">
        <v>5132</v>
      </c>
      <c r="J1977" s="5">
        <v>0</v>
      </c>
      <c r="K1977" s="5" t="s">
        <v>292</v>
      </c>
      <c r="L1977" s="5" t="s">
        <v>4781</v>
      </c>
      <c r="M1977" s="5">
        <v>48</v>
      </c>
      <c r="N1977" s="5" t="s">
        <v>5025</v>
      </c>
      <c r="O1977" s="5" t="s">
        <v>574</v>
      </c>
      <c r="Q1977" s="5" t="s">
        <v>5152</v>
      </c>
    </row>
    <row r="1978" spans="1:19" x14ac:dyDescent="0.2">
      <c r="A1978" s="5">
        <v>2307</v>
      </c>
      <c r="B1978" s="8" t="s">
        <v>5130</v>
      </c>
      <c r="H1978" s="8" t="s">
        <v>5131</v>
      </c>
      <c r="I1978" s="8" t="s">
        <v>5132</v>
      </c>
      <c r="J1978" s="5">
        <v>0</v>
      </c>
      <c r="K1978" s="5" t="s">
        <v>292</v>
      </c>
      <c r="L1978" s="5" t="s">
        <v>4781</v>
      </c>
      <c r="M1978" s="5">
        <v>48</v>
      </c>
      <c r="N1978" s="5" t="s">
        <v>5025</v>
      </c>
      <c r="O1978" s="5" t="s">
        <v>574</v>
      </c>
      <c r="Q1978" s="5" t="s">
        <v>5245</v>
      </c>
    </row>
    <row r="1979" spans="1:19" x14ac:dyDescent="0.2">
      <c r="A1979" s="5">
        <v>2308</v>
      </c>
      <c r="B1979" s="8" t="s">
        <v>5260</v>
      </c>
      <c r="H1979" s="8" t="s">
        <v>5261</v>
      </c>
      <c r="I1979" s="8" t="s">
        <v>5261</v>
      </c>
      <c r="J1979" s="5">
        <v>2</v>
      </c>
      <c r="K1979" s="5" t="s">
        <v>292</v>
      </c>
      <c r="L1979" s="5" t="s">
        <v>4781</v>
      </c>
      <c r="M1979" s="5">
        <v>48</v>
      </c>
      <c r="N1979" s="5" t="s">
        <v>5025</v>
      </c>
      <c r="O1979" s="5" t="s">
        <v>574</v>
      </c>
      <c r="Q1979" s="5" t="s">
        <v>5262</v>
      </c>
    </row>
    <row r="1980" spans="1:19" x14ac:dyDescent="0.2">
      <c r="A1980" s="5">
        <v>2315</v>
      </c>
      <c r="B1980" s="8" t="s">
        <v>5263</v>
      </c>
      <c r="H1980" s="8" t="s">
        <v>5226</v>
      </c>
      <c r="I1980" s="8" t="s">
        <v>5226</v>
      </c>
      <c r="J1980" s="5">
        <f>2</f>
        <v>2</v>
      </c>
      <c r="K1980" s="5" t="s">
        <v>292</v>
      </c>
      <c r="L1980" s="5" t="s">
        <v>4781</v>
      </c>
      <c r="M1980" s="5">
        <v>48</v>
      </c>
      <c r="N1980" s="5" t="s">
        <v>5025</v>
      </c>
      <c r="O1980" s="5" t="s">
        <v>574</v>
      </c>
      <c r="Q1980" s="5" t="s">
        <v>5248</v>
      </c>
    </row>
    <row r="1981" spans="1:19" x14ac:dyDescent="0.2">
      <c r="A1981" s="5">
        <v>2320</v>
      </c>
      <c r="B1981" s="8" t="s">
        <v>5264</v>
      </c>
      <c r="H1981" s="8" t="s">
        <v>5265</v>
      </c>
      <c r="I1981" s="8" t="s">
        <v>5265</v>
      </c>
      <c r="J1981" s="5">
        <f>59-4</f>
        <v>55</v>
      </c>
      <c r="K1981" s="5" t="s">
        <v>292</v>
      </c>
      <c r="L1981" s="5" t="s">
        <v>4781</v>
      </c>
      <c r="M1981" s="5">
        <v>48</v>
      </c>
      <c r="N1981" s="5" t="s">
        <v>5025</v>
      </c>
      <c r="O1981" s="5" t="s">
        <v>574</v>
      </c>
      <c r="Q1981" s="5" t="s">
        <v>5209</v>
      </c>
    </row>
    <row r="1982" spans="1:19" x14ac:dyDescent="0.2">
      <c r="A1982" s="5">
        <v>2321</v>
      </c>
      <c r="B1982" s="8" t="s">
        <v>5266</v>
      </c>
      <c r="H1982" s="8" t="s">
        <v>5267</v>
      </c>
      <c r="I1982" s="8" t="s">
        <v>5267</v>
      </c>
      <c r="J1982" s="5">
        <v>16</v>
      </c>
      <c r="K1982" s="5" t="s">
        <v>292</v>
      </c>
      <c r="L1982" s="5" t="s">
        <v>4781</v>
      </c>
      <c r="M1982" s="5">
        <v>48</v>
      </c>
      <c r="N1982" s="5" t="s">
        <v>5025</v>
      </c>
      <c r="O1982" s="5" t="s">
        <v>574</v>
      </c>
      <c r="Q1982" s="5" t="s">
        <v>5227</v>
      </c>
    </row>
    <row r="1983" spans="1:19" x14ac:dyDescent="0.2">
      <c r="A1983" s="5">
        <v>2322</v>
      </c>
      <c r="B1983" s="8" t="s">
        <v>5268</v>
      </c>
      <c r="H1983" s="8" t="s">
        <v>5269</v>
      </c>
      <c r="I1983" s="8" t="s">
        <v>5269</v>
      </c>
      <c r="J1983" s="5">
        <v>0</v>
      </c>
      <c r="K1983" s="5" t="s">
        <v>292</v>
      </c>
      <c r="L1983" s="5" t="s">
        <v>4781</v>
      </c>
      <c r="M1983" s="5">
        <v>48</v>
      </c>
      <c r="N1983" s="5" t="s">
        <v>5025</v>
      </c>
      <c r="O1983" s="5" t="s">
        <v>574</v>
      </c>
      <c r="Q1983" s="5" t="s">
        <v>5230</v>
      </c>
    </row>
    <row r="1984" spans="1:19" x14ac:dyDescent="0.2">
      <c r="A1984" s="5">
        <v>2391</v>
      </c>
      <c r="B1984" s="8" t="s">
        <v>5270</v>
      </c>
      <c r="H1984" s="8" t="s">
        <v>5271</v>
      </c>
      <c r="I1984" s="8" t="s">
        <v>5271</v>
      </c>
      <c r="J1984" s="5">
        <v>2</v>
      </c>
      <c r="K1984" s="5" t="s">
        <v>292</v>
      </c>
      <c r="L1984" s="5" t="s">
        <v>4781</v>
      </c>
      <c r="M1984" s="5">
        <v>48</v>
      </c>
      <c r="N1984" s="5" t="s">
        <v>5025</v>
      </c>
      <c r="O1984" s="5" t="s">
        <v>520</v>
      </c>
      <c r="Q1984" s="5" t="s">
        <v>5272</v>
      </c>
    </row>
    <row r="1985" spans="1:19" x14ac:dyDescent="0.2">
      <c r="A1985" s="5">
        <v>2313</v>
      </c>
      <c r="B1985" s="8" t="s">
        <v>5273</v>
      </c>
      <c r="H1985" s="8" t="s">
        <v>5274</v>
      </c>
      <c r="I1985" s="8" t="s">
        <v>5274</v>
      </c>
      <c r="J1985" s="5">
        <v>23</v>
      </c>
      <c r="K1985" s="5" t="s">
        <v>292</v>
      </c>
      <c r="L1985" s="5" t="s">
        <v>4781</v>
      </c>
      <c r="M1985" s="5">
        <v>49</v>
      </c>
      <c r="N1985" s="5" t="s">
        <v>5025</v>
      </c>
      <c r="O1985" s="5" t="s">
        <v>574</v>
      </c>
      <c r="Q1985" s="5" t="s">
        <v>5207</v>
      </c>
      <c r="R1985" s="6"/>
      <c r="S1985" s="6" t="s">
        <v>328</v>
      </c>
    </row>
    <row r="1986" spans="1:19" x14ac:dyDescent="0.2">
      <c r="A1986" s="5">
        <v>1987</v>
      </c>
      <c r="B1986" s="8" t="s">
        <v>5275</v>
      </c>
      <c r="H1986" s="8" t="s">
        <v>5276</v>
      </c>
      <c r="I1986" s="8" t="s">
        <v>5277</v>
      </c>
      <c r="J1986" s="5">
        <v>10</v>
      </c>
      <c r="K1986" s="5" t="s">
        <v>292</v>
      </c>
      <c r="L1986" s="5" t="s">
        <v>4781</v>
      </c>
      <c r="M1986" s="5">
        <v>49</v>
      </c>
      <c r="N1986" s="5" t="s">
        <v>3797</v>
      </c>
      <c r="O1986" s="5" t="s">
        <v>574</v>
      </c>
      <c r="Q1986" s="10" t="s">
        <v>553</v>
      </c>
      <c r="R1986" s="6"/>
      <c r="S1986" s="6" t="s">
        <v>328</v>
      </c>
    </row>
    <row r="1987" spans="1:19" x14ac:dyDescent="0.2">
      <c r="A1987" s="5">
        <v>1988</v>
      </c>
      <c r="B1987" s="8" t="s">
        <v>5278</v>
      </c>
      <c r="H1987" s="8" t="s">
        <v>5279</v>
      </c>
      <c r="I1987" s="8" t="s">
        <v>5278</v>
      </c>
      <c r="J1987" s="5">
        <v>0</v>
      </c>
      <c r="K1987" s="5" t="s">
        <v>292</v>
      </c>
      <c r="L1987" s="5" t="s">
        <v>4781</v>
      </c>
      <c r="M1987" s="5">
        <v>49</v>
      </c>
      <c r="N1987" s="5" t="s">
        <v>3797</v>
      </c>
      <c r="O1987" s="5" t="s">
        <v>574</v>
      </c>
      <c r="Q1987" s="10" t="s">
        <v>553</v>
      </c>
      <c r="R1987" s="6"/>
      <c r="S1987" s="6"/>
    </row>
    <row r="1988" spans="1:19" x14ac:dyDescent="0.2">
      <c r="A1988" s="5">
        <v>1989</v>
      </c>
      <c r="B1988" s="8" t="s">
        <v>5280</v>
      </c>
      <c r="H1988" s="8" t="s">
        <v>5281</v>
      </c>
      <c r="I1988" s="8" t="s">
        <v>5282</v>
      </c>
      <c r="J1988" s="5">
        <v>465</v>
      </c>
      <c r="K1988" s="5" t="s">
        <v>292</v>
      </c>
      <c r="L1988" s="5" t="s">
        <v>4781</v>
      </c>
      <c r="M1988" s="5">
        <v>49</v>
      </c>
      <c r="N1988" s="5" t="s">
        <v>3797</v>
      </c>
      <c r="O1988" s="5" t="s">
        <v>574</v>
      </c>
      <c r="Q1988" s="10" t="s">
        <v>5283</v>
      </c>
      <c r="R1988" s="6"/>
      <c r="S1988" s="6"/>
    </row>
    <row r="1989" spans="1:19" x14ac:dyDescent="0.2">
      <c r="A1989" s="5">
        <v>1990</v>
      </c>
      <c r="B1989" s="8" t="s">
        <v>5284</v>
      </c>
      <c r="H1989" s="8" t="s">
        <v>5284</v>
      </c>
      <c r="I1989" s="8" t="s">
        <v>5284</v>
      </c>
      <c r="J1989" s="5">
        <v>0</v>
      </c>
      <c r="K1989" s="5" t="s">
        <v>292</v>
      </c>
      <c r="L1989" s="5" t="s">
        <v>4781</v>
      </c>
      <c r="M1989" s="5">
        <v>49</v>
      </c>
      <c r="N1989" s="5" t="s">
        <v>3797</v>
      </c>
      <c r="O1989" s="5" t="s">
        <v>574</v>
      </c>
      <c r="Q1989" s="5" t="s">
        <v>5285</v>
      </c>
      <c r="R1989" s="6"/>
      <c r="S1989" s="6" t="s">
        <v>328</v>
      </c>
    </row>
    <row r="1990" spans="1:19" x14ac:dyDescent="0.2">
      <c r="A1990" s="5">
        <v>1991</v>
      </c>
      <c r="B1990" s="8" t="s">
        <v>5286</v>
      </c>
      <c r="H1990" s="8" t="s">
        <v>5287</v>
      </c>
      <c r="I1990" s="8" t="s">
        <v>5287</v>
      </c>
      <c r="J1990" s="5">
        <v>0</v>
      </c>
      <c r="K1990" s="5" t="s">
        <v>292</v>
      </c>
      <c r="L1990" s="5" t="s">
        <v>4781</v>
      </c>
      <c r="M1990" s="5">
        <v>49</v>
      </c>
      <c r="N1990" s="5" t="s">
        <v>3797</v>
      </c>
      <c r="O1990" s="5" t="s">
        <v>574</v>
      </c>
      <c r="Q1990" s="10" t="s">
        <v>553</v>
      </c>
      <c r="R1990" s="6"/>
      <c r="S1990" s="6" t="s">
        <v>328</v>
      </c>
    </row>
    <row r="1991" spans="1:19" x14ac:dyDescent="0.2">
      <c r="A1991" s="5">
        <v>1992</v>
      </c>
      <c r="B1991" s="8" t="s">
        <v>5288</v>
      </c>
      <c r="H1991" s="8" t="s">
        <v>5289</v>
      </c>
      <c r="I1991" s="8" t="s">
        <v>5290</v>
      </c>
      <c r="J1991" s="5">
        <v>0</v>
      </c>
      <c r="K1991" s="5" t="s">
        <v>292</v>
      </c>
      <c r="L1991" s="5" t="s">
        <v>4781</v>
      </c>
      <c r="M1991" s="5">
        <v>49</v>
      </c>
      <c r="N1991" s="5" t="s">
        <v>3797</v>
      </c>
      <c r="O1991" s="5" t="s">
        <v>574</v>
      </c>
      <c r="Q1991" s="10" t="s">
        <v>553</v>
      </c>
      <c r="R1991" s="6"/>
      <c r="S1991" s="6" t="s">
        <v>328</v>
      </c>
    </row>
    <row r="1992" spans="1:19" x14ac:dyDescent="0.2">
      <c r="A1992" s="5">
        <v>1993</v>
      </c>
      <c r="B1992" s="8" t="s">
        <v>5291</v>
      </c>
      <c r="H1992" s="8" t="s">
        <v>5292</v>
      </c>
      <c r="I1992" s="8" t="s">
        <v>5293</v>
      </c>
      <c r="J1992" s="5">
        <v>6</v>
      </c>
      <c r="K1992" s="5" t="s">
        <v>292</v>
      </c>
      <c r="L1992" s="5" t="s">
        <v>4781</v>
      </c>
      <c r="M1992" s="5">
        <v>49</v>
      </c>
      <c r="N1992" s="5" t="s">
        <v>3797</v>
      </c>
      <c r="O1992" s="5" t="s">
        <v>574</v>
      </c>
      <c r="Q1992" s="10" t="s">
        <v>553</v>
      </c>
      <c r="R1992" s="6"/>
      <c r="S1992" s="6" t="s">
        <v>328</v>
      </c>
    </row>
    <row r="1993" spans="1:19" x14ac:dyDescent="0.2">
      <c r="A1993" s="5">
        <v>1994</v>
      </c>
      <c r="B1993" s="8" t="s">
        <v>5025</v>
      </c>
      <c r="H1993" s="8" t="s">
        <v>5294</v>
      </c>
      <c r="I1993" s="8" t="s">
        <v>5025</v>
      </c>
      <c r="J1993" s="5">
        <v>0</v>
      </c>
      <c r="K1993" s="5" t="s">
        <v>292</v>
      </c>
      <c r="L1993" s="5" t="s">
        <v>4781</v>
      </c>
      <c r="M1993" s="5">
        <v>49</v>
      </c>
      <c r="N1993" s="5" t="s">
        <v>3797</v>
      </c>
      <c r="O1993" s="5" t="s">
        <v>574</v>
      </c>
      <c r="Q1993" s="10" t="s">
        <v>553</v>
      </c>
      <c r="R1993" s="6"/>
      <c r="S1993" s="6" t="s">
        <v>1139</v>
      </c>
    </row>
    <row r="1994" spans="1:19" x14ac:dyDescent="0.2">
      <c r="A1994" s="5">
        <v>1995</v>
      </c>
      <c r="B1994" s="8" t="s">
        <v>5295</v>
      </c>
      <c r="H1994" s="8" t="s">
        <v>5025</v>
      </c>
      <c r="I1994" s="8" t="s">
        <v>5025</v>
      </c>
      <c r="J1994" s="5">
        <v>0</v>
      </c>
      <c r="K1994" s="5" t="s">
        <v>292</v>
      </c>
      <c r="L1994" s="5" t="s">
        <v>4781</v>
      </c>
      <c r="M1994" s="5">
        <v>49</v>
      </c>
      <c r="N1994" s="5" t="s">
        <v>3797</v>
      </c>
      <c r="O1994" s="5" t="s">
        <v>574</v>
      </c>
      <c r="Q1994" s="10" t="s">
        <v>553</v>
      </c>
      <c r="R1994" s="6"/>
      <c r="S1994" s="6" t="s">
        <v>328</v>
      </c>
    </row>
    <row r="1995" spans="1:19" x14ac:dyDescent="0.2">
      <c r="A1995" s="5">
        <v>1996</v>
      </c>
      <c r="B1995" s="8" t="s">
        <v>5296</v>
      </c>
      <c r="H1995" s="8" t="s">
        <v>5297</v>
      </c>
      <c r="I1995" s="8" t="s">
        <v>5298</v>
      </c>
      <c r="J1995" s="5">
        <v>0</v>
      </c>
      <c r="K1995" s="5" t="s">
        <v>292</v>
      </c>
      <c r="L1995" s="5" t="s">
        <v>4781</v>
      </c>
      <c r="M1995" s="5">
        <v>49</v>
      </c>
      <c r="N1995" s="5" t="s">
        <v>3797</v>
      </c>
      <c r="O1995" s="5" t="s">
        <v>574</v>
      </c>
      <c r="Q1995" s="10" t="s">
        <v>553</v>
      </c>
      <c r="R1995" s="6"/>
      <c r="S1995" s="6" t="s">
        <v>328</v>
      </c>
    </row>
    <row r="1996" spans="1:19" x14ac:dyDescent="0.2">
      <c r="A1996" s="5">
        <v>1997</v>
      </c>
      <c r="B1996" s="8" t="s">
        <v>5299</v>
      </c>
      <c r="H1996" s="8" t="s">
        <v>5300</v>
      </c>
      <c r="I1996" s="8" t="s">
        <v>5025</v>
      </c>
      <c r="J1996" s="5">
        <v>2</v>
      </c>
      <c r="K1996" s="5" t="s">
        <v>292</v>
      </c>
      <c r="L1996" s="5" t="s">
        <v>4781</v>
      </c>
      <c r="M1996" s="5">
        <v>49</v>
      </c>
      <c r="N1996" s="5" t="s">
        <v>3797</v>
      </c>
      <c r="O1996" s="5" t="s">
        <v>574</v>
      </c>
      <c r="Q1996" s="10" t="s">
        <v>553</v>
      </c>
      <c r="R1996" s="6"/>
      <c r="S1996" s="6"/>
    </row>
    <row r="1997" spans="1:19" x14ac:dyDescent="0.2">
      <c r="A1997" s="5">
        <v>1998</v>
      </c>
      <c r="B1997" s="8" t="s">
        <v>5301</v>
      </c>
      <c r="H1997" s="8" t="s">
        <v>5302</v>
      </c>
      <c r="I1997" s="8" t="s">
        <v>5303</v>
      </c>
      <c r="J1997" s="5">
        <v>8</v>
      </c>
      <c r="K1997" s="5" t="s">
        <v>292</v>
      </c>
      <c r="L1997" s="5" t="s">
        <v>4781</v>
      </c>
      <c r="M1997" s="5">
        <v>49</v>
      </c>
      <c r="N1997" s="5" t="s">
        <v>3797</v>
      </c>
      <c r="O1997" s="5" t="s">
        <v>574</v>
      </c>
      <c r="Q1997" s="10" t="s">
        <v>553</v>
      </c>
      <c r="R1997" s="6"/>
      <c r="S1997" s="6"/>
    </row>
    <row r="1998" spans="1:19" x14ac:dyDescent="0.2">
      <c r="A1998" s="5">
        <v>1999</v>
      </c>
      <c r="B1998" s="8" t="s">
        <v>5304</v>
      </c>
      <c r="H1998" s="8" t="s">
        <v>5305</v>
      </c>
      <c r="I1998" s="8" t="s">
        <v>5306</v>
      </c>
      <c r="J1998" s="5">
        <v>15</v>
      </c>
      <c r="K1998" s="5" t="s">
        <v>292</v>
      </c>
      <c r="L1998" s="5" t="s">
        <v>4781</v>
      </c>
      <c r="M1998" s="5">
        <v>49</v>
      </c>
      <c r="N1998" s="5" t="s">
        <v>3797</v>
      </c>
      <c r="O1998" s="5" t="s">
        <v>574</v>
      </c>
      <c r="Q1998" s="10" t="s">
        <v>553</v>
      </c>
      <c r="R1998" s="6"/>
      <c r="S1998" s="6"/>
    </row>
    <row r="1999" spans="1:19" x14ac:dyDescent="0.2">
      <c r="A1999" s="5">
        <v>2000</v>
      </c>
      <c r="B1999" s="8" t="s">
        <v>5307</v>
      </c>
      <c r="H1999" s="8" t="s">
        <v>5308</v>
      </c>
      <c r="I1999" s="8" t="s">
        <v>5308</v>
      </c>
      <c r="J1999" s="5">
        <v>0</v>
      </c>
      <c r="K1999" s="5" t="s">
        <v>292</v>
      </c>
      <c r="L1999" s="5" t="s">
        <v>4781</v>
      </c>
      <c r="M1999" s="5">
        <v>49</v>
      </c>
      <c r="N1999" s="5" t="s">
        <v>3797</v>
      </c>
      <c r="O1999" s="5" t="s">
        <v>574</v>
      </c>
      <c r="Q1999" s="10" t="s">
        <v>5309</v>
      </c>
    </row>
    <row r="2000" spans="1:19" x14ac:dyDescent="0.2">
      <c r="A2000" s="5">
        <v>2306</v>
      </c>
      <c r="B2000" s="8" t="s">
        <v>5310</v>
      </c>
      <c r="H2000" s="8" t="s">
        <v>5298</v>
      </c>
      <c r="I2000" s="8" t="s">
        <v>5298</v>
      </c>
      <c r="J2000" s="5">
        <v>0</v>
      </c>
      <c r="K2000" s="5" t="s">
        <v>292</v>
      </c>
      <c r="L2000" s="5" t="s">
        <v>4781</v>
      </c>
      <c r="M2000" s="5">
        <v>49</v>
      </c>
      <c r="N2000" s="5" t="s">
        <v>5025</v>
      </c>
      <c r="O2000" s="5" t="s">
        <v>574</v>
      </c>
      <c r="Q2000" s="5" t="s">
        <v>5311</v>
      </c>
    </row>
    <row r="2001" spans="1:19" x14ac:dyDescent="0.2">
      <c r="A2001" s="5">
        <v>2312</v>
      </c>
      <c r="B2001" s="8" t="s">
        <v>5312</v>
      </c>
      <c r="H2001" s="8" t="s">
        <v>5313</v>
      </c>
      <c r="I2001" s="8" t="s">
        <v>5313</v>
      </c>
      <c r="J2001" s="5">
        <v>7</v>
      </c>
      <c r="K2001" s="5" t="s">
        <v>292</v>
      </c>
      <c r="L2001" s="5" t="s">
        <v>4781</v>
      </c>
      <c r="M2001" s="5">
        <v>49</v>
      </c>
      <c r="N2001" s="5" t="s">
        <v>5025</v>
      </c>
      <c r="O2001" s="5" t="s">
        <v>574</v>
      </c>
      <c r="Q2001" s="5" t="s">
        <v>5314</v>
      </c>
    </row>
    <row r="2002" spans="1:19" x14ac:dyDescent="0.2">
      <c r="A2002" s="5">
        <v>2389</v>
      </c>
      <c r="B2002" s="8" t="s">
        <v>5315</v>
      </c>
      <c r="H2002" s="8" t="s">
        <v>5316</v>
      </c>
      <c r="I2002" s="8" t="s">
        <v>5316</v>
      </c>
      <c r="J2002" s="5">
        <v>2</v>
      </c>
      <c r="K2002" s="5" t="s">
        <v>292</v>
      </c>
      <c r="L2002" s="5" t="s">
        <v>4781</v>
      </c>
      <c r="M2002" s="5">
        <v>49</v>
      </c>
      <c r="N2002" s="5" t="s">
        <v>5025</v>
      </c>
      <c r="O2002" s="5" t="s">
        <v>520</v>
      </c>
      <c r="Q2002" s="5" t="s">
        <v>5317</v>
      </c>
      <c r="R2002" s="6"/>
      <c r="S2002" s="6" t="s">
        <v>328</v>
      </c>
    </row>
    <row r="2003" spans="1:19" x14ac:dyDescent="0.2">
      <c r="A2003" s="5">
        <v>2028</v>
      </c>
      <c r="B2003" s="8" t="s">
        <v>5318</v>
      </c>
      <c r="H2003" s="8" t="s">
        <v>5319</v>
      </c>
      <c r="I2003" s="8" t="s">
        <v>5025</v>
      </c>
      <c r="J2003" s="5">
        <v>5</v>
      </c>
      <c r="K2003" s="5" t="s">
        <v>292</v>
      </c>
      <c r="L2003" s="5" t="s">
        <v>4781</v>
      </c>
      <c r="M2003" s="5">
        <v>50</v>
      </c>
      <c r="N2003" s="5" t="s">
        <v>3797</v>
      </c>
      <c r="O2003" s="5" t="s">
        <v>574</v>
      </c>
      <c r="Q2003" s="10" t="s">
        <v>553</v>
      </c>
      <c r="R2003" s="6"/>
      <c r="S2003" s="6" t="s">
        <v>328</v>
      </c>
    </row>
    <row r="2004" spans="1:19" x14ac:dyDescent="0.2">
      <c r="A2004" s="5">
        <v>2029</v>
      </c>
      <c r="B2004" s="8" t="s">
        <v>5320</v>
      </c>
      <c r="H2004" s="8" t="s">
        <v>5321</v>
      </c>
      <c r="I2004" s="8" t="s">
        <v>5025</v>
      </c>
      <c r="J2004" s="5">
        <v>0</v>
      </c>
      <c r="K2004" s="5" t="s">
        <v>292</v>
      </c>
      <c r="L2004" s="5" t="s">
        <v>4781</v>
      </c>
      <c r="M2004" s="5">
        <v>50</v>
      </c>
      <c r="N2004" s="5" t="s">
        <v>3797</v>
      </c>
      <c r="O2004" s="5" t="s">
        <v>574</v>
      </c>
      <c r="Q2004" s="10" t="s">
        <v>553</v>
      </c>
      <c r="R2004" s="6"/>
      <c r="S2004" s="6"/>
    </row>
    <row r="2005" spans="1:19" x14ac:dyDescent="0.2">
      <c r="A2005" s="5">
        <v>2030</v>
      </c>
      <c r="B2005" s="8" t="s">
        <v>5322</v>
      </c>
      <c r="H2005" s="8" t="s">
        <v>5323</v>
      </c>
      <c r="I2005" s="8" t="s">
        <v>5323</v>
      </c>
      <c r="J2005" s="5">
        <v>58</v>
      </c>
      <c r="K2005" s="5" t="s">
        <v>292</v>
      </c>
      <c r="L2005" s="5" t="s">
        <v>4781</v>
      </c>
      <c r="M2005" s="5">
        <v>50</v>
      </c>
      <c r="N2005" s="5" t="s">
        <v>3797</v>
      </c>
      <c r="O2005" s="5" t="s">
        <v>574</v>
      </c>
      <c r="Q2005" s="5" t="s">
        <v>5324</v>
      </c>
      <c r="R2005" s="6"/>
      <c r="S2005" s="6"/>
    </row>
    <row r="2006" spans="1:19" x14ac:dyDescent="0.2">
      <c r="A2006" s="5">
        <v>2031</v>
      </c>
      <c r="B2006" s="8" t="s">
        <v>5325</v>
      </c>
      <c r="H2006" s="8" t="s">
        <v>5326</v>
      </c>
      <c r="I2006" s="8" t="s">
        <v>5326</v>
      </c>
      <c r="J2006" s="5">
        <v>0</v>
      </c>
      <c r="K2006" s="5" t="s">
        <v>292</v>
      </c>
      <c r="L2006" s="5" t="s">
        <v>4781</v>
      </c>
      <c r="M2006" s="5">
        <v>50</v>
      </c>
      <c r="N2006" s="5" t="s">
        <v>3797</v>
      </c>
      <c r="O2006" s="5" t="s">
        <v>574</v>
      </c>
      <c r="Q2006" s="5" t="s">
        <v>5327</v>
      </c>
      <c r="R2006" s="6"/>
      <c r="S2006" s="6"/>
    </row>
    <row r="2007" spans="1:19" x14ac:dyDescent="0.2">
      <c r="A2007" s="5">
        <v>2001</v>
      </c>
      <c r="B2007" s="8" t="s">
        <v>5328</v>
      </c>
      <c r="H2007" s="8" t="s">
        <v>5329</v>
      </c>
      <c r="I2007" s="8" t="s">
        <v>5329</v>
      </c>
      <c r="J2007" s="5">
        <v>8</v>
      </c>
      <c r="K2007" s="5" t="s">
        <v>292</v>
      </c>
      <c r="L2007" s="5" t="s">
        <v>4781</v>
      </c>
      <c r="M2007" s="5">
        <v>51</v>
      </c>
      <c r="N2007" s="5" t="s">
        <v>3797</v>
      </c>
      <c r="O2007" s="5" t="s">
        <v>574</v>
      </c>
      <c r="Q2007" s="5" t="s">
        <v>5330</v>
      </c>
      <c r="R2007" s="6"/>
      <c r="S2007" s="6" t="s">
        <v>328</v>
      </c>
    </row>
    <row r="2008" spans="1:19" x14ac:dyDescent="0.2">
      <c r="A2008" s="5">
        <v>2002</v>
      </c>
      <c r="B2008" s="8" t="s">
        <v>5331</v>
      </c>
      <c r="H2008" s="8" t="s">
        <v>5332</v>
      </c>
      <c r="I2008" s="8" t="s">
        <v>5025</v>
      </c>
      <c r="J2008" s="5">
        <v>0</v>
      </c>
      <c r="K2008" s="5" t="s">
        <v>292</v>
      </c>
      <c r="L2008" s="5" t="s">
        <v>4781</v>
      </c>
      <c r="M2008" s="5">
        <v>51</v>
      </c>
      <c r="N2008" s="5" t="s">
        <v>3797</v>
      </c>
      <c r="O2008" s="5" t="s">
        <v>574</v>
      </c>
      <c r="Q2008" s="10" t="s">
        <v>553</v>
      </c>
      <c r="R2008" s="6"/>
      <c r="S2008" s="6" t="s">
        <v>328</v>
      </c>
    </row>
    <row r="2009" spans="1:19" x14ac:dyDescent="0.2">
      <c r="A2009" s="5">
        <v>2003</v>
      </c>
      <c r="B2009" s="8" t="s">
        <v>5333</v>
      </c>
      <c r="H2009" s="8" t="s">
        <v>5334</v>
      </c>
      <c r="I2009" s="8" t="s">
        <v>5333</v>
      </c>
      <c r="J2009" s="5">
        <v>0</v>
      </c>
      <c r="K2009" s="5" t="s">
        <v>292</v>
      </c>
      <c r="L2009" s="5" t="s">
        <v>4781</v>
      </c>
      <c r="M2009" s="5">
        <v>51</v>
      </c>
      <c r="N2009" s="5" t="s">
        <v>3797</v>
      </c>
      <c r="O2009" s="5" t="s">
        <v>574</v>
      </c>
      <c r="Q2009" s="10" t="s">
        <v>553</v>
      </c>
      <c r="R2009" s="6"/>
      <c r="S2009" s="6" t="s">
        <v>328</v>
      </c>
    </row>
    <row r="2010" spans="1:19" x14ac:dyDescent="0.2">
      <c r="A2010" s="5">
        <v>2004</v>
      </c>
      <c r="B2010" s="8" t="s">
        <v>5335</v>
      </c>
      <c r="H2010" s="8" t="s">
        <v>5336</v>
      </c>
      <c r="I2010" s="8" t="s">
        <v>5337</v>
      </c>
      <c r="J2010" s="5">
        <v>0</v>
      </c>
      <c r="K2010" s="5" t="s">
        <v>292</v>
      </c>
      <c r="L2010" s="5" t="s">
        <v>4781</v>
      </c>
      <c r="M2010" s="5">
        <v>51</v>
      </c>
      <c r="N2010" s="5" t="s">
        <v>3797</v>
      </c>
      <c r="O2010" s="5" t="s">
        <v>574</v>
      </c>
      <c r="Q2010" s="10" t="s">
        <v>553</v>
      </c>
      <c r="R2010" s="6"/>
      <c r="S2010" s="6" t="s">
        <v>328</v>
      </c>
    </row>
    <row r="2011" spans="1:19" x14ac:dyDescent="0.2">
      <c r="A2011" s="5">
        <v>2005</v>
      </c>
      <c r="B2011" s="8" t="s">
        <v>5338</v>
      </c>
      <c r="H2011" s="8" t="s">
        <v>5339</v>
      </c>
      <c r="I2011" s="8" t="s">
        <v>5025</v>
      </c>
      <c r="J2011" s="5">
        <v>0</v>
      </c>
      <c r="K2011" s="5" t="s">
        <v>292</v>
      </c>
      <c r="L2011" s="5" t="s">
        <v>4781</v>
      </c>
      <c r="M2011" s="5">
        <v>51</v>
      </c>
      <c r="N2011" s="5" t="s">
        <v>3797</v>
      </c>
      <c r="O2011" s="5" t="s">
        <v>574</v>
      </c>
      <c r="Q2011" s="10" t="s">
        <v>553</v>
      </c>
      <c r="R2011" s="6"/>
      <c r="S2011" s="6" t="s">
        <v>328</v>
      </c>
    </row>
    <row r="2012" spans="1:19" x14ac:dyDescent="0.2">
      <c r="A2012" s="5">
        <v>2006</v>
      </c>
      <c r="B2012" s="8" t="s">
        <v>5340</v>
      </c>
      <c r="H2012" s="8" t="s">
        <v>5341</v>
      </c>
      <c r="I2012" s="8" t="s">
        <v>5341</v>
      </c>
      <c r="J2012" s="5">
        <v>75</v>
      </c>
      <c r="K2012" s="5" t="s">
        <v>292</v>
      </c>
      <c r="L2012" s="5" t="s">
        <v>4781</v>
      </c>
      <c r="M2012" s="5">
        <v>51</v>
      </c>
      <c r="N2012" s="5" t="s">
        <v>3797</v>
      </c>
      <c r="O2012" s="5" t="s">
        <v>574</v>
      </c>
      <c r="Q2012" s="10" t="s">
        <v>553</v>
      </c>
    </row>
    <row r="2013" spans="1:19" x14ac:dyDescent="0.2">
      <c r="A2013" s="5">
        <v>236</v>
      </c>
      <c r="B2013" s="8" t="s">
        <v>5342</v>
      </c>
      <c r="H2013" s="8" t="s">
        <v>5343</v>
      </c>
      <c r="I2013" s="8" t="s">
        <v>5343</v>
      </c>
      <c r="J2013" s="5">
        <f>24-4</f>
        <v>20</v>
      </c>
      <c r="K2013" s="5" t="s">
        <v>292</v>
      </c>
      <c r="L2013" s="5" t="s">
        <v>4781</v>
      </c>
      <c r="M2013" s="5">
        <v>52</v>
      </c>
      <c r="N2013" s="5" t="s">
        <v>5025</v>
      </c>
      <c r="O2013" s="5" t="s">
        <v>520</v>
      </c>
      <c r="Q2013" s="5" t="s">
        <v>5223</v>
      </c>
      <c r="R2013" s="6"/>
      <c r="S2013" s="6"/>
    </row>
    <row r="2014" spans="1:19" x14ac:dyDescent="0.2">
      <c r="A2014" s="5">
        <v>1960</v>
      </c>
      <c r="B2014" s="8" t="s">
        <v>5344</v>
      </c>
      <c r="H2014" s="8" t="s">
        <v>5345</v>
      </c>
      <c r="I2014" s="8" t="s">
        <v>5345</v>
      </c>
      <c r="J2014" s="5">
        <v>14</v>
      </c>
      <c r="K2014" s="5" t="s">
        <v>292</v>
      </c>
      <c r="L2014" s="5" t="s">
        <v>4781</v>
      </c>
      <c r="M2014" s="5">
        <v>52</v>
      </c>
      <c r="N2014" s="5" t="s">
        <v>3797</v>
      </c>
      <c r="O2014" s="5" t="s">
        <v>574</v>
      </c>
      <c r="Q2014" s="10" t="s">
        <v>5346</v>
      </c>
      <c r="R2014" s="6"/>
      <c r="S2014" s="6" t="s">
        <v>328</v>
      </c>
    </row>
    <row r="2015" spans="1:19" x14ac:dyDescent="0.2">
      <c r="A2015" s="5">
        <v>2007</v>
      </c>
      <c r="B2015" s="8" t="s">
        <v>5347</v>
      </c>
      <c r="H2015" s="8" t="s">
        <v>5347</v>
      </c>
      <c r="I2015" s="8" t="s">
        <v>5025</v>
      </c>
      <c r="J2015" s="5">
        <f>27</f>
        <v>27</v>
      </c>
      <c r="K2015" s="5" t="s">
        <v>292</v>
      </c>
      <c r="L2015" s="5" t="s">
        <v>4781</v>
      </c>
      <c r="M2015" s="5">
        <v>52</v>
      </c>
      <c r="N2015" s="5" t="s">
        <v>3797</v>
      </c>
      <c r="O2015" s="5" t="s">
        <v>574</v>
      </c>
      <c r="Q2015" s="10" t="s">
        <v>553</v>
      </c>
      <c r="R2015" s="6"/>
      <c r="S2015" s="6" t="s">
        <v>328</v>
      </c>
    </row>
    <row r="2016" spans="1:19" x14ac:dyDescent="0.2">
      <c r="A2016" s="5">
        <v>2008</v>
      </c>
      <c r="B2016" s="8" t="s">
        <v>5348</v>
      </c>
      <c r="H2016" s="8" t="s">
        <v>5349</v>
      </c>
      <c r="I2016" s="8" t="s">
        <v>5350</v>
      </c>
      <c r="J2016" s="5">
        <v>0</v>
      </c>
      <c r="K2016" s="5" t="s">
        <v>292</v>
      </c>
      <c r="L2016" s="5" t="s">
        <v>4781</v>
      </c>
      <c r="M2016" s="5">
        <v>52</v>
      </c>
      <c r="N2016" s="5" t="s">
        <v>3797</v>
      </c>
      <c r="O2016" s="5" t="s">
        <v>574</v>
      </c>
      <c r="Q2016" s="10" t="s">
        <v>553</v>
      </c>
      <c r="R2016" s="6"/>
      <c r="S2016" s="6" t="s">
        <v>328</v>
      </c>
    </row>
    <row r="2017" spans="1:19" x14ac:dyDescent="0.2">
      <c r="A2017" s="5">
        <v>2009</v>
      </c>
      <c r="B2017" s="8" t="s">
        <v>5351</v>
      </c>
      <c r="H2017" s="8" t="s">
        <v>5025</v>
      </c>
      <c r="I2017" s="8" t="s">
        <v>5025</v>
      </c>
      <c r="J2017" s="5">
        <v>0</v>
      </c>
      <c r="K2017" s="5" t="s">
        <v>292</v>
      </c>
      <c r="L2017" s="5" t="s">
        <v>4781</v>
      </c>
      <c r="M2017" s="5">
        <v>52</v>
      </c>
      <c r="N2017" s="5" t="s">
        <v>3797</v>
      </c>
      <c r="O2017" s="5" t="s">
        <v>574</v>
      </c>
      <c r="Q2017" s="10" t="s">
        <v>553</v>
      </c>
      <c r="R2017" s="6"/>
      <c r="S2017" s="6"/>
    </row>
    <row r="2018" spans="1:19" x14ac:dyDescent="0.2">
      <c r="A2018" s="5">
        <v>2010</v>
      </c>
      <c r="B2018" s="8" t="s">
        <v>5351</v>
      </c>
      <c r="H2018" s="8" t="s">
        <v>5352</v>
      </c>
      <c r="I2018" s="8" t="s">
        <v>5352</v>
      </c>
      <c r="J2018" s="5">
        <v>0</v>
      </c>
      <c r="K2018" s="5" t="s">
        <v>292</v>
      </c>
      <c r="L2018" s="5" t="s">
        <v>4781</v>
      </c>
      <c r="M2018" s="5">
        <v>52</v>
      </c>
      <c r="N2018" s="5" t="s">
        <v>3797</v>
      </c>
      <c r="O2018" s="5" t="s">
        <v>574</v>
      </c>
      <c r="Q2018" s="10" t="s">
        <v>5353</v>
      </c>
      <c r="R2018" s="6"/>
      <c r="S2018" s="6" t="s">
        <v>328</v>
      </c>
    </row>
    <row r="2019" spans="1:19" x14ac:dyDescent="0.2">
      <c r="A2019" s="5">
        <v>2011</v>
      </c>
      <c r="B2019" s="8" t="s">
        <v>5354</v>
      </c>
      <c r="H2019" s="8" t="s">
        <v>5355</v>
      </c>
      <c r="I2019" s="8" t="s">
        <v>5355</v>
      </c>
      <c r="J2019" s="5">
        <v>6</v>
      </c>
      <c r="K2019" s="5" t="s">
        <v>292</v>
      </c>
      <c r="L2019" s="5" t="s">
        <v>4781</v>
      </c>
      <c r="M2019" s="5">
        <v>52</v>
      </c>
      <c r="N2019" s="5" t="s">
        <v>3797</v>
      </c>
      <c r="O2019" s="5" t="s">
        <v>574</v>
      </c>
      <c r="Q2019" s="10" t="s">
        <v>553</v>
      </c>
      <c r="R2019" s="6"/>
      <c r="S2019" s="6" t="s">
        <v>328</v>
      </c>
    </row>
    <row r="2020" spans="1:19" x14ac:dyDescent="0.2">
      <c r="A2020" s="5">
        <v>2012</v>
      </c>
      <c r="B2020" s="8" t="s">
        <v>5356</v>
      </c>
      <c r="H2020" s="8" t="s">
        <v>5357</v>
      </c>
      <c r="I2020" s="8" t="s">
        <v>5357</v>
      </c>
      <c r="J2020" s="5">
        <v>11</v>
      </c>
      <c r="K2020" s="5" t="s">
        <v>292</v>
      </c>
      <c r="L2020" s="5" t="s">
        <v>4781</v>
      </c>
      <c r="M2020" s="5">
        <v>52</v>
      </c>
      <c r="N2020" s="5" t="s">
        <v>3797</v>
      </c>
      <c r="O2020" s="5" t="s">
        <v>574</v>
      </c>
      <c r="Q2020" s="10" t="s">
        <v>553</v>
      </c>
      <c r="R2020" s="6"/>
      <c r="S2020" s="6" t="s">
        <v>1139</v>
      </c>
    </row>
    <row r="2021" spans="1:19" x14ac:dyDescent="0.2">
      <c r="A2021" s="5">
        <v>2013</v>
      </c>
      <c r="B2021" s="8" t="s">
        <v>5344</v>
      </c>
      <c r="H2021" s="8" t="s">
        <v>5358</v>
      </c>
      <c r="I2021" s="8" t="s">
        <v>5359</v>
      </c>
      <c r="J2021" s="5">
        <v>14</v>
      </c>
      <c r="K2021" s="5" t="s">
        <v>292</v>
      </c>
      <c r="L2021" s="5" t="s">
        <v>4781</v>
      </c>
      <c r="M2021" s="5">
        <v>52</v>
      </c>
      <c r="N2021" s="5" t="s">
        <v>3797</v>
      </c>
      <c r="O2021" s="5" t="s">
        <v>574</v>
      </c>
      <c r="Q2021" s="10" t="s">
        <v>553</v>
      </c>
    </row>
    <row r="2022" spans="1:19" x14ac:dyDescent="0.2">
      <c r="A2022" s="5">
        <v>2318</v>
      </c>
      <c r="B2022" s="8" t="s">
        <v>5360</v>
      </c>
      <c r="H2022" s="8" t="s">
        <v>5361</v>
      </c>
      <c r="I2022" s="8" t="s">
        <v>5361</v>
      </c>
      <c r="J2022" s="5">
        <v>0</v>
      </c>
      <c r="K2022" s="5" t="s">
        <v>292</v>
      </c>
      <c r="L2022" s="5" t="s">
        <v>4781</v>
      </c>
      <c r="M2022" s="5">
        <v>52</v>
      </c>
      <c r="N2022" s="5" t="s">
        <v>5025</v>
      </c>
      <c r="O2022" s="5" t="s">
        <v>574</v>
      </c>
      <c r="Q2022" s="5" t="s">
        <v>5223</v>
      </c>
    </row>
    <row r="2023" spans="1:19" x14ac:dyDescent="0.2">
      <c r="A2023" s="5">
        <v>2326</v>
      </c>
      <c r="B2023" s="8" t="s">
        <v>5362</v>
      </c>
      <c r="H2023" s="8" t="s">
        <v>5363</v>
      </c>
      <c r="I2023" s="8" t="s">
        <v>5363</v>
      </c>
      <c r="J2023" s="5">
        <f>2+2</f>
        <v>4</v>
      </c>
      <c r="K2023" s="5" t="s">
        <v>292</v>
      </c>
      <c r="L2023" s="5" t="s">
        <v>4781</v>
      </c>
      <c r="M2023" s="5">
        <v>52</v>
      </c>
      <c r="N2023" s="5" t="s">
        <v>5025</v>
      </c>
      <c r="O2023" s="5" t="s">
        <v>574</v>
      </c>
      <c r="Q2023" s="5" t="s">
        <v>5314</v>
      </c>
    </row>
    <row r="2024" spans="1:19" x14ac:dyDescent="0.2">
      <c r="A2024" s="5"/>
      <c r="B2024" s="8" t="s">
        <v>5364</v>
      </c>
      <c r="H2024" s="8" t="s">
        <v>5365</v>
      </c>
      <c r="I2024" s="8" t="s">
        <v>5366</v>
      </c>
      <c r="J2024" s="5">
        <v>4</v>
      </c>
      <c r="K2024" s="5" t="s">
        <v>292</v>
      </c>
      <c r="L2024" s="5" t="s">
        <v>4781</v>
      </c>
      <c r="M2024" s="5">
        <v>52</v>
      </c>
      <c r="N2024" s="5" t="s">
        <v>5025</v>
      </c>
      <c r="O2024" s="5" t="s">
        <v>574</v>
      </c>
    </row>
    <row r="2025" spans="1:19" x14ac:dyDescent="0.2">
      <c r="A2025" s="5">
        <v>300</v>
      </c>
      <c r="B2025" s="8" t="s">
        <v>5367</v>
      </c>
      <c r="H2025" s="8" t="s">
        <v>5368</v>
      </c>
      <c r="I2025" s="8" t="s">
        <v>5368</v>
      </c>
      <c r="J2025" s="5">
        <v>928</v>
      </c>
      <c r="K2025" s="5" t="s">
        <v>292</v>
      </c>
      <c r="L2025" s="5" t="s">
        <v>4781</v>
      </c>
      <c r="M2025" s="5">
        <v>53</v>
      </c>
      <c r="N2025" s="5" t="s">
        <v>3510</v>
      </c>
      <c r="O2025" s="5" t="s">
        <v>520</v>
      </c>
      <c r="Q2025" s="5" t="s">
        <v>5369</v>
      </c>
      <c r="R2025" s="6"/>
      <c r="S2025" s="6" t="s">
        <v>328</v>
      </c>
    </row>
    <row r="2026" spans="1:19" x14ac:dyDescent="0.2">
      <c r="A2026" s="5">
        <v>2014</v>
      </c>
      <c r="B2026" s="8" t="s">
        <v>5370</v>
      </c>
      <c r="H2026" s="8" t="s">
        <v>5371</v>
      </c>
      <c r="I2026" s="8" t="s">
        <v>5371</v>
      </c>
      <c r="J2026" s="5">
        <f>563+6</f>
        <v>569</v>
      </c>
      <c r="K2026" s="5" t="s">
        <v>292</v>
      </c>
      <c r="L2026" s="5" t="s">
        <v>4781</v>
      </c>
      <c r="M2026" s="5">
        <v>53</v>
      </c>
      <c r="N2026" s="5" t="s">
        <v>5372</v>
      </c>
      <c r="O2026" s="5" t="s">
        <v>574</v>
      </c>
      <c r="Q2026" s="10" t="s">
        <v>553</v>
      </c>
    </row>
    <row r="2027" spans="1:19" x14ac:dyDescent="0.2">
      <c r="A2027" s="5"/>
      <c r="B2027" s="8" t="s">
        <v>5373</v>
      </c>
      <c r="I2027" s="8" t="s">
        <v>5374</v>
      </c>
      <c r="J2027" s="5">
        <f>48</f>
        <v>48</v>
      </c>
      <c r="K2027" s="5" t="s">
        <v>292</v>
      </c>
      <c r="L2027" s="5" t="s">
        <v>4781</v>
      </c>
      <c r="M2027" s="5">
        <v>53</v>
      </c>
      <c r="Q2027" s="10"/>
    </row>
    <row r="2028" spans="1:19" x14ac:dyDescent="0.2">
      <c r="A2028" s="5"/>
      <c r="B2028" s="8" t="s">
        <v>5375</v>
      </c>
      <c r="I2028" s="8" t="s">
        <v>5376</v>
      </c>
      <c r="J2028" s="5">
        <f>100</f>
        <v>100</v>
      </c>
      <c r="K2028" s="5" t="s">
        <v>292</v>
      </c>
      <c r="L2028" s="5" t="s">
        <v>4781</v>
      </c>
      <c r="M2028" s="5">
        <v>53</v>
      </c>
      <c r="Q2028" s="10"/>
    </row>
    <row r="2029" spans="1:19" x14ac:dyDescent="0.2">
      <c r="A2029" s="5"/>
      <c r="B2029" s="8" t="s">
        <v>5377</v>
      </c>
      <c r="I2029" s="8" t="s">
        <v>5368</v>
      </c>
      <c r="J2029" s="5">
        <v>26</v>
      </c>
      <c r="K2029" s="5" t="s">
        <v>292</v>
      </c>
      <c r="L2029" s="5" t="s">
        <v>4781</v>
      </c>
      <c r="M2029" s="5">
        <v>54</v>
      </c>
      <c r="R2029" s="6"/>
      <c r="S2029" s="6"/>
    </row>
    <row r="2030" spans="1:19" x14ac:dyDescent="0.2">
      <c r="A2030" s="5">
        <v>2015</v>
      </c>
      <c r="B2030" s="8" t="s">
        <v>5377</v>
      </c>
      <c r="H2030" s="8" t="s">
        <v>5371</v>
      </c>
      <c r="I2030" s="8" t="s">
        <v>5378</v>
      </c>
      <c r="J2030" s="5">
        <f>1000-32-16</f>
        <v>952</v>
      </c>
      <c r="K2030" s="5" t="s">
        <v>292</v>
      </c>
      <c r="L2030" s="5" t="s">
        <v>4781</v>
      </c>
      <c r="M2030" s="5">
        <v>54</v>
      </c>
      <c r="N2030" s="5" t="s">
        <v>5372</v>
      </c>
      <c r="O2030" s="5" t="s">
        <v>574</v>
      </c>
      <c r="Q2030" s="10" t="s">
        <v>5379</v>
      </c>
      <c r="R2030" s="6"/>
      <c r="S2030" s="6"/>
    </row>
    <row r="2031" spans="1:19" x14ac:dyDescent="0.2">
      <c r="A2031" s="5">
        <v>2016</v>
      </c>
      <c r="B2031" s="196" t="s">
        <v>5380</v>
      </c>
      <c r="H2031" s="8" t="s">
        <v>5368</v>
      </c>
      <c r="I2031" s="8" t="s">
        <v>5371</v>
      </c>
      <c r="J2031" s="5">
        <f>3345-44-30-50-24-18-18-6-64-64-112-280</f>
        <v>2635</v>
      </c>
      <c r="K2031" s="5" t="s">
        <v>292</v>
      </c>
      <c r="L2031" s="5" t="s">
        <v>4781</v>
      </c>
      <c r="M2031" s="5">
        <v>54</v>
      </c>
      <c r="N2031" s="5" t="s">
        <v>5372</v>
      </c>
      <c r="O2031" s="5" t="s">
        <v>574</v>
      </c>
      <c r="Q2031" s="107" t="s">
        <v>5381</v>
      </c>
      <c r="R2031" s="6"/>
      <c r="S2031" s="6"/>
    </row>
    <row r="2032" spans="1:19" x14ac:dyDescent="0.2">
      <c r="A2032" s="5"/>
      <c r="B2032" s="8" t="s">
        <v>5380</v>
      </c>
      <c r="I2032" s="8" t="s">
        <v>5382</v>
      </c>
      <c r="J2032" s="5">
        <f>449-80-104-21-1+16-64-95-64-6-2-4-15</f>
        <v>9</v>
      </c>
      <c r="K2032" s="5" t="s">
        <v>292</v>
      </c>
      <c r="L2032" s="5" t="s">
        <v>4781</v>
      </c>
      <c r="M2032" s="5">
        <v>54</v>
      </c>
      <c r="Q2032" s="107"/>
      <c r="R2032" s="6"/>
      <c r="S2032" s="6"/>
    </row>
    <row r="2033" spans="1:19" x14ac:dyDescent="0.2">
      <c r="A2033" s="5"/>
      <c r="B2033" s="8" t="s">
        <v>5383</v>
      </c>
      <c r="H2033" s="8" t="s">
        <v>5368</v>
      </c>
      <c r="I2033" s="8" t="s">
        <v>5368</v>
      </c>
      <c r="J2033" s="5">
        <f>487-10-12+101-16</f>
        <v>550</v>
      </c>
      <c r="K2033" s="5" t="s">
        <v>292</v>
      </c>
      <c r="L2033" s="5" t="s">
        <v>4781</v>
      </c>
      <c r="M2033" s="5">
        <v>54</v>
      </c>
      <c r="N2033" s="5" t="s">
        <v>5372</v>
      </c>
      <c r="Q2033" s="10"/>
      <c r="R2033" s="6"/>
      <c r="S2033" s="6"/>
    </row>
    <row r="2034" spans="1:19" x14ac:dyDescent="0.2">
      <c r="A2034" s="5">
        <v>2017</v>
      </c>
      <c r="B2034" s="8" t="s">
        <v>5384</v>
      </c>
      <c r="H2034" s="8" t="s">
        <v>5368</v>
      </c>
      <c r="I2034" s="8" t="s">
        <v>5385</v>
      </c>
      <c r="J2034" s="5">
        <f>545-115-10-405+2500-130-130-24-150-80-20-500-28-52-259+23+5000-8-8-96-160-500-178-400-200-15-1705-3+30-65-20-24-80-80-110-80+3-6-98-15-96-12-12-1-1-3-45</f>
        <v>2177</v>
      </c>
      <c r="K2034" s="5" t="s">
        <v>292</v>
      </c>
      <c r="L2034" s="5" t="s">
        <v>4781</v>
      </c>
      <c r="M2034" s="5">
        <v>55</v>
      </c>
      <c r="N2034" s="5" t="s">
        <v>5372</v>
      </c>
      <c r="O2034" s="5" t="s">
        <v>574</v>
      </c>
      <c r="Q2034" s="107" t="s">
        <v>5381</v>
      </c>
      <c r="R2034" s="6"/>
      <c r="S2034" s="6"/>
    </row>
    <row r="2035" spans="1:19" x14ac:dyDescent="0.2">
      <c r="A2035" s="5"/>
      <c r="B2035" s="133" t="s">
        <v>5384</v>
      </c>
      <c r="H2035" s="8" t="s">
        <v>5368</v>
      </c>
      <c r="I2035" s="8" t="s">
        <v>5386</v>
      </c>
      <c r="J2035" s="5">
        <f>1000-32-80-67-258-27-44-56+22+176-450+480+2858-4-300-300-100-430-56-64-160-56-400-3-220-16</f>
        <v>1413</v>
      </c>
      <c r="K2035" s="5" t="s">
        <v>292</v>
      </c>
      <c r="L2035" s="5" t="s">
        <v>4781</v>
      </c>
      <c r="M2035" s="5">
        <v>55</v>
      </c>
      <c r="N2035" s="5" t="s">
        <v>5372</v>
      </c>
      <c r="R2035" s="6"/>
      <c r="S2035" s="6"/>
    </row>
    <row r="2036" spans="1:19" x14ac:dyDescent="0.2">
      <c r="A2036" s="5"/>
      <c r="B2036" s="133" t="s">
        <v>5387</v>
      </c>
      <c r="I2036" s="8" t="s">
        <v>5388</v>
      </c>
      <c r="J2036" s="5">
        <f>353</f>
        <v>353</v>
      </c>
      <c r="K2036" s="5" t="s">
        <v>292</v>
      </c>
      <c r="L2036" s="5" t="s">
        <v>4781</v>
      </c>
      <c r="M2036" s="5">
        <v>55</v>
      </c>
      <c r="N2036" s="5" t="s">
        <v>5372</v>
      </c>
      <c r="Q2036" s="107" t="s">
        <v>5389</v>
      </c>
      <c r="R2036" s="6"/>
      <c r="S2036" s="6"/>
    </row>
    <row r="2037" spans="1:19" x14ac:dyDescent="0.2">
      <c r="A2037" s="5">
        <v>2018</v>
      </c>
      <c r="B2037" s="8" t="s">
        <v>5390</v>
      </c>
      <c r="H2037" s="8" t="s">
        <v>5388</v>
      </c>
      <c r="I2037" s="8" t="s">
        <v>5368</v>
      </c>
      <c r="J2037" s="5">
        <f>664</f>
        <v>664</v>
      </c>
      <c r="K2037" s="5" t="s">
        <v>292</v>
      </c>
      <c r="L2037" s="5" t="s">
        <v>4781</v>
      </c>
      <c r="M2037" s="5">
        <v>55</v>
      </c>
      <c r="N2037" s="5" t="s">
        <v>5372</v>
      </c>
      <c r="O2037" s="5" t="s">
        <v>574</v>
      </c>
      <c r="Q2037" s="107" t="s">
        <v>5391</v>
      </c>
      <c r="R2037" s="6"/>
      <c r="S2037" s="6"/>
    </row>
    <row r="2038" spans="1:19" x14ac:dyDescent="0.2">
      <c r="A2038" s="5"/>
      <c r="B2038" s="8" t="s">
        <v>5392</v>
      </c>
      <c r="H2038" s="8" t="s">
        <v>5392</v>
      </c>
      <c r="I2038" s="8" t="s">
        <v>5392</v>
      </c>
      <c r="J2038" s="5">
        <f>698-32-30-73-3-165-8-18-18-7-20</f>
        <v>324</v>
      </c>
      <c r="K2038" s="5" t="s">
        <v>292</v>
      </c>
      <c r="L2038" s="5" t="s">
        <v>4781</v>
      </c>
      <c r="M2038" s="5">
        <v>55</v>
      </c>
      <c r="N2038" s="5" t="s">
        <v>5372</v>
      </c>
      <c r="R2038" s="6"/>
      <c r="S2038" s="6"/>
    </row>
    <row r="2039" spans="1:19" x14ac:dyDescent="0.2">
      <c r="A2039" s="5"/>
      <c r="B2039" s="8" t="s">
        <v>5393</v>
      </c>
      <c r="H2039" s="8" t="s">
        <v>5368</v>
      </c>
      <c r="I2039" s="8" t="s">
        <v>5368</v>
      </c>
      <c r="J2039" s="5">
        <f>100-36-21-1-23+281-42-30-36-24</f>
        <v>168</v>
      </c>
      <c r="K2039" s="5" t="s">
        <v>292</v>
      </c>
      <c r="L2039" s="5" t="s">
        <v>4781</v>
      </c>
      <c r="M2039" s="5">
        <v>55</v>
      </c>
      <c r="N2039" s="5" t="s">
        <v>5372</v>
      </c>
      <c r="R2039" s="6"/>
      <c r="S2039" s="6"/>
    </row>
    <row r="2040" spans="1:19" x14ac:dyDescent="0.2">
      <c r="A2040" s="5">
        <v>2019</v>
      </c>
      <c r="B2040" s="8" t="s">
        <v>5394</v>
      </c>
      <c r="H2040" s="8" t="s">
        <v>5368</v>
      </c>
      <c r="I2040" s="8" t="s">
        <v>5368</v>
      </c>
      <c r="J2040" s="5">
        <f>1552-8-12-12-8-6-33-33-33-18-1-16-8-48-12+192+48</f>
        <v>1544</v>
      </c>
      <c r="K2040" s="5" t="s">
        <v>292</v>
      </c>
      <c r="L2040" s="5" t="s">
        <v>4781</v>
      </c>
      <c r="M2040" s="5">
        <v>56</v>
      </c>
      <c r="N2040" s="5" t="s">
        <v>5372</v>
      </c>
      <c r="O2040" s="5" t="s">
        <v>574</v>
      </c>
      <c r="Q2040" s="5" t="s">
        <v>5395</v>
      </c>
      <c r="R2040" s="6"/>
      <c r="S2040" s="6"/>
    </row>
    <row r="2041" spans="1:19" x14ac:dyDescent="0.2">
      <c r="A2041" s="5">
        <v>2020</v>
      </c>
      <c r="B2041" s="8" t="s">
        <v>5396</v>
      </c>
      <c r="H2041" s="8" t="s">
        <v>5368</v>
      </c>
      <c r="I2041" s="8" t="s">
        <v>5368</v>
      </c>
      <c r="J2041" s="5">
        <f>1899-24-30-90-10-26</f>
        <v>1719</v>
      </c>
      <c r="K2041" s="5" t="s">
        <v>292</v>
      </c>
      <c r="L2041" s="5" t="s">
        <v>4781</v>
      </c>
      <c r="M2041" s="5">
        <v>56</v>
      </c>
      <c r="N2041" s="5" t="s">
        <v>5372</v>
      </c>
      <c r="O2041" s="5" t="s">
        <v>574</v>
      </c>
      <c r="P2041" s="5" t="s">
        <v>5397</v>
      </c>
      <c r="Q2041" s="5" t="s">
        <v>5398</v>
      </c>
    </row>
    <row r="2042" spans="1:19" x14ac:dyDescent="0.2">
      <c r="A2042" s="5"/>
      <c r="B2042" s="8" t="s">
        <v>5396</v>
      </c>
      <c r="I2042" s="8" t="s">
        <v>5399</v>
      </c>
      <c r="J2042" s="5">
        <f>489</f>
        <v>489</v>
      </c>
      <c r="K2042" s="5" t="s">
        <v>292</v>
      </c>
      <c r="L2042" s="5" t="s">
        <v>4781</v>
      </c>
      <c r="M2042" s="5">
        <v>56</v>
      </c>
    </row>
    <row r="2043" spans="1:19" x14ac:dyDescent="0.2">
      <c r="A2043" s="5">
        <v>273</v>
      </c>
      <c r="B2043" s="8" t="s">
        <v>5400</v>
      </c>
      <c r="H2043" s="8" t="s">
        <v>5368</v>
      </c>
      <c r="I2043" s="8" t="s">
        <v>5368</v>
      </c>
      <c r="J2043" s="5">
        <f>990-16-16-20+1-16-64-16-24-209-2-8-40-48+63-40-40-24-24-8-8</f>
        <v>431</v>
      </c>
      <c r="K2043" s="5" t="s">
        <v>292</v>
      </c>
      <c r="L2043" s="5" t="s">
        <v>4781</v>
      </c>
      <c r="M2043" s="5">
        <v>57</v>
      </c>
      <c r="N2043" s="5" t="s">
        <v>5372</v>
      </c>
      <c r="O2043" s="5" t="s">
        <v>520</v>
      </c>
      <c r="Q2043" s="5" t="s">
        <v>5379</v>
      </c>
    </row>
    <row r="2044" spans="1:19" x14ac:dyDescent="0.2">
      <c r="A2044" s="5"/>
      <c r="B2044" s="8" t="s">
        <v>5401</v>
      </c>
      <c r="H2044" s="8" t="s">
        <v>5402</v>
      </c>
      <c r="I2044" s="8" t="s">
        <v>5402</v>
      </c>
      <c r="J2044" s="5">
        <f>96-1-2-16+3</f>
        <v>80</v>
      </c>
      <c r="K2044" s="5" t="s">
        <v>292</v>
      </c>
      <c r="L2044" s="5" t="s">
        <v>4781</v>
      </c>
      <c r="M2044" s="5">
        <v>57</v>
      </c>
      <c r="N2044" s="5" t="s">
        <v>5372</v>
      </c>
      <c r="Q2044" s="107" t="s">
        <v>5403</v>
      </c>
      <c r="R2044" s="6"/>
      <c r="S2044" s="6"/>
    </row>
    <row r="2045" spans="1:19" x14ac:dyDescent="0.2">
      <c r="A2045" s="5">
        <v>2021</v>
      </c>
      <c r="B2045" s="8" t="s">
        <v>5404</v>
      </c>
      <c r="H2045" s="8" t="s">
        <v>5371</v>
      </c>
      <c r="I2045" s="8" t="s">
        <v>5371</v>
      </c>
      <c r="J2045" s="5">
        <f>1153-180-108-108-30-32</f>
        <v>695</v>
      </c>
      <c r="K2045" s="5" t="s">
        <v>292</v>
      </c>
      <c r="L2045" s="5" t="s">
        <v>4781</v>
      </c>
      <c r="M2045" s="5">
        <v>57</v>
      </c>
      <c r="N2045" s="5" t="s">
        <v>5372</v>
      </c>
      <c r="O2045" s="5" t="s">
        <v>574</v>
      </c>
      <c r="Q2045" s="5" t="s">
        <v>5405</v>
      </c>
      <c r="R2045" s="6"/>
      <c r="S2045" s="6"/>
    </row>
    <row r="2046" spans="1:19" x14ac:dyDescent="0.2">
      <c r="A2046" s="5"/>
      <c r="B2046" s="108" t="s">
        <v>5406</v>
      </c>
      <c r="H2046" s="8" t="s">
        <v>5368</v>
      </c>
      <c r="I2046" s="8" t="s">
        <v>5368</v>
      </c>
      <c r="J2046" s="5">
        <f>100-22</f>
        <v>78</v>
      </c>
      <c r="K2046" s="5" t="s">
        <v>292</v>
      </c>
      <c r="L2046" s="5" t="s">
        <v>4781</v>
      </c>
      <c r="M2046" s="5">
        <v>57</v>
      </c>
      <c r="N2046" s="5" t="s">
        <v>5372</v>
      </c>
      <c r="Q2046" s="107" t="s">
        <v>5407</v>
      </c>
      <c r="R2046" s="6"/>
      <c r="S2046" s="6"/>
    </row>
    <row r="2047" spans="1:19" x14ac:dyDescent="0.2">
      <c r="A2047" s="5">
        <v>2090</v>
      </c>
      <c r="B2047" s="8" t="s">
        <v>5408</v>
      </c>
      <c r="H2047" s="8" t="s">
        <v>5368</v>
      </c>
      <c r="I2047" s="8" t="s">
        <v>5368</v>
      </c>
      <c r="J2047" s="5">
        <f>309-4-4-4-4+8+37-20</f>
        <v>318</v>
      </c>
      <c r="K2047" s="5" t="s">
        <v>292</v>
      </c>
      <c r="L2047" s="5" t="s">
        <v>4781</v>
      </c>
      <c r="M2047" s="5">
        <v>57</v>
      </c>
      <c r="N2047" s="5" t="s">
        <v>3548</v>
      </c>
      <c r="O2047" s="5" t="s">
        <v>574</v>
      </c>
      <c r="Q2047" s="5" t="s">
        <v>5409</v>
      </c>
      <c r="R2047" s="6"/>
      <c r="S2047" s="6"/>
    </row>
    <row r="2048" spans="1:19" x14ac:dyDescent="0.2">
      <c r="A2048" s="5">
        <v>2022</v>
      </c>
      <c r="B2048" s="8" t="s">
        <v>5410</v>
      </c>
      <c r="H2048" s="8" t="s">
        <v>5411</v>
      </c>
      <c r="I2048" s="8" t="s">
        <v>5411</v>
      </c>
      <c r="J2048" s="5">
        <v>0</v>
      </c>
      <c r="K2048" s="5" t="s">
        <v>292</v>
      </c>
      <c r="L2048" s="5" t="s">
        <v>4781</v>
      </c>
      <c r="M2048" s="5">
        <v>58</v>
      </c>
      <c r="N2048" s="5" t="s">
        <v>5372</v>
      </c>
      <c r="O2048" s="5" t="s">
        <v>574</v>
      </c>
      <c r="Q2048" s="5" t="s">
        <v>5412</v>
      </c>
      <c r="R2048" s="6"/>
      <c r="S2048" s="6"/>
    </row>
    <row r="2049" spans="1:21" x14ac:dyDescent="0.2">
      <c r="A2049" s="5">
        <v>2023</v>
      </c>
      <c r="B2049" s="34" t="s">
        <v>5413</v>
      </c>
      <c r="H2049" s="8" t="s">
        <v>5376</v>
      </c>
      <c r="I2049" s="8" t="s">
        <v>5376</v>
      </c>
      <c r="J2049" s="5">
        <v>31</v>
      </c>
      <c r="K2049" s="5" t="s">
        <v>292</v>
      </c>
      <c r="L2049" s="5" t="s">
        <v>4781</v>
      </c>
      <c r="M2049" s="5">
        <v>58</v>
      </c>
      <c r="N2049" s="5" t="s">
        <v>5372</v>
      </c>
      <c r="O2049" s="5" t="s">
        <v>574</v>
      </c>
      <c r="Q2049" s="5" t="s">
        <v>5414</v>
      </c>
      <c r="R2049" s="6"/>
      <c r="S2049" s="6"/>
    </row>
    <row r="2050" spans="1:21" x14ac:dyDescent="0.2">
      <c r="A2050" s="5">
        <v>2024</v>
      </c>
      <c r="B2050" s="8" t="s">
        <v>5415</v>
      </c>
      <c r="H2050" s="8" t="s">
        <v>5416</v>
      </c>
      <c r="I2050" s="8" t="s">
        <v>5416</v>
      </c>
      <c r="J2050" s="5">
        <v>156</v>
      </c>
      <c r="K2050" s="5" t="s">
        <v>4027</v>
      </c>
      <c r="L2050" s="5" t="s">
        <v>4781</v>
      </c>
      <c r="M2050" s="5">
        <v>58</v>
      </c>
      <c r="N2050" s="5" t="s">
        <v>3548</v>
      </c>
      <c r="O2050" s="5" t="s">
        <v>574</v>
      </c>
      <c r="Q2050" s="5" t="s">
        <v>5417</v>
      </c>
      <c r="R2050" s="6"/>
      <c r="S2050" s="6"/>
    </row>
    <row r="2051" spans="1:21" x14ac:dyDescent="0.2">
      <c r="A2051" s="5">
        <v>2025</v>
      </c>
      <c r="B2051" s="8" t="s">
        <v>5418</v>
      </c>
      <c r="H2051" s="8" t="s">
        <v>5419</v>
      </c>
      <c r="I2051" s="8" t="s">
        <v>5419</v>
      </c>
      <c r="J2051" s="5">
        <f>4+4</f>
        <v>8</v>
      </c>
      <c r="K2051" s="5" t="s">
        <v>4027</v>
      </c>
      <c r="L2051" s="5" t="s">
        <v>4781</v>
      </c>
      <c r="M2051" s="5">
        <v>58</v>
      </c>
      <c r="N2051" s="5" t="s">
        <v>3548</v>
      </c>
      <c r="O2051" s="5" t="s">
        <v>574</v>
      </c>
      <c r="Q2051" s="5" t="s">
        <v>5417</v>
      </c>
      <c r="R2051" s="6"/>
      <c r="S2051" s="6"/>
    </row>
    <row r="2052" spans="1:21" x14ac:dyDescent="0.2">
      <c r="A2052" s="5">
        <v>2032</v>
      </c>
      <c r="B2052" s="8" t="s">
        <v>5420</v>
      </c>
      <c r="H2052" s="8" t="s">
        <v>5421</v>
      </c>
      <c r="I2052" s="8" t="s">
        <v>5421</v>
      </c>
      <c r="J2052" s="5">
        <f>26-5-10</f>
        <v>11</v>
      </c>
      <c r="K2052" s="5" t="s">
        <v>292</v>
      </c>
      <c r="L2052" s="5" t="s">
        <v>4781</v>
      </c>
      <c r="M2052" s="5">
        <v>59</v>
      </c>
      <c r="N2052" s="5" t="s">
        <v>3548</v>
      </c>
      <c r="O2052" s="5" t="s">
        <v>574</v>
      </c>
      <c r="Q2052" s="5" t="s">
        <v>5422</v>
      </c>
      <c r="R2052" s="6"/>
      <c r="S2052" s="6"/>
    </row>
    <row r="2053" spans="1:21" x14ac:dyDescent="0.2">
      <c r="A2053" s="5">
        <v>2033</v>
      </c>
      <c r="B2053" s="8" t="s">
        <v>5423</v>
      </c>
      <c r="H2053" s="8" t="s">
        <v>5424</v>
      </c>
      <c r="I2053" s="8" t="s">
        <v>5424</v>
      </c>
      <c r="J2053" s="5">
        <f>207-30-105-15</f>
        <v>57</v>
      </c>
      <c r="K2053" s="5" t="s">
        <v>292</v>
      </c>
      <c r="L2053" s="5" t="s">
        <v>4781</v>
      </c>
      <c r="M2053" s="5">
        <v>59</v>
      </c>
      <c r="N2053" s="5" t="s">
        <v>3548</v>
      </c>
      <c r="O2053" s="5" t="s">
        <v>574</v>
      </c>
      <c r="Q2053" s="5" t="s">
        <v>5425</v>
      </c>
      <c r="R2053" s="6"/>
      <c r="S2053" s="6"/>
      <c r="U2053" s="8"/>
    </row>
    <row r="2054" spans="1:21" x14ac:dyDescent="0.2">
      <c r="A2054" s="5">
        <v>2026</v>
      </c>
      <c r="B2054" s="8" t="s">
        <v>5426</v>
      </c>
      <c r="H2054" s="8" t="s">
        <v>5427</v>
      </c>
      <c r="I2054" s="8" t="s">
        <v>5427</v>
      </c>
      <c r="J2054" s="5">
        <v>115</v>
      </c>
      <c r="K2054" s="5" t="s">
        <v>292</v>
      </c>
      <c r="L2054" s="5" t="s">
        <v>4781</v>
      </c>
      <c r="M2054" s="5">
        <v>60</v>
      </c>
      <c r="N2054" s="5" t="s">
        <v>3548</v>
      </c>
      <c r="O2054" s="5" t="s">
        <v>574</v>
      </c>
      <c r="Q2054" s="5" t="s">
        <v>5428</v>
      </c>
      <c r="R2054" s="6"/>
      <c r="S2054" s="6"/>
    </row>
    <row r="2055" spans="1:21" x14ac:dyDescent="0.2">
      <c r="A2055" s="5">
        <v>2027</v>
      </c>
      <c r="B2055" s="8" t="s">
        <v>5429</v>
      </c>
      <c r="H2055" s="8" t="s">
        <v>5430</v>
      </c>
      <c r="I2055" s="8" t="s">
        <v>5430</v>
      </c>
      <c r="J2055" s="5">
        <f>800-800</f>
        <v>0</v>
      </c>
      <c r="K2055" s="5" t="s">
        <v>292</v>
      </c>
      <c r="L2055" s="5" t="s">
        <v>4781</v>
      </c>
      <c r="M2055" s="5">
        <v>60</v>
      </c>
      <c r="N2055" s="5" t="s">
        <v>3548</v>
      </c>
      <c r="O2055" s="5" t="s">
        <v>574</v>
      </c>
      <c r="Q2055" s="5" t="s">
        <v>5431</v>
      </c>
      <c r="R2055" s="6"/>
      <c r="S2055" s="6"/>
    </row>
    <row r="2056" spans="1:21" x14ac:dyDescent="0.2">
      <c r="A2056" s="5"/>
      <c r="B2056" s="8" t="s">
        <v>5432</v>
      </c>
      <c r="H2056" s="8" t="s">
        <v>5430</v>
      </c>
      <c r="I2056" s="8" t="s">
        <v>5430</v>
      </c>
      <c r="J2056" s="5">
        <v>8</v>
      </c>
      <c r="K2056" s="5" t="s">
        <v>292</v>
      </c>
      <c r="L2056" s="5" t="s">
        <v>4781</v>
      </c>
      <c r="M2056" s="5">
        <v>60</v>
      </c>
      <c r="N2056" s="5" t="s">
        <v>3548</v>
      </c>
      <c r="Q2056" s="5" t="s">
        <v>5433</v>
      </c>
      <c r="R2056" s="6"/>
      <c r="S2056" s="6"/>
    </row>
    <row r="2057" spans="1:21" x14ac:dyDescent="0.2">
      <c r="A2057" s="5"/>
      <c r="B2057" s="8" t="s">
        <v>5434</v>
      </c>
      <c r="H2057" s="8" t="s">
        <v>5430</v>
      </c>
      <c r="I2057" s="8" t="s">
        <v>5430</v>
      </c>
      <c r="J2057" s="5">
        <f>32+160+500-35-50-50-10-8</f>
        <v>539</v>
      </c>
      <c r="K2057" s="5" t="s">
        <v>292</v>
      </c>
      <c r="L2057" s="5" t="s">
        <v>4781</v>
      </c>
      <c r="M2057" s="5">
        <v>60</v>
      </c>
      <c r="N2057" s="5" t="s">
        <v>3548</v>
      </c>
      <c r="Q2057" s="107" t="s">
        <v>5435</v>
      </c>
      <c r="R2057" s="6"/>
      <c r="S2057" s="6"/>
    </row>
    <row r="2058" spans="1:21" x14ac:dyDescent="0.2">
      <c r="A2058" s="5"/>
      <c r="B2058" s="8" t="s">
        <v>5436</v>
      </c>
      <c r="H2058" s="8" t="s">
        <v>5430</v>
      </c>
      <c r="I2058" s="8" t="s">
        <v>5430</v>
      </c>
      <c r="J2058" s="5">
        <f>80-10</f>
        <v>70</v>
      </c>
      <c r="K2058" s="5" t="s">
        <v>292</v>
      </c>
      <c r="L2058" s="5" t="s">
        <v>4781</v>
      </c>
      <c r="M2058" s="5">
        <v>60</v>
      </c>
      <c r="N2058" s="5" t="s">
        <v>3548</v>
      </c>
      <c r="Q2058" s="107" t="s">
        <v>5437</v>
      </c>
      <c r="R2058" s="6"/>
      <c r="S2058" s="6"/>
    </row>
    <row r="2059" spans="1:21" x14ac:dyDescent="0.2">
      <c r="A2059" s="5">
        <v>2034</v>
      </c>
      <c r="B2059" s="8" t="s">
        <v>5438</v>
      </c>
      <c r="H2059" s="8" t="s">
        <v>5439</v>
      </c>
      <c r="I2059" s="8" t="s">
        <v>5439</v>
      </c>
      <c r="J2059" s="5">
        <v>63</v>
      </c>
      <c r="K2059" s="5" t="s">
        <v>292</v>
      </c>
      <c r="L2059" s="5" t="s">
        <v>4781</v>
      </c>
      <c r="M2059" s="5">
        <v>61</v>
      </c>
      <c r="N2059" s="5" t="s">
        <v>3548</v>
      </c>
      <c r="O2059" s="5" t="s">
        <v>574</v>
      </c>
      <c r="Q2059" s="5" t="s">
        <v>5440</v>
      </c>
      <c r="R2059" s="6"/>
      <c r="S2059" s="6" t="s">
        <v>328</v>
      </c>
    </row>
    <row r="2060" spans="1:21" x14ac:dyDescent="0.2">
      <c r="A2060" s="5">
        <v>2035</v>
      </c>
      <c r="B2060" s="8" t="s">
        <v>5441</v>
      </c>
      <c r="H2060" s="8" t="s">
        <v>31</v>
      </c>
      <c r="I2060" s="8" t="s">
        <v>31</v>
      </c>
      <c r="J2060" s="5">
        <v>60</v>
      </c>
      <c r="K2060" s="5" t="s">
        <v>292</v>
      </c>
      <c r="L2060" s="5" t="s">
        <v>4781</v>
      </c>
      <c r="M2060" s="5">
        <v>61</v>
      </c>
      <c r="N2060" s="5" t="s">
        <v>3548</v>
      </c>
      <c r="O2060" s="5" t="s">
        <v>574</v>
      </c>
      <c r="Q2060" s="10" t="s">
        <v>553</v>
      </c>
      <c r="R2060" s="6"/>
      <c r="S2060" s="6"/>
    </row>
    <row r="2061" spans="1:21" x14ac:dyDescent="0.2">
      <c r="A2061" s="5">
        <v>2036</v>
      </c>
      <c r="B2061" s="8" t="s">
        <v>5442</v>
      </c>
      <c r="H2061" s="8" t="s">
        <v>31</v>
      </c>
      <c r="I2061" s="8" t="s">
        <v>31</v>
      </c>
      <c r="J2061" s="5">
        <v>4</v>
      </c>
      <c r="K2061" s="5" t="s">
        <v>292</v>
      </c>
      <c r="L2061" s="5" t="s">
        <v>4781</v>
      </c>
      <c r="M2061" s="5">
        <v>62</v>
      </c>
      <c r="N2061" s="5" t="s">
        <v>3548</v>
      </c>
      <c r="O2061" s="5" t="s">
        <v>574</v>
      </c>
      <c r="Q2061" s="5" t="s">
        <v>5443</v>
      </c>
      <c r="R2061" s="6"/>
      <c r="S2061" s="6"/>
    </row>
    <row r="2062" spans="1:21" x14ac:dyDescent="0.2">
      <c r="A2062" s="5">
        <v>2037</v>
      </c>
      <c r="B2062" s="8" t="s">
        <v>5444</v>
      </c>
      <c r="H2062" s="8" t="s">
        <v>5445</v>
      </c>
      <c r="I2062" s="8" t="s">
        <v>5445</v>
      </c>
      <c r="J2062" s="5">
        <v>4</v>
      </c>
      <c r="K2062" s="5" t="s">
        <v>292</v>
      </c>
      <c r="L2062" s="5" t="s">
        <v>4781</v>
      </c>
      <c r="M2062" s="5">
        <v>62</v>
      </c>
      <c r="N2062" s="5" t="s">
        <v>3548</v>
      </c>
      <c r="O2062" s="5" t="s">
        <v>574</v>
      </c>
      <c r="Q2062" s="5" t="s">
        <v>5446</v>
      </c>
      <c r="R2062" s="6"/>
      <c r="S2062" s="6"/>
    </row>
    <row r="2063" spans="1:21" x14ac:dyDescent="0.2">
      <c r="A2063" s="5">
        <v>2038</v>
      </c>
      <c r="B2063" s="8" t="s">
        <v>5447</v>
      </c>
      <c r="H2063" s="8" t="s">
        <v>5448</v>
      </c>
      <c r="I2063" s="8" t="s">
        <v>5448</v>
      </c>
      <c r="J2063" s="5">
        <v>84</v>
      </c>
      <c r="K2063" s="5" t="s">
        <v>292</v>
      </c>
      <c r="L2063" s="5" t="s">
        <v>4781</v>
      </c>
      <c r="M2063" s="5">
        <v>62</v>
      </c>
      <c r="N2063" s="5" t="s">
        <v>3548</v>
      </c>
      <c r="O2063" s="5" t="s">
        <v>574</v>
      </c>
      <c r="Q2063" s="5" t="s">
        <v>5440</v>
      </c>
    </row>
    <row r="2064" spans="1:21" x14ac:dyDescent="0.2">
      <c r="A2064" s="5"/>
      <c r="B2064" s="8" t="s">
        <v>5449</v>
      </c>
      <c r="I2064" s="8" t="s">
        <v>5450</v>
      </c>
      <c r="J2064" s="5">
        <f>500+44</f>
        <v>544</v>
      </c>
      <c r="K2064" s="5" t="s">
        <v>292</v>
      </c>
      <c r="L2064" s="5" t="s">
        <v>4781</v>
      </c>
      <c r="M2064" s="5">
        <v>62</v>
      </c>
    </row>
    <row r="2065" spans="1:19" x14ac:dyDescent="0.2">
      <c r="A2065" s="5"/>
      <c r="B2065" s="8" t="s">
        <v>5451</v>
      </c>
      <c r="H2065" s="8" t="s">
        <v>5452</v>
      </c>
      <c r="I2065" s="8" t="s">
        <v>5453</v>
      </c>
      <c r="J2065" s="5">
        <f>200</f>
        <v>200</v>
      </c>
      <c r="K2065" s="5" t="s">
        <v>292</v>
      </c>
      <c r="L2065" s="5" t="s">
        <v>4781</v>
      </c>
      <c r="M2065" s="5">
        <v>62</v>
      </c>
    </row>
    <row r="2066" spans="1:19" x14ac:dyDescent="0.2">
      <c r="A2066" s="5"/>
      <c r="B2066" s="8" t="s">
        <v>5454</v>
      </c>
      <c r="I2066" s="8" t="s">
        <v>5455</v>
      </c>
      <c r="J2066" s="5">
        <f>10</f>
        <v>10</v>
      </c>
      <c r="K2066" s="5" t="s">
        <v>292</v>
      </c>
      <c r="L2066" s="5" t="s">
        <v>4781</v>
      </c>
      <c r="M2066" s="5">
        <v>62</v>
      </c>
    </row>
    <row r="2067" spans="1:19" x14ac:dyDescent="0.2">
      <c r="A2067" s="5">
        <v>285</v>
      </c>
      <c r="B2067" s="40" t="s">
        <v>5456</v>
      </c>
      <c r="H2067" s="8" t="s">
        <v>5457</v>
      </c>
      <c r="I2067" s="8" t="s">
        <v>5457</v>
      </c>
      <c r="J2067" s="5">
        <v>200</v>
      </c>
      <c r="K2067" s="5" t="s">
        <v>292</v>
      </c>
      <c r="L2067" s="5" t="s">
        <v>4781</v>
      </c>
      <c r="M2067" s="5">
        <v>63</v>
      </c>
      <c r="N2067" s="5" t="s">
        <v>3510</v>
      </c>
      <c r="O2067" s="5" t="s">
        <v>520</v>
      </c>
      <c r="Q2067" s="5" t="s">
        <v>5458</v>
      </c>
    </row>
    <row r="2068" spans="1:19" x14ac:dyDescent="0.2">
      <c r="A2068" s="5"/>
      <c r="B2068" s="40" t="s">
        <v>5459</v>
      </c>
      <c r="I2068" s="8" t="s">
        <v>5460</v>
      </c>
      <c r="J2068" s="5">
        <f>200-12-6-6+12</f>
        <v>188</v>
      </c>
      <c r="K2068" s="5" t="s">
        <v>292</v>
      </c>
      <c r="L2068" s="5" t="s">
        <v>4781</v>
      </c>
      <c r="M2068" s="5">
        <v>63</v>
      </c>
    </row>
    <row r="2069" spans="1:19" x14ac:dyDescent="0.2">
      <c r="A2069" s="5">
        <v>286</v>
      </c>
      <c r="B2069" s="40" t="s">
        <v>5461</v>
      </c>
      <c r="H2069" s="8" t="s">
        <v>5460</v>
      </c>
      <c r="I2069" s="8" t="s">
        <v>5462</v>
      </c>
      <c r="J2069" s="5">
        <f>914-90-80-23+39-470-14</f>
        <v>276</v>
      </c>
      <c r="K2069" s="5" t="s">
        <v>292</v>
      </c>
      <c r="L2069" s="5" t="s">
        <v>4781</v>
      </c>
      <c r="M2069" s="5">
        <v>63</v>
      </c>
      <c r="N2069" s="5" t="s">
        <v>3510</v>
      </c>
      <c r="O2069" s="5" t="s">
        <v>520</v>
      </c>
      <c r="Q2069" s="5" t="s">
        <v>5458</v>
      </c>
    </row>
    <row r="2070" spans="1:19" x14ac:dyDescent="0.2">
      <c r="A2070" s="5"/>
      <c r="B2070" s="40" t="s">
        <v>5461</v>
      </c>
      <c r="I2070" s="8" t="s">
        <v>5463</v>
      </c>
      <c r="J2070" s="5">
        <f>300-6</f>
        <v>294</v>
      </c>
      <c r="K2070" s="5" t="s">
        <v>292</v>
      </c>
      <c r="L2070" s="5" t="s">
        <v>4781</v>
      </c>
      <c r="M2070" s="5">
        <v>63</v>
      </c>
    </row>
    <row r="2071" spans="1:19" x14ac:dyDescent="0.2">
      <c r="A2071" s="5"/>
      <c r="B2071" s="40" t="s">
        <v>5464</v>
      </c>
      <c r="H2071" s="8" t="s">
        <v>5460</v>
      </c>
      <c r="I2071" s="8" t="s">
        <v>5460</v>
      </c>
      <c r="J2071" s="5">
        <f>400-20</f>
        <v>380</v>
      </c>
      <c r="K2071" s="5" t="s">
        <v>292</v>
      </c>
      <c r="L2071" s="5" t="s">
        <v>4781</v>
      </c>
      <c r="M2071" s="5">
        <v>63</v>
      </c>
      <c r="N2071" s="5" t="s">
        <v>3510</v>
      </c>
      <c r="Q2071" s="107" t="s">
        <v>5465</v>
      </c>
    </row>
    <row r="2072" spans="1:19" x14ac:dyDescent="0.2">
      <c r="A2072" s="5"/>
      <c r="B2072" s="40" t="s">
        <v>5466</v>
      </c>
      <c r="H2072" s="8" t="s">
        <v>5460</v>
      </c>
      <c r="I2072" s="8" t="s">
        <v>5460</v>
      </c>
      <c r="J2072" s="5">
        <f>127+500-35-60-60-2+75+125-60-12-30-14-10-6-14</f>
        <v>524</v>
      </c>
      <c r="K2072" s="5" t="s">
        <v>292</v>
      </c>
      <c r="L2072" s="5" t="s">
        <v>4781</v>
      </c>
      <c r="M2072" s="5">
        <v>63</v>
      </c>
      <c r="N2072" s="5" t="s">
        <v>3510</v>
      </c>
      <c r="Q2072" s="107" t="s">
        <v>5435</v>
      </c>
      <c r="R2072" s="6"/>
      <c r="S2072" s="6"/>
    </row>
    <row r="2073" spans="1:19" x14ac:dyDescent="0.2">
      <c r="A2073" s="5"/>
      <c r="B2073" s="40" t="s">
        <v>5467</v>
      </c>
      <c r="H2073" s="8" t="s">
        <v>5468</v>
      </c>
      <c r="I2073" s="8" t="s">
        <v>5468</v>
      </c>
      <c r="J2073" s="5">
        <f>160-45-45</f>
        <v>70</v>
      </c>
      <c r="K2073" s="5" t="s">
        <v>292</v>
      </c>
      <c r="L2073" s="5" t="s">
        <v>4781</v>
      </c>
      <c r="M2073" s="5">
        <v>63</v>
      </c>
      <c r="N2073" s="5" t="s">
        <v>3272</v>
      </c>
    </row>
    <row r="2074" spans="1:19" x14ac:dyDescent="0.2">
      <c r="A2074" s="5">
        <v>287</v>
      </c>
      <c r="B2074" s="40" t="s">
        <v>5469</v>
      </c>
      <c r="H2074" s="8" t="s">
        <v>5470</v>
      </c>
      <c r="I2074" s="8" t="s">
        <v>5470</v>
      </c>
      <c r="J2074" s="5">
        <v>148</v>
      </c>
      <c r="K2074" s="5" t="s">
        <v>292</v>
      </c>
      <c r="L2074" s="5" t="s">
        <v>4781</v>
      </c>
      <c r="M2074" s="5">
        <v>63</v>
      </c>
      <c r="N2074" s="5" t="s">
        <v>3510</v>
      </c>
      <c r="O2074" s="5" t="s">
        <v>520</v>
      </c>
      <c r="Q2074" s="5" t="s">
        <v>5458</v>
      </c>
    </row>
    <row r="2075" spans="1:19" x14ac:dyDescent="0.2">
      <c r="A2075" s="5">
        <v>288</v>
      </c>
      <c r="B2075" s="8" t="s">
        <v>5471</v>
      </c>
      <c r="H2075" s="8" t="s">
        <v>5472</v>
      </c>
      <c r="I2075" s="8" t="s">
        <v>5472</v>
      </c>
      <c r="J2075" s="5">
        <f>84+33+200-1-20-2-2-2-1+7-1+20-6-35-2-8-1-30-51-44-36-42--26-60+400-186-4-1</f>
        <v>235</v>
      </c>
      <c r="K2075" s="5" t="s">
        <v>292</v>
      </c>
      <c r="L2075" s="5" t="s">
        <v>4781</v>
      </c>
      <c r="M2075" s="5">
        <v>63</v>
      </c>
      <c r="N2075" s="5" t="s">
        <v>3510</v>
      </c>
      <c r="O2075" s="5" t="s">
        <v>520</v>
      </c>
      <c r="Q2075" s="5" t="s">
        <v>5473</v>
      </c>
      <c r="R2075" s="6"/>
      <c r="S2075" s="6"/>
    </row>
    <row r="2076" spans="1:19" x14ac:dyDescent="0.2">
      <c r="A2076" s="5">
        <v>2039</v>
      </c>
      <c r="B2076" s="8" t="s">
        <v>5474</v>
      </c>
      <c r="H2076" s="8" t="s">
        <v>5475</v>
      </c>
      <c r="I2076" s="8" t="s">
        <v>5475</v>
      </c>
      <c r="J2076" s="5">
        <f>25-4-8+400-20</f>
        <v>393</v>
      </c>
      <c r="K2076" s="5" t="s">
        <v>292</v>
      </c>
      <c r="L2076" s="5" t="s">
        <v>4781</v>
      </c>
      <c r="M2076" s="5">
        <v>63</v>
      </c>
      <c r="N2076" s="5" t="s">
        <v>3548</v>
      </c>
      <c r="O2076" s="5" t="s">
        <v>574</v>
      </c>
      <c r="Q2076" s="107" t="s">
        <v>5465</v>
      </c>
      <c r="R2076" s="6"/>
      <c r="S2076" s="6"/>
    </row>
    <row r="2077" spans="1:19" x14ac:dyDescent="0.2">
      <c r="A2077" s="5">
        <v>2040</v>
      </c>
      <c r="B2077" s="133" t="s">
        <v>5476</v>
      </c>
      <c r="H2077" s="8" t="s">
        <v>5477</v>
      </c>
      <c r="I2077" s="8" t="s">
        <v>5477</v>
      </c>
      <c r="J2077" s="5">
        <v>0</v>
      </c>
      <c r="K2077" s="5" t="s">
        <v>292</v>
      </c>
      <c r="L2077" s="5" t="s">
        <v>4781</v>
      </c>
      <c r="M2077" s="5">
        <v>63</v>
      </c>
      <c r="N2077" s="5" t="s">
        <v>3548</v>
      </c>
      <c r="O2077" s="5" t="s">
        <v>574</v>
      </c>
      <c r="Q2077" s="5" t="s">
        <v>5478</v>
      </c>
      <c r="R2077" s="6"/>
      <c r="S2077" s="6"/>
    </row>
    <row r="2078" spans="1:19" x14ac:dyDescent="0.2">
      <c r="A2078" s="5">
        <v>2041</v>
      </c>
      <c r="B2078" s="40" t="s">
        <v>5479</v>
      </c>
      <c r="H2078" s="8" t="s">
        <v>5477</v>
      </c>
      <c r="I2078" s="8" t="s">
        <v>5477</v>
      </c>
      <c r="J2078" s="5">
        <v>0</v>
      </c>
      <c r="K2078" s="5" t="s">
        <v>292</v>
      </c>
      <c r="L2078" s="5" t="s">
        <v>4781</v>
      </c>
      <c r="M2078" s="5">
        <v>63</v>
      </c>
      <c r="N2078" s="5" t="s">
        <v>3548</v>
      </c>
      <c r="O2078" s="5" t="s">
        <v>574</v>
      </c>
      <c r="Q2078" s="5" t="s">
        <v>3549</v>
      </c>
      <c r="R2078" s="6"/>
      <c r="S2078" s="6"/>
    </row>
    <row r="2079" spans="1:19" x14ac:dyDescent="0.2">
      <c r="A2079" s="5">
        <v>2042</v>
      </c>
      <c r="B2079" s="8" t="s">
        <v>5480</v>
      </c>
      <c r="H2079" s="8" t="s">
        <v>5460</v>
      </c>
      <c r="I2079" s="8" t="s">
        <v>5460</v>
      </c>
      <c r="J2079" s="5">
        <f>702-10-10-4-4</f>
        <v>674</v>
      </c>
      <c r="K2079" s="5" t="s">
        <v>292</v>
      </c>
      <c r="L2079" s="5" t="s">
        <v>4781</v>
      </c>
      <c r="M2079" s="5">
        <v>63</v>
      </c>
      <c r="N2079" s="5" t="s">
        <v>3548</v>
      </c>
      <c r="O2079" s="5" t="s">
        <v>574</v>
      </c>
      <c r="Q2079" s="5" t="s">
        <v>5481</v>
      </c>
    </row>
    <row r="2080" spans="1:19" x14ac:dyDescent="0.2">
      <c r="A2080" s="5">
        <v>2330</v>
      </c>
      <c r="B2080" s="40" t="s">
        <v>5482</v>
      </c>
      <c r="H2080" s="8" t="s">
        <v>5472</v>
      </c>
      <c r="I2080" s="8" t="s">
        <v>5472</v>
      </c>
      <c r="J2080" s="5">
        <f>1532-30-2-2-8+15-8-8-4-24+4-15-4-15-16-32</f>
        <v>1383</v>
      </c>
      <c r="K2080" s="5" t="s">
        <v>292</v>
      </c>
      <c r="L2080" s="5" t="s">
        <v>4781</v>
      </c>
      <c r="M2080" s="5">
        <v>63</v>
      </c>
      <c r="N2080" s="5" t="s">
        <v>3510</v>
      </c>
      <c r="O2080" s="5" t="s">
        <v>574</v>
      </c>
      <c r="Q2080" s="5" t="s">
        <v>5483</v>
      </c>
    </row>
    <row r="2081" spans="1:21" x14ac:dyDescent="0.2">
      <c r="A2081" s="5"/>
      <c r="B2081" s="40" t="s">
        <v>5484</v>
      </c>
      <c r="H2081" s="8" t="s">
        <v>5472</v>
      </c>
      <c r="I2081" s="8" t="s">
        <v>5470</v>
      </c>
      <c r="J2081" s="5">
        <f>400</f>
        <v>400</v>
      </c>
      <c r="K2081" s="5" t="s">
        <v>292</v>
      </c>
      <c r="L2081" s="5" t="s">
        <v>4781</v>
      </c>
      <c r="M2081" s="5">
        <v>63</v>
      </c>
    </row>
    <row r="2082" spans="1:21" x14ac:dyDescent="0.2">
      <c r="A2082" s="5"/>
      <c r="B2082" s="40" t="s">
        <v>5485</v>
      </c>
      <c r="H2082" s="8" t="s">
        <v>5472</v>
      </c>
      <c r="I2082" s="8" t="s">
        <v>5472</v>
      </c>
      <c r="J2082" s="5">
        <f>90-2-30-8-12-10-14</f>
        <v>14</v>
      </c>
      <c r="K2082" s="5" t="s">
        <v>292</v>
      </c>
      <c r="L2082" s="5" t="s">
        <v>4781</v>
      </c>
      <c r="M2082" s="5">
        <v>63</v>
      </c>
      <c r="N2082" s="5" t="s">
        <v>3510</v>
      </c>
      <c r="Q2082" s="107" t="s">
        <v>5437</v>
      </c>
      <c r="R2082" s="6"/>
      <c r="S2082" s="6"/>
    </row>
    <row r="2083" spans="1:21" x14ac:dyDescent="0.2">
      <c r="A2083" s="5">
        <v>2043</v>
      </c>
      <c r="B2083" s="8" t="s">
        <v>5486</v>
      </c>
      <c r="H2083" s="8" t="s">
        <v>3536</v>
      </c>
      <c r="I2083" s="8" t="s">
        <v>3536</v>
      </c>
      <c r="J2083" s="5">
        <f>83-16-16</f>
        <v>51</v>
      </c>
      <c r="K2083" s="5" t="s">
        <v>292</v>
      </c>
      <c r="L2083" s="5" t="s">
        <v>4781</v>
      </c>
      <c r="M2083" s="5">
        <v>64</v>
      </c>
      <c r="N2083" s="5" t="s">
        <v>3548</v>
      </c>
      <c r="O2083" s="5" t="s">
        <v>574</v>
      </c>
      <c r="Q2083" s="5" t="s">
        <v>5487</v>
      </c>
      <c r="R2083" s="6"/>
      <c r="S2083" s="6"/>
    </row>
    <row r="2084" spans="1:21" x14ac:dyDescent="0.2">
      <c r="A2084" s="5">
        <v>2044</v>
      </c>
      <c r="B2084" s="8" t="s">
        <v>5488</v>
      </c>
      <c r="H2084" s="8" t="s">
        <v>5489</v>
      </c>
      <c r="I2084" s="8" t="s">
        <v>5489</v>
      </c>
      <c r="J2084" s="5">
        <f>1167-32-1-16-16</f>
        <v>1102</v>
      </c>
      <c r="K2084" s="5" t="s">
        <v>292</v>
      </c>
      <c r="L2084" s="5" t="s">
        <v>4781</v>
      </c>
      <c r="M2084" s="5">
        <v>64</v>
      </c>
      <c r="N2084" s="5" t="s">
        <v>3548</v>
      </c>
      <c r="O2084" s="5" t="s">
        <v>574</v>
      </c>
      <c r="Q2084" s="5" t="s">
        <v>5478</v>
      </c>
      <c r="R2084" s="6"/>
      <c r="S2084" s="6"/>
    </row>
    <row r="2085" spans="1:21" x14ac:dyDescent="0.2">
      <c r="A2085" s="5">
        <v>2045</v>
      </c>
      <c r="B2085" s="8" t="s">
        <v>5490</v>
      </c>
      <c r="H2085" s="8" t="s">
        <v>5460</v>
      </c>
      <c r="I2085" s="8" t="s">
        <v>5460</v>
      </c>
      <c r="J2085" s="5">
        <v>30</v>
      </c>
      <c r="K2085" s="5" t="s">
        <v>292</v>
      </c>
      <c r="L2085" s="5" t="s">
        <v>4781</v>
      </c>
      <c r="M2085" s="5">
        <v>64</v>
      </c>
      <c r="N2085" s="5" t="s">
        <v>3548</v>
      </c>
      <c r="O2085" s="5" t="s">
        <v>574</v>
      </c>
      <c r="Q2085" s="5" t="s">
        <v>5491</v>
      </c>
      <c r="R2085" s="6"/>
      <c r="S2085" s="6" t="s">
        <v>328</v>
      </c>
    </row>
    <row r="2086" spans="1:21" x14ac:dyDescent="0.2">
      <c r="A2086" s="5">
        <v>2046</v>
      </c>
      <c r="B2086" s="8" t="s">
        <v>5492</v>
      </c>
      <c r="H2086" s="8" t="s">
        <v>5460</v>
      </c>
      <c r="I2086" s="8" t="s">
        <v>5460</v>
      </c>
      <c r="J2086" s="5">
        <v>18</v>
      </c>
      <c r="K2086" s="5" t="s">
        <v>292</v>
      </c>
      <c r="L2086" s="5" t="s">
        <v>4781</v>
      </c>
      <c r="M2086" s="5">
        <v>64</v>
      </c>
      <c r="N2086" s="5" t="s">
        <v>3548</v>
      </c>
      <c r="O2086" s="5" t="s">
        <v>574</v>
      </c>
      <c r="Q2086" s="10" t="s">
        <v>553</v>
      </c>
      <c r="R2086" s="6"/>
      <c r="S2086" s="6"/>
    </row>
    <row r="2087" spans="1:21" x14ac:dyDescent="0.2">
      <c r="A2087" s="5"/>
      <c r="B2087" s="8" t="s">
        <v>5493</v>
      </c>
      <c r="H2087" s="8" t="s">
        <v>5460</v>
      </c>
      <c r="I2087" s="8" t="s">
        <v>5460</v>
      </c>
      <c r="J2087" s="5">
        <v>10</v>
      </c>
      <c r="K2087" s="5" t="s">
        <v>292</v>
      </c>
      <c r="L2087" s="5" t="s">
        <v>4781</v>
      </c>
      <c r="M2087" s="5">
        <v>64</v>
      </c>
      <c r="N2087" s="5" t="s">
        <v>3548</v>
      </c>
      <c r="Q2087" s="10"/>
    </row>
    <row r="2088" spans="1:21" x14ac:dyDescent="0.2">
      <c r="A2088" s="5">
        <v>18</v>
      </c>
      <c r="B2088" s="8" t="s">
        <v>5494</v>
      </c>
      <c r="H2088" s="8" t="s">
        <v>5495</v>
      </c>
      <c r="I2088" s="8" t="s">
        <v>5495</v>
      </c>
      <c r="J2088" s="5">
        <v>31</v>
      </c>
      <c r="K2088" s="5" t="s">
        <v>21</v>
      </c>
      <c r="L2088" s="5" t="s">
        <v>4781</v>
      </c>
      <c r="M2088" s="5">
        <v>65</v>
      </c>
      <c r="N2088" s="5" t="s">
        <v>71</v>
      </c>
      <c r="O2088" s="5" t="s">
        <v>266</v>
      </c>
      <c r="Q2088" s="5" t="s">
        <v>553</v>
      </c>
    </row>
    <row r="2089" spans="1:21" x14ac:dyDescent="0.2">
      <c r="A2089" s="5">
        <v>19</v>
      </c>
      <c r="B2089" s="8" t="s">
        <v>5496</v>
      </c>
      <c r="H2089" s="8" t="s">
        <v>5497</v>
      </c>
      <c r="I2089" s="8" t="s">
        <v>5497</v>
      </c>
      <c r="J2089" s="5">
        <f>30-30+16-16</f>
        <v>0</v>
      </c>
      <c r="K2089" s="5" t="s">
        <v>21</v>
      </c>
      <c r="L2089" s="5" t="s">
        <v>4781</v>
      </c>
      <c r="M2089" s="5">
        <v>66</v>
      </c>
      <c r="N2089" s="5" t="s">
        <v>654</v>
      </c>
      <c r="O2089" s="5" t="s">
        <v>266</v>
      </c>
      <c r="Q2089" s="5" t="s">
        <v>553</v>
      </c>
    </row>
    <row r="2090" spans="1:21" x14ac:dyDescent="0.2">
      <c r="A2090" s="5">
        <v>20</v>
      </c>
      <c r="B2090" s="8" t="s">
        <v>5498</v>
      </c>
      <c r="D2090" s="8" t="s">
        <v>269</v>
      </c>
      <c r="E2090" s="24">
        <v>43687</v>
      </c>
      <c r="F2090" s="8" t="s">
        <v>259</v>
      </c>
      <c r="G2090" s="8" t="s">
        <v>260</v>
      </c>
      <c r="H2090" s="8" t="s">
        <v>5499</v>
      </c>
      <c r="I2090" s="8" t="s">
        <v>5500</v>
      </c>
      <c r="J2090" s="5">
        <f>0</f>
        <v>0</v>
      </c>
      <c r="K2090" s="5" t="s">
        <v>21</v>
      </c>
      <c r="L2090" s="5" t="s">
        <v>4781</v>
      </c>
      <c r="M2090" s="5">
        <v>67</v>
      </c>
      <c r="N2090" s="5" t="s">
        <v>71</v>
      </c>
      <c r="O2090" s="5" t="s">
        <v>266</v>
      </c>
      <c r="Q2090" s="5" t="s">
        <v>5501</v>
      </c>
      <c r="S2090" s="5" t="s">
        <v>1139</v>
      </c>
    </row>
    <row r="2091" spans="1:21" x14ac:dyDescent="0.2">
      <c r="A2091" s="5">
        <v>21</v>
      </c>
      <c r="H2091" s="8" t="s">
        <v>5502</v>
      </c>
      <c r="I2091" s="8" t="s">
        <v>5502</v>
      </c>
      <c r="J2091" s="5">
        <v>1</v>
      </c>
      <c r="K2091" s="5" t="s">
        <v>21</v>
      </c>
      <c r="L2091" s="5" t="s">
        <v>4781</v>
      </c>
      <c r="M2091" s="5">
        <v>67</v>
      </c>
      <c r="N2091" s="5" t="s">
        <v>71</v>
      </c>
      <c r="O2091" s="5" t="s">
        <v>266</v>
      </c>
      <c r="S2091" s="5" t="s">
        <v>1139</v>
      </c>
      <c r="U2091" t="s">
        <v>288</v>
      </c>
    </row>
    <row r="2092" spans="1:21" x14ac:dyDescent="0.2">
      <c r="A2092" s="5">
        <v>22</v>
      </c>
      <c r="B2092" s="8" t="s">
        <v>5503</v>
      </c>
      <c r="H2092" s="8" t="s">
        <v>5504</v>
      </c>
      <c r="I2092" s="8" t="s">
        <v>5504</v>
      </c>
      <c r="J2092" s="5">
        <v>1</v>
      </c>
      <c r="K2092" s="5" t="s">
        <v>21</v>
      </c>
      <c r="L2092" s="5" t="s">
        <v>4781</v>
      </c>
      <c r="M2092" s="5">
        <v>67</v>
      </c>
      <c r="N2092" s="5" t="s">
        <v>71</v>
      </c>
      <c r="O2092" s="5" t="s">
        <v>266</v>
      </c>
    </row>
    <row r="2093" spans="1:21" x14ac:dyDescent="0.2">
      <c r="A2093" s="5">
        <v>23</v>
      </c>
      <c r="B2093" s="8" t="s">
        <v>5505</v>
      </c>
      <c r="H2093" s="8" t="s">
        <v>5506</v>
      </c>
      <c r="I2093" s="8" t="s">
        <v>5506</v>
      </c>
      <c r="J2093" s="5">
        <v>14</v>
      </c>
      <c r="K2093" s="5" t="s">
        <v>21</v>
      </c>
      <c r="L2093" s="5" t="s">
        <v>4781</v>
      </c>
      <c r="M2093" s="5">
        <v>68</v>
      </c>
      <c r="N2093" s="5" t="s">
        <v>71</v>
      </c>
      <c r="O2093" s="5" t="s">
        <v>266</v>
      </c>
      <c r="Q2093" s="5" t="s">
        <v>5507</v>
      </c>
    </row>
    <row r="2094" spans="1:21" x14ac:dyDescent="0.2">
      <c r="A2094" s="5">
        <v>24</v>
      </c>
      <c r="B2094" s="8" t="s">
        <v>5508</v>
      </c>
      <c r="H2094" s="8" t="s">
        <v>5509</v>
      </c>
      <c r="I2094" s="8" t="s">
        <v>5509</v>
      </c>
      <c r="J2094" s="5">
        <v>1</v>
      </c>
      <c r="K2094" s="5" t="s">
        <v>21</v>
      </c>
      <c r="L2094" s="5" t="s">
        <v>4781</v>
      </c>
      <c r="M2094" s="5">
        <v>69</v>
      </c>
      <c r="N2094" s="5" t="s">
        <v>43</v>
      </c>
      <c r="O2094" s="5" t="s">
        <v>266</v>
      </c>
      <c r="Q2094" s="5" t="s">
        <v>553</v>
      </c>
      <c r="S2094" s="5" t="s">
        <v>1139</v>
      </c>
    </row>
    <row r="2095" spans="1:21" x14ac:dyDescent="0.2">
      <c r="A2095" s="5">
        <v>25</v>
      </c>
      <c r="B2095" s="8" t="s">
        <v>5510</v>
      </c>
      <c r="C2095" s="8" t="s">
        <v>5511</v>
      </c>
      <c r="D2095" s="8" t="s">
        <v>5512</v>
      </c>
      <c r="E2095" s="24">
        <v>43687</v>
      </c>
      <c r="F2095" s="8" t="s">
        <v>259</v>
      </c>
      <c r="G2095" s="8" t="s">
        <v>276</v>
      </c>
      <c r="H2095" s="8" t="s">
        <v>5513</v>
      </c>
      <c r="I2095" s="8" t="s">
        <v>5514</v>
      </c>
      <c r="J2095" s="5">
        <f>29-2-5+8-2-7-2-1-8-1</f>
        <v>9</v>
      </c>
      <c r="K2095" s="5" t="s">
        <v>21</v>
      </c>
      <c r="L2095" s="5" t="s">
        <v>4781</v>
      </c>
      <c r="M2095" s="5">
        <v>69</v>
      </c>
      <c r="N2095" s="5" t="s">
        <v>71</v>
      </c>
      <c r="O2095" s="5" t="s">
        <v>266</v>
      </c>
    </row>
    <row r="2096" spans="1:21" x14ac:dyDescent="0.2">
      <c r="A2096" s="5">
        <v>26</v>
      </c>
      <c r="B2096" s="8" t="s">
        <v>5515</v>
      </c>
      <c r="C2096" s="8">
        <v>9474747104</v>
      </c>
      <c r="D2096" s="8" t="s">
        <v>5516</v>
      </c>
      <c r="E2096" s="24">
        <v>43687</v>
      </c>
      <c r="F2096" s="8" t="s">
        <v>259</v>
      </c>
      <c r="G2096" s="8" t="s">
        <v>260</v>
      </c>
      <c r="H2096" s="8" t="s">
        <v>5517</v>
      </c>
      <c r="I2096" s="8" t="s">
        <v>5518</v>
      </c>
      <c r="J2096" s="5">
        <v>4</v>
      </c>
      <c r="K2096" s="5" t="s">
        <v>21</v>
      </c>
      <c r="L2096" s="5" t="s">
        <v>4781</v>
      </c>
      <c r="M2096" s="5">
        <v>70</v>
      </c>
      <c r="N2096" s="5" t="s">
        <v>71</v>
      </c>
      <c r="O2096" s="5" t="s">
        <v>266</v>
      </c>
      <c r="Q2096" s="5" t="s">
        <v>5519</v>
      </c>
    </row>
    <row r="2097" spans="1:21" x14ac:dyDescent="0.2">
      <c r="A2097" s="5">
        <v>27</v>
      </c>
      <c r="B2097" s="8" t="s">
        <v>5520</v>
      </c>
      <c r="D2097" s="8" t="s">
        <v>5521</v>
      </c>
      <c r="E2097" s="24">
        <v>43687</v>
      </c>
      <c r="F2097" s="8" t="s">
        <v>259</v>
      </c>
      <c r="G2097" s="8" t="s">
        <v>260</v>
      </c>
      <c r="H2097" s="8" t="s">
        <v>5522</v>
      </c>
      <c r="I2097" s="8" t="s">
        <v>5523</v>
      </c>
      <c r="J2097" s="5">
        <v>10</v>
      </c>
      <c r="K2097" s="5" t="s">
        <v>21</v>
      </c>
      <c r="L2097" s="5" t="s">
        <v>4781</v>
      </c>
      <c r="M2097" s="5">
        <v>70</v>
      </c>
      <c r="N2097" s="5" t="s">
        <v>71</v>
      </c>
      <c r="O2097" s="5" t="s">
        <v>266</v>
      </c>
      <c r="Q2097" s="5" t="s">
        <v>5524</v>
      </c>
    </row>
    <row r="2098" spans="1:21" x14ac:dyDescent="0.2">
      <c r="A2098" s="5">
        <v>28</v>
      </c>
      <c r="B2098" s="8" t="s">
        <v>5525</v>
      </c>
      <c r="H2098" s="8" t="s">
        <v>5526</v>
      </c>
      <c r="I2098" s="8" t="s">
        <v>5526</v>
      </c>
      <c r="J2098" s="5">
        <v>24</v>
      </c>
      <c r="K2098" s="5" t="s">
        <v>21</v>
      </c>
      <c r="L2098" s="5" t="s">
        <v>4781</v>
      </c>
      <c r="M2098" s="5">
        <v>70</v>
      </c>
      <c r="N2098" s="5" t="s">
        <v>43</v>
      </c>
      <c r="O2098" s="5" t="s">
        <v>266</v>
      </c>
      <c r="Q2098" s="5" t="s">
        <v>553</v>
      </c>
    </row>
    <row r="2099" spans="1:21" x14ac:dyDescent="0.2">
      <c r="A2099" s="5">
        <v>29</v>
      </c>
      <c r="B2099" s="8" t="s">
        <v>5527</v>
      </c>
      <c r="D2099" s="8" t="s">
        <v>524</v>
      </c>
      <c r="E2099" s="24">
        <v>43687</v>
      </c>
      <c r="F2099" s="8" t="s">
        <v>259</v>
      </c>
      <c r="G2099" s="8" t="s">
        <v>260</v>
      </c>
      <c r="H2099" s="8" t="s">
        <v>5528</v>
      </c>
      <c r="I2099" s="8" t="s">
        <v>5529</v>
      </c>
      <c r="J2099" s="5">
        <v>61</v>
      </c>
      <c r="K2099" s="5" t="s">
        <v>21</v>
      </c>
      <c r="L2099" s="5" t="s">
        <v>4781</v>
      </c>
      <c r="M2099" s="5">
        <v>71</v>
      </c>
      <c r="N2099" s="5" t="s">
        <v>71</v>
      </c>
      <c r="O2099" s="5" t="s">
        <v>266</v>
      </c>
      <c r="Q2099" s="5" t="s">
        <v>5530</v>
      </c>
    </row>
    <row r="2100" spans="1:21" x14ac:dyDescent="0.2">
      <c r="A2100" s="5">
        <v>30</v>
      </c>
      <c r="B2100" s="8" t="s">
        <v>5531</v>
      </c>
      <c r="D2100" s="8" t="s">
        <v>524</v>
      </c>
      <c r="E2100" s="24">
        <v>43687</v>
      </c>
      <c r="F2100" s="8" t="s">
        <v>259</v>
      </c>
      <c r="G2100" s="8" t="s">
        <v>260</v>
      </c>
      <c r="H2100" s="8" t="s">
        <v>5532</v>
      </c>
      <c r="I2100" s="8" t="s">
        <v>5533</v>
      </c>
      <c r="J2100" s="5">
        <f>1-1</f>
        <v>0</v>
      </c>
      <c r="K2100" s="5" t="s">
        <v>21</v>
      </c>
      <c r="L2100" s="5" t="s">
        <v>4781</v>
      </c>
      <c r="M2100" s="5">
        <v>71</v>
      </c>
      <c r="N2100" s="5" t="s">
        <v>71</v>
      </c>
      <c r="O2100" s="5" t="s">
        <v>266</v>
      </c>
      <c r="Q2100" s="5" t="s">
        <v>5534</v>
      </c>
    </row>
    <row r="2101" spans="1:21" x14ac:dyDescent="0.2">
      <c r="A2101" s="5">
        <v>32</v>
      </c>
      <c r="B2101" s="8" t="s">
        <v>5535</v>
      </c>
      <c r="D2101" s="8" t="s">
        <v>524</v>
      </c>
      <c r="E2101" s="24">
        <v>43687</v>
      </c>
      <c r="F2101" s="8" t="s">
        <v>259</v>
      </c>
      <c r="G2101" s="8" t="s">
        <v>260</v>
      </c>
      <c r="H2101" s="8" t="s">
        <v>5536</v>
      </c>
      <c r="I2101" s="8" t="s">
        <v>5537</v>
      </c>
      <c r="J2101" s="5">
        <f>24-2-1-1-1+1-1-1-1-2</f>
        <v>15</v>
      </c>
      <c r="K2101" s="5" t="s">
        <v>21</v>
      </c>
      <c r="L2101" s="5" t="s">
        <v>4781</v>
      </c>
      <c r="M2101" s="5">
        <v>71</v>
      </c>
      <c r="N2101" s="5" t="s">
        <v>71</v>
      </c>
      <c r="O2101" s="5" t="s">
        <v>266</v>
      </c>
      <c r="Q2101" s="5" t="s">
        <v>5534</v>
      </c>
    </row>
    <row r="2102" spans="1:21" x14ac:dyDescent="0.2">
      <c r="A2102" s="5">
        <v>33</v>
      </c>
      <c r="B2102" s="8" t="s">
        <v>5538</v>
      </c>
      <c r="D2102" s="8" t="s">
        <v>524</v>
      </c>
      <c r="E2102" s="24">
        <v>43687</v>
      </c>
      <c r="F2102" s="8" t="s">
        <v>259</v>
      </c>
      <c r="G2102" s="8" t="s">
        <v>260</v>
      </c>
      <c r="H2102" s="8" t="s">
        <v>5539</v>
      </c>
      <c r="I2102" s="8" t="s">
        <v>5540</v>
      </c>
      <c r="J2102" s="5">
        <v>0</v>
      </c>
      <c r="K2102" s="5" t="s">
        <v>21</v>
      </c>
      <c r="L2102" s="5" t="s">
        <v>4781</v>
      </c>
      <c r="M2102" s="5">
        <v>71</v>
      </c>
      <c r="N2102" s="5" t="s">
        <v>71</v>
      </c>
      <c r="O2102" s="5" t="s">
        <v>266</v>
      </c>
      <c r="Q2102" s="5" t="s">
        <v>5541</v>
      </c>
    </row>
    <row r="2103" spans="1:21" x14ac:dyDescent="0.2">
      <c r="A2103" s="5">
        <v>34</v>
      </c>
      <c r="B2103" s="8" t="s">
        <v>5542</v>
      </c>
      <c r="D2103" s="8" t="s">
        <v>524</v>
      </c>
      <c r="E2103" s="24">
        <v>43687</v>
      </c>
      <c r="F2103" s="8" t="s">
        <v>259</v>
      </c>
      <c r="G2103" s="8" t="s">
        <v>260</v>
      </c>
      <c r="H2103" s="8" t="s">
        <v>5543</v>
      </c>
      <c r="I2103" s="8" t="s">
        <v>5544</v>
      </c>
      <c r="J2103" s="5">
        <f>5+1-5</f>
        <v>1</v>
      </c>
      <c r="K2103" s="5" t="s">
        <v>21</v>
      </c>
      <c r="L2103" s="5" t="s">
        <v>4781</v>
      </c>
      <c r="M2103" s="5">
        <v>71</v>
      </c>
      <c r="N2103" s="5" t="s">
        <v>71</v>
      </c>
      <c r="O2103" s="5" t="s">
        <v>266</v>
      </c>
      <c r="Q2103" s="5" t="s">
        <v>553</v>
      </c>
    </row>
    <row r="2104" spans="1:21" x14ac:dyDescent="0.2">
      <c r="A2104" s="5"/>
      <c r="B2104" s="8" t="s">
        <v>5545</v>
      </c>
      <c r="I2104" s="8" t="s">
        <v>5546</v>
      </c>
      <c r="J2104" s="5">
        <f>8</f>
        <v>8</v>
      </c>
      <c r="K2104" s="5" t="s">
        <v>21</v>
      </c>
      <c r="L2104" s="5" t="s">
        <v>4781</v>
      </c>
      <c r="M2104" s="5">
        <v>71</v>
      </c>
      <c r="N2104" s="5" t="s">
        <v>5547</v>
      </c>
    </row>
    <row r="2105" spans="1:21" x14ac:dyDescent="0.2">
      <c r="A2105" s="5">
        <v>35</v>
      </c>
      <c r="B2105" s="8" t="s">
        <v>5548</v>
      </c>
      <c r="D2105" s="8" t="s">
        <v>5521</v>
      </c>
      <c r="E2105" s="24">
        <v>43687</v>
      </c>
      <c r="F2105" s="8" t="s">
        <v>259</v>
      </c>
      <c r="G2105" s="8" t="s">
        <v>375</v>
      </c>
      <c r="H2105" s="8" t="s">
        <v>5549</v>
      </c>
      <c r="I2105" s="8" t="s">
        <v>5550</v>
      </c>
      <c r="J2105" s="5">
        <v>24</v>
      </c>
      <c r="K2105" s="5" t="s">
        <v>21</v>
      </c>
      <c r="L2105" s="5" t="s">
        <v>4781</v>
      </c>
      <c r="M2105" s="5">
        <v>72</v>
      </c>
      <c r="N2105" s="5" t="s">
        <v>71</v>
      </c>
      <c r="O2105" s="5" t="s">
        <v>266</v>
      </c>
      <c r="Q2105" s="5" t="s">
        <v>553</v>
      </c>
    </row>
    <row r="2106" spans="1:21" x14ac:dyDescent="0.2">
      <c r="A2106" s="5">
        <v>36</v>
      </c>
      <c r="B2106" s="8" t="s">
        <v>5551</v>
      </c>
      <c r="D2106" s="8" t="s">
        <v>524</v>
      </c>
      <c r="E2106" s="24">
        <v>43687</v>
      </c>
      <c r="F2106" s="8" t="s">
        <v>259</v>
      </c>
      <c r="G2106" s="8" t="s">
        <v>375</v>
      </c>
      <c r="H2106" s="8" t="s">
        <v>5552</v>
      </c>
      <c r="I2106" s="8" t="s">
        <v>5553</v>
      </c>
      <c r="J2106" s="5">
        <v>2</v>
      </c>
      <c r="K2106" s="5" t="s">
        <v>21</v>
      </c>
      <c r="L2106" s="5" t="s">
        <v>4781</v>
      </c>
      <c r="M2106" s="5">
        <v>73</v>
      </c>
      <c r="N2106" s="5" t="s">
        <v>71</v>
      </c>
      <c r="O2106" s="5" t="s">
        <v>266</v>
      </c>
      <c r="Q2106" s="5" t="s">
        <v>5554</v>
      </c>
    </row>
    <row r="2107" spans="1:21" x14ac:dyDescent="0.2">
      <c r="A2107" s="5">
        <v>38</v>
      </c>
      <c r="B2107" s="8" t="s">
        <v>5555</v>
      </c>
      <c r="D2107" s="8" t="s">
        <v>524</v>
      </c>
      <c r="E2107" s="24">
        <v>43687</v>
      </c>
      <c r="F2107" s="8" t="s">
        <v>259</v>
      </c>
      <c r="G2107" s="8" t="s">
        <v>375</v>
      </c>
      <c r="H2107" s="8" t="s">
        <v>5556</v>
      </c>
      <c r="I2107" s="8" t="s">
        <v>5557</v>
      </c>
      <c r="J2107" s="5">
        <f>25-4-1-8+8+1</f>
        <v>21</v>
      </c>
      <c r="K2107" s="5" t="s">
        <v>21</v>
      </c>
      <c r="L2107" s="5" t="s">
        <v>4781</v>
      </c>
      <c r="M2107" s="5">
        <v>73</v>
      </c>
      <c r="N2107" s="5" t="s">
        <v>71</v>
      </c>
      <c r="O2107" s="5" t="s">
        <v>266</v>
      </c>
      <c r="Q2107" s="5" t="s">
        <v>5558</v>
      </c>
    </row>
    <row r="2108" spans="1:21" x14ac:dyDescent="0.2">
      <c r="A2108" s="5">
        <v>39</v>
      </c>
      <c r="B2108" s="8" t="s">
        <v>5559</v>
      </c>
      <c r="D2108" s="8" t="s">
        <v>524</v>
      </c>
      <c r="E2108" s="24">
        <v>43687</v>
      </c>
      <c r="F2108" s="8" t="s">
        <v>259</v>
      </c>
      <c r="G2108" s="8" t="s">
        <v>375</v>
      </c>
      <c r="H2108" s="8" t="s">
        <v>5560</v>
      </c>
      <c r="I2108" s="8" t="s">
        <v>5561</v>
      </c>
      <c r="J2108" s="5">
        <f>32-1-1-1-1-1-6</f>
        <v>21</v>
      </c>
      <c r="K2108" s="5" t="s">
        <v>21</v>
      </c>
      <c r="L2108" s="5" t="s">
        <v>4781</v>
      </c>
      <c r="M2108" s="5">
        <v>73</v>
      </c>
      <c r="N2108" s="5" t="s">
        <v>71</v>
      </c>
      <c r="O2108" s="5" t="s">
        <v>266</v>
      </c>
      <c r="Q2108" s="5" t="s">
        <v>5562</v>
      </c>
    </row>
    <row r="2109" spans="1:21" x14ac:dyDescent="0.2">
      <c r="A2109" s="5">
        <v>40</v>
      </c>
      <c r="C2109" s="8" t="s">
        <v>5563</v>
      </c>
      <c r="D2109" s="8" t="s">
        <v>5564</v>
      </c>
      <c r="E2109" s="24">
        <v>43687</v>
      </c>
      <c r="F2109" s="8" t="s">
        <v>259</v>
      </c>
      <c r="G2109" s="8" t="s">
        <v>276</v>
      </c>
      <c r="H2109" s="8" t="s">
        <v>5565</v>
      </c>
      <c r="I2109" s="8" t="s">
        <v>5566</v>
      </c>
      <c r="J2109" s="5">
        <v>0</v>
      </c>
      <c r="K2109" s="5" t="s">
        <v>5567</v>
      </c>
      <c r="L2109" s="5" t="s">
        <v>4781</v>
      </c>
      <c r="M2109" s="5">
        <v>73</v>
      </c>
      <c r="N2109" s="5" t="s">
        <v>71</v>
      </c>
      <c r="O2109" s="5" t="s">
        <v>266</v>
      </c>
      <c r="Q2109" s="5" t="s">
        <v>5568</v>
      </c>
    </row>
    <row r="2110" spans="1:21" x14ac:dyDescent="0.2">
      <c r="A2110" s="5">
        <v>337</v>
      </c>
      <c r="B2110" s="8" t="s">
        <v>5569</v>
      </c>
      <c r="D2110" s="8" t="s">
        <v>395</v>
      </c>
      <c r="E2110" s="24">
        <v>43687</v>
      </c>
      <c r="F2110" s="8" t="s">
        <v>259</v>
      </c>
      <c r="G2110" s="8" t="s">
        <v>260</v>
      </c>
      <c r="H2110" s="8" t="s">
        <v>5570</v>
      </c>
      <c r="I2110" s="8" t="s">
        <v>5566</v>
      </c>
      <c r="J2110" s="5">
        <f>120-4-16-20-20+10+1</f>
        <v>71</v>
      </c>
      <c r="K2110" s="5" t="s">
        <v>292</v>
      </c>
      <c r="L2110" s="5" t="s">
        <v>4781</v>
      </c>
      <c r="M2110" s="5">
        <v>74</v>
      </c>
      <c r="N2110" s="5" t="s">
        <v>71</v>
      </c>
      <c r="O2110" s="5" t="s">
        <v>520</v>
      </c>
      <c r="Q2110" s="5" t="s">
        <v>5571</v>
      </c>
      <c r="U2110" s="5"/>
    </row>
    <row r="2111" spans="1:21" x14ac:dyDescent="0.2">
      <c r="A2111" s="5"/>
      <c r="B2111" s="8" t="s">
        <v>5572</v>
      </c>
      <c r="H2111" s="8" t="s">
        <v>5573</v>
      </c>
      <c r="I2111" s="8" t="s">
        <v>5573</v>
      </c>
      <c r="J2111" s="5">
        <v>2</v>
      </c>
      <c r="K2111" s="5" t="s">
        <v>21</v>
      </c>
      <c r="L2111" s="5" t="s">
        <v>4781</v>
      </c>
      <c r="M2111" s="5">
        <v>74</v>
      </c>
      <c r="N2111" s="5" t="s">
        <v>71</v>
      </c>
      <c r="O2111" s="5" t="s">
        <v>520</v>
      </c>
      <c r="Q2111" s="5" t="s">
        <v>5574</v>
      </c>
      <c r="S2111" s="5" t="s">
        <v>1139</v>
      </c>
    </row>
    <row r="2112" spans="1:21" x14ac:dyDescent="0.2">
      <c r="A2112" s="5"/>
      <c r="B2112" s="8" t="s">
        <v>5575</v>
      </c>
      <c r="H2112" s="8" t="s">
        <v>5576</v>
      </c>
      <c r="I2112" s="8" t="s">
        <v>5576</v>
      </c>
      <c r="J2112" s="5">
        <f>10-6-4+6-1+1</f>
        <v>6</v>
      </c>
      <c r="K2112" s="5" t="s">
        <v>21</v>
      </c>
      <c r="L2112" s="5" t="s">
        <v>4781</v>
      </c>
      <c r="M2112" s="5">
        <v>74</v>
      </c>
      <c r="N2112" s="5" t="s">
        <v>71</v>
      </c>
      <c r="O2112" s="5" t="s">
        <v>520</v>
      </c>
    </row>
    <row r="2113" spans="1:21" x14ac:dyDescent="0.2">
      <c r="A2113" s="5"/>
      <c r="B2113" s="8" t="s">
        <v>5577</v>
      </c>
      <c r="H2113" s="8" t="s">
        <v>5576</v>
      </c>
      <c r="I2113" s="8" t="s">
        <v>5576</v>
      </c>
      <c r="J2113" s="5">
        <f>10-6-4+6-1+1</f>
        <v>6</v>
      </c>
      <c r="K2113" s="5" t="s">
        <v>21</v>
      </c>
      <c r="L2113" s="5" t="s">
        <v>4781</v>
      </c>
      <c r="M2113" s="5">
        <v>74</v>
      </c>
      <c r="N2113" s="5" t="s">
        <v>71</v>
      </c>
      <c r="O2113" s="5" t="s">
        <v>520</v>
      </c>
    </row>
    <row r="2114" spans="1:21" x14ac:dyDescent="0.2">
      <c r="A2114" s="5">
        <v>41</v>
      </c>
      <c r="B2114" s="8" t="s">
        <v>5578</v>
      </c>
      <c r="H2114" s="8" t="s">
        <v>5579</v>
      </c>
      <c r="I2114" s="8" t="s">
        <v>5579</v>
      </c>
      <c r="J2114" s="5">
        <v>0</v>
      </c>
      <c r="K2114" s="5" t="s">
        <v>21</v>
      </c>
      <c r="L2114" s="5" t="s">
        <v>4781</v>
      </c>
      <c r="M2114" s="5">
        <v>75</v>
      </c>
      <c r="N2114" s="5" t="s">
        <v>71</v>
      </c>
      <c r="O2114" s="5" t="s">
        <v>266</v>
      </c>
      <c r="S2114" s="5" t="s">
        <v>1139</v>
      </c>
    </row>
    <row r="2115" spans="1:21" x14ac:dyDescent="0.2">
      <c r="A2115" s="5">
        <v>42</v>
      </c>
      <c r="B2115" s="8" t="s">
        <v>5578</v>
      </c>
      <c r="H2115" s="8" t="s">
        <v>5580</v>
      </c>
      <c r="I2115" s="8" t="s">
        <v>5580</v>
      </c>
      <c r="J2115" s="5">
        <v>2</v>
      </c>
      <c r="K2115" s="5" t="s">
        <v>21</v>
      </c>
      <c r="L2115" s="5" t="s">
        <v>4781</v>
      </c>
      <c r="M2115" s="5">
        <v>75</v>
      </c>
      <c r="N2115" s="5" t="s">
        <v>71</v>
      </c>
      <c r="O2115" s="5" t="s">
        <v>266</v>
      </c>
      <c r="S2115" s="5" t="s">
        <v>1139</v>
      </c>
    </row>
    <row r="2116" spans="1:21" x14ac:dyDescent="0.2">
      <c r="A2116" s="5">
        <v>43</v>
      </c>
      <c r="B2116" s="8">
        <v>50582</v>
      </c>
      <c r="H2116" s="8" t="s">
        <v>5581</v>
      </c>
      <c r="I2116" s="8" t="s">
        <v>5581</v>
      </c>
      <c r="J2116" s="5">
        <v>2</v>
      </c>
      <c r="K2116" s="5" t="s">
        <v>21</v>
      </c>
      <c r="L2116" s="5" t="s">
        <v>4781</v>
      </c>
      <c r="M2116" s="5">
        <v>75</v>
      </c>
      <c r="N2116" s="5" t="s">
        <v>71</v>
      </c>
      <c r="O2116" s="5" t="s">
        <v>266</v>
      </c>
      <c r="S2116" s="5" t="s">
        <v>1139</v>
      </c>
      <c r="U2116" t="s">
        <v>321</v>
      </c>
    </row>
    <row r="2117" spans="1:21" x14ac:dyDescent="0.2">
      <c r="A2117" s="5">
        <v>44</v>
      </c>
      <c r="B2117" s="8">
        <v>78967</v>
      </c>
      <c r="H2117" s="8" t="s">
        <v>5580</v>
      </c>
      <c r="I2117" s="8" t="s">
        <v>5580</v>
      </c>
      <c r="J2117" s="5">
        <v>2</v>
      </c>
      <c r="K2117" s="5" t="s">
        <v>21</v>
      </c>
      <c r="L2117" s="5" t="s">
        <v>4781</v>
      </c>
      <c r="M2117" s="5">
        <v>75</v>
      </c>
      <c r="N2117" s="5" t="s">
        <v>71</v>
      </c>
      <c r="O2117" s="5" t="s">
        <v>266</v>
      </c>
    </row>
    <row r="2118" spans="1:21" x14ac:dyDescent="0.2">
      <c r="A2118" s="5">
        <v>65</v>
      </c>
      <c r="B2118" s="8" t="s">
        <v>5582</v>
      </c>
      <c r="H2118" s="8" t="s">
        <v>5583</v>
      </c>
      <c r="I2118" s="8" t="s">
        <v>5583</v>
      </c>
      <c r="J2118" s="5">
        <v>10</v>
      </c>
      <c r="K2118" s="5" t="s">
        <v>21</v>
      </c>
      <c r="L2118" s="5" t="s">
        <v>4781</v>
      </c>
      <c r="M2118" s="5">
        <v>76</v>
      </c>
      <c r="N2118" s="5" t="s">
        <v>71</v>
      </c>
      <c r="O2118" s="5" t="s">
        <v>266</v>
      </c>
      <c r="Q2118" s="5" t="s">
        <v>553</v>
      </c>
    </row>
    <row r="2119" spans="1:21" x14ac:dyDescent="0.2">
      <c r="A2119" s="5">
        <v>66</v>
      </c>
      <c r="B2119" s="8" t="s">
        <v>5584</v>
      </c>
      <c r="H2119" s="8" t="s">
        <v>5585</v>
      </c>
      <c r="I2119" s="8" t="s">
        <v>5585</v>
      </c>
      <c r="J2119" s="5">
        <v>5</v>
      </c>
      <c r="K2119" s="5" t="s">
        <v>21</v>
      </c>
      <c r="L2119" s="5" t="s">
        <v>4781</v>
      </c>
      <c r="M2119" s="5">
        <v>76</v>
      </c>
      <c r="N2119" s="5" t="s">
        <v>5586</v>
      </c>
      <c r="O2119" s="5" t="s">
        <v>266</v>
      </c>
      <c r="Q2119" s="5" t="s">
        <v>553</v>
      </c>
    </row>
    <row r="2120" spans="1:21" x14ac:dyDescent="0.2">
      <c r="A2120" s="5">
        <v>68</v>
      </c>
      <c r="B2120" s="8" t="s">
        <v>5587</v>
      </c>
      <c r="H2120" s="8" t="s">
        <v>5588</v>
      </c>
      <c r="I2120" s="8" t="s">
        <v>5588</v>
      </c>
      <c r="J2120" s="5">
        <v>10</v>
      </c>
      <c r="K2120" s="5" t="s">
        <v>21</v>
      </c>
      <c r="L2120" s="5" t="s">
        <v>4781</v>
      </c>
      <c r="M2120" s="5">
        <v>77</v>
      </c>
      <c r="N2120" s="5" t="s">
        <v>71</v>
      </c>
      <c r="O2120" s="5" t="s">
        <v>266</v>
      </c>
      <c r="Q2120" s="5" t="s">
        <v>553</v>
      </c>
    </row>
    <row r="2121" spans="1:21" x14ac:dyDescent="0.2">
      <c r="A2121" s="5">
        <v>69</v>
      </c>
      <c r="B2121" s="8" t="s">
        <v>5589</v>
      </c>
      <c r="H2121" s="8" t="s">
        <v>5590</v>
      </c>
      <c r="I2121" s="8" t="s">
        <v>5590</v>
      </c>
      <c r="J2121" s="5">
        <v>6</v>
      </c>
      <c r="K2121" s="5" t="s">
        <v>21</v>
      </c>
      <c r="L2121" s="5" t="s">
        <v>4781</v>
      </c>
      <c r="M2121" s="5">
        <v>77</v>
      </c>
      <c r="N2121" s="5" t="s">
        <v>43</v>
      </c>
      <c r="O2121" s="5" t="s">
        <v>266</v>
      </c>
      <c r="Q2121" s="5" t="s">
        <v>553</v>
      </c>
    </row>
    <row r="2122" spans="1:21" x14ac:dyDescent="0.2">
      <c r="A2122" s="5">
        <v>70</v>
      </c>
      <c r="B2122" s="8" t="s">
        <v>5591</v>
      </c>
      <c r="C2122" s="8" t="s">
        <v>5592</v>
      </c>
      <c r="D2122" s="8" t="s">
        <v>542</v>
      </c>
      <c r="E2122" s="24">
        <v>43687</v>
      </c>
      <c r="F2122" s="8" t="s">
        <v>259</v>
      </c>
      <c r="G2122" s="8" t="s">
        <v>276</v>
      </c>
      <c r="H2122" s="8" t="s">
        <v>5593</v>
      </c>
      <c r="I2122" s="8" t="s">
        <v>5594</v>
      </c>
      <c r="J2122" s="5">
        <f>2-1</f>
        <v>1</v>
      </c>
      <c r="K2122" s="5" t="s">
        <v>21</v>
      </c>
      <c r="L2122" s="5" t="s">
        <v>4781</v>
      </c>
      <c r="M2122" s="5">
        <v>77</v>
      </c>
      <c r="N2122" s="5" t="s">
        <v>71</v>
      </c>
      <c r="O2122" s="5" t="s">
        <v>266</v>
      </c>
      <c r="Q2122" s="5" t="s">
        <v>553</v>
      </c>
    </row>
    <row r="2123" spans="1:21" x14ac:dyDescent="0.2">
      <c r="A2123" s="5">
        <v>71</v>
      </c>
      <c r="B2123" s="34" t="s">
        <v>5595</v>
      </c>
      <c r="C2123" s="8">
        <v>436753326</v>
      </c>
      <c r="D2123" s="8" t="s">
        <v>5596</v>
      </c>
      <c r="E2123" s="24">
        <v>43687</v>
      </c>
      <c r="F2123" s="8" t="s">
        <v>259</v>
      </c>
      <c r="G2123" s="8" t="s">
        <v>276</v>
      </c>
      <c r="H2123" s="8" t="s">
        <v>5597</v>
      </c>
      <c r="I2123" s="8" t="s">
        <v>5598</v>
      </c>
      <c r="J2123" s="5">
        <v>0</v>
      </c>
      <c r="K2123" s="5" t="s">
        <v>21</v>
      </c>
      <c r="L2123" s="5" t="s">
        <v>4781</v>
      </c>
      <c r="M2123" s="5">
        <v>77</v>
      </c>
      <c r="N2123" s="5" t="s">
        <v>71</v>
      </c>
      <c r="O2123" s="5" t="s">
        <v>266</v>
      </c>
      <c r="Q2123" s="5" t="s">
        <v>553</v>
      </c>
    </row>
    <row r="2124" spans="1:21" x14ac:dyDescent="0.2">
      <c r="A2124" s="5">
        <v>62</v>
      </c>
      <c r="B2124" s="8" t="s">
        <v>5599</v>
      </c>
      <c r="C2124" s="8" t="s">
        <v>5600</v>
      </c>
      <c r="D2124" s="8" t="s">
        <v>542</v>
      </c>
      <c r="E2124" s="24">
        <v>43687</v>
      </c>
      <c r="F2124" s="8" t="s">
        <v>259</v>
      </c>
      <c r="G2124" s="8" t="s">
        <v>276</v>
      </c>
      <c r="H2124" s="8" t="s">
        <v>5601</v>
      </c>
      <c r="I2124" s="8" t="s">
        <v>5602</v>
      </c>
      <c r="J2124" s="5">
        <v>3</v>
      </c>
      <c r="K2124" s="5" t="s">
        <v>21</v>
      </c>
      <c r="L2124" s="5" t="s">
        <v>4781</v>
      </c>
      <c r="M2124" s="5">
        <v>78</v>
      </c>
      <c r="N2124" s="5" t="s">
        <v>71</v>
      </c>
      <c r="O2124" s="5" t="s">
        <v>266</v>
      </c>
      <c r="Q2124" s="5" t="s">
        <v>553</v>
      </c>
    </row>
    <row r="2125" spans="1:21" x14ac:dyDescent="0.2">
      <c r="A2125" s="5">
        <v>63</v>
      </c>
      <c r="B2125" s="8" t="s">
        <v>5603</v>
      </c>
      <c r="H2125" s="8" t="s">
        <v>5604</v>
      </c>
      <c r="I2125" s="8" t="s">
        <v>5604</v>
      </c>
      <c r="J2125" s="5">
        <v>0</v>
      </c>
      <c r="K2125" s="5" t="s">
        <v>21</v>
      </c>
      <c r="L2125" s="5" t="s">
        <v>4781</v>
      </c>
      <c r="M2125" s="5">
        <v>78</v>
      </c>
      <c r="N2125" s="5" t="s">
        <v>71</v>
      </c>
      <c r="O2125" s="5" t="s">
        <v>266</v>
      </c>
      <c r="Q2125" s="5" t="s">
        <v>553</v>
      </c>
      <c r="S2125" s="5" t="s">
        <v>1139</v>
      </c>
    </row>
    <row r="2126" spans="1:21" x14ac:dyDescent="0.2">
      <c r="A2126" s="5">
        <v>64</v>
      </c>
      <c r="B2126" s="8" t="s">
        <v>5605</v>
      </c>
      <c r="C2126" s="8" t="s">
        <v>5606</v>
      </c>
      <c r="D2126" s="8" t="s">
        <v>5607</v>
      </c>
      <c r="E2126" s="24">
        <v>43687</v>
      </c>
      <c r="F2126" s="8" t="s">
        <v>259</v>
      </c>
      <c r="G2126" s="8" t="s">
        <v>276</v>
      </c>
      <c r="H2126" s="8" t="s">
        <v>5608</v>
      </c>
      <c r="I2126" s="8" t="s">
        <v>5609</v>
      </c>
      <c r="J2126" s="5">
        <v>1</v>
      </c>
      <c r="K2126" s="5" t="s">
        <v>21</v>
      </c>
      <c r="L2126" s="5" t="s">
        <v>4781</v>
      </c>
      <c r="M2126" s="5">
        <v>78</v>
      </c>
      <c r="N2126" s="5" t="s">
        <v>71</v>
      </c>
      <c r="O2126" s="5" t="s">
        <v>266</v>
      </c>
      <c r="U2126" t="s">
        <v>321</v>
      </c>
    </row>
    <row r="2127" spans="1:21" x14ac:dyDescent="0.2">
      <c r="A2127" s="5">
        <v>58</v>
      </c>
      <c r="B2127" s="8" t="s">
        <v>5610</v>
      </c>
      <c r="H2127" s="8" t="s">
        <v>5611</v>
      </c>
      <c r="I2127" s="8" t="s">
        <v>5611</v>
      </c>
      <c r="J2127" s="5">
        <v>46</v>
      </c>
      <c r="K2127" s="5" t="s">
        <v>21</v>
      </c>
      <c r="L2127" s="5" t="s">
        <v>4781</v>
      </c>
      <c r="M2127" s="5">
        <v>79</v>
      </c>
      <c r="N2127" s="5" t="s">
        <v>5612</v>
      </c>
      <c r="O2127" s="5" t="s">
        <v>266</v>
      </c>
      <c r="Q2127" s="5" t="s">
        <v>553</v>
      </c>
    </row>
    <row r="2128" spans="1:21" x14ac:dyDescent="0.2">
      <c r="A2128" s="5">
        <v>59</v>
      </c>
      <c r="B2128" s="8" t="s">
        <v>5613</v>
      </c>
      <c r="H2128" s="8" t="s">
        <v>5614</v>
      </c>
      <c r="I2128" s="8" t="s">
        <v>5614</v>
      </c>
      <c r="J2128" s="5">
        <v>20</v>
      </c>
      <c r="K2128" s="5" t="s">
        <v>21</v>
      </c>
      <c r="L2128" s="5" t="s">
        <v>4781</v>
      </c>
      <c r="M2128" s="5">
        <v>79</v>
      </c>
      <c r="N2128" s="5" t="s">
        <v>5612</v>
      </c>
      <c r="O2128" s="5" t="s">
        <v>266</v>
      </c>
      <c r="Q2128" s="5" t="s">
        <v>553</v>
      </c>
    </row>
    <row r="2129" spans="1:17" x14ac:dyDescent="0.2">
      <c r="A2129" s="5">
        <v>60</v>
      </c>
      <c r="B2129" s="8" t="s">
        <v>5615</v>
      </c>
      <c r="H2129" s="8" t="s">
        <v>5616</v>
      </c>
      <c r="I2129" s="8" t="s">
        <v>5616</v>
      </c>
      <c r="J2129" s="5">
        <f>2-2</f>
        <v>0</v>
      </c>
      <c r="K2129" s="5" t="s">
        <v>21</v>
      </c>
      <c r="L2129" s="5" t="s">
        <v>4781</v>
      </c>
      <c r="M2129" s="5">
        <v>79</v>
      </c>
      <c r="N2129" s="5" t="s">
        <v>654</v>
      </c>
      <c r="O2129" s="5" t="s">
        <v>266</v>
      </c>
      <c r="Q2129" s="5" t="s">
        <v>553</v>
      </c>
    </row>
    <row r="2130" spans="1:17" x14ac:dyDescent="0.2">
      <c r="A2130" s="5">
        <v>61</v>
      </c>
      <c r="B2130" s="8" t="s">
        <v>5617</v>
      </c>
      <c r="D2130" s="8" t="s">
        <v>5618</v>
      </c>
      <c r="E2130" s="24">
        <v>43687</v>
      </c>
      <c r="F2130" s="8" t="s">
        <v>259</v>
      </c>
      <c r="G2130" s="8" t="s">
        <v>260</v>
      </c>
      <c r="H2130" s="8" t="s">
        <v>5619</v>
      </c>
      <c r="I2130" s="8" t="s">
        <v>5620</v>
      </c>
      <c r="J2130" s="5">
        <v>2</v>
      </c>
      <c r="K2130" s="5" t="s">
        <v>21</v>
      </c>
      <c r="L2130" s="5" t="s">
        <v>4781</v>
      </c>
      <c r="M2130" s="5">
        <v>79</v>
      </c>
      <c r="N2130" s="5" t="s">
        <v>71</v>
      </c>
      <c r="O2130" s="5" t="s">
        <v>266</v>
      </c>
      <c r="Q2130" s="5" t="s">
        <v>553</v>
      </c>
    </row>
    <row r="2131" spans="1:17" x14ac:dyDescent="0.2">
      <c r="A2131" s="5">
        <v>53</v>
      </c>
      <c r="B2131" s="8" t="s">
        <v>5621</v>
      </c>
      <c r="D2131" s="8" t="s">
        <v>524</v>
      </c>
      <c r="E2131" s="24">
        <v>43687</v>
      </c>
      <c r="F2131" s="8" t="s">
        <v>259</v>
      </c>
      <c r="G2131" s="8" t="s">
        <v>375</v>
      </c>
      <c r="H2131" s="8" t="s">
        <v>5622</v>
      </c>
      <c r="I2131" s="8" t="s">
        <v>5623</v>
      </c>
      <c r="J2131" s="5">
        <v>32</v>
      </c>
      <c r="K2131" s="5" t="s">
        <v>21</v>
      </c>
      <c r="L2131" s="5" t="s">
        <v>4781</v>
      </c>
      <c r="M2131" s="5">
        <v>80</v>
      </c>
      <c r="N2131" s="5" t="s">
        <v>71</v>
      </c>
      <c r="O2131" s="5" t="s">
        <v>266</v>
      </c>
      <c r="Q2131" s="5" t="s">
        <v>5534</v>
      </c>
    </row>
    <row r="2132" spans="1:17" x14ac:dyDescent="0.2">
      <c r="A2132" s="5">
        <v>54</v>
      </c>
      <c r="B2132" s="8" t="s">
        <v>5624</v>
      </c>
      <c r="H2132" s="8" t="s">
        <v>5625</v>
      </c>
      <c r="I2132" s="8" t="s">
        <v>5625</v>
      </c>
      <c r="J2132" s="5">
        <v>3</v>
      </c>
      <c r="K2132" s="5" t="s">
        <v>21</v>
      </c>
      <c r="L2132" s="5" t="s">
        <v>4781</v>
      </c>
      <c r="M2132" s="5">
        <v>80</v>
      </c>
      <c r="N2132" s="5" t="s">
        <v>5626</v>
      </c>
      <c r="O2132" s="5" t="s">
        <v>266</v>
      </c>
      <c r="Q2132" s="5" t="s">
        <v>5534</v>
      </c>
    </row>
    <row r="2133" spans="1:17" x14ac:dyDescent="0.2">
      <c r="A2133" s="5">
        <v>55</v>
      </c>
      <c r="B2133" s="8" t="s">
        <v>5627</v>
      </c>
      <c r="D2133" s="8" t="s">
        <v>524</v>
      </c>
      <c r="E2133" s="24">
        <v>43687</v>
      </c>
      <c r="F2133" s="8" t="s">
        <v>259</v>
      </c>
      <c r="G2133" s="8" t="s">
        <v>260</v>
      </c>
      <c r="H2133" s="8" t="s">
        <v>5628</v>
      </c>
      <c r="I2133" s="8" t="s">
        <v>5629</v>
      </c>
      <c r="J2133" s="5">
        <f>21+8-2-1+25-5-1-2-1+1-8-5-1+5-2-6-1-4-10</f>
        <v>11</v>
      </c>
      <c r="K2133" s="5" t="s">
        <v>21</v>
      </c>
      <c r="L2133" s="5" t="s">
        <v>4781</v>
      </c>
      <c r="M2133" s="5">
        <v>80</v>
      </c>
      <c r="N2133" s="5" t="s">
        <v>71</v>
      </c>
      <c r="O2133" s="5" t="s">
        <v>266</v>
      </c>
      <c r="Q2133" s="5" t="s">
        <v>5630</v>
      </c>
    </row>
    <row r="2134" spans="1:17" x14ac:dyDescent="0.2">
      <c r="A2134" s="5">
        <v>56</v>
      </c>
      <c r="B2134" s="8" t="s">
        <v>5631</v>
      </c>
      <c r="H2134" s="8" t="s">
        <v>5632</v>
      </c>
      <c r="I2134" s="8" t="s">
        <v>5632</v>
      </c>
      <c r="J2134" s="5">
        <f>28-3-2</f>
        <v>23</v>
      </c>
      <c r="K2134" s="5" t="s">
        <v>21</v>
      </c>
      <c r="L2134" s="5" t="s">
        <v>4781</v>
      </c>
      <c r="M2134" s="5">
        <v>80</v>
      </c>
      <c r="N2134" s="5" t="s">
        <v>408</v>
      </c>
      <c r="O2134" s="5" t="s">
        <v>266</v>
      </c>
      <c r="Q2134" s="5" t="s">
        <v>5633</v>
      </c>
    </row>
    <row r="2135" spans="1:17" x14ac:dyDescent="0.2">
      <c r="A2135" s="5">
        <v>57</v>
      </c>
      <c r="B2135" s="8" t="s">
        <v>5634</v>
      </c>
      <c r="H2135" s="8" t="s">
        <v>5635</v>
      </c>
      <c r="I2135" s="8" t="s">
        <v>5635</v>
      </c>
      <c r="J2135" s="5">
        <f>3</f>
        <v>3</v>
      </c>
      <c r="K2135" s="5" t="s">
        <v>21</v>
      </c>
      <c r="L2135" s="5" t="s">
        <v>4781</v>
      </c>
      <c r="M2135" s="5">
        <v>80</v>
      </c>
      <c r="N2135" s="5" t="s">
        <v>5586</v>
      </c>
      <c r="O2135" s="5" t="s">
        <v>266</v>
      </c>
      <c r="Q2135" s="5" t="s">
        <v>553</v>
      </c>
    </row>
    <row r="2136" spans="1:17" x14ac:dyDescent="0.2">
      <c r="A2136" s="5">
        <v>185</v>
      </c>
      <c r="B2136" s="8" t="s">
        <v>5631</v>
      </c>
      <c r="D2136" s="8" t="s">
        <v>524</v>
      </c>
      <c r="E2136" s="24">
        <v>43687</v>
      </c>
      <c r="F2136" s="8" t="s">
        <v>259</v>
      </c>
      <c r="G2136" s="8" t="s">
        <v>260</v>
      </c>
      <c r="H2136" s="8" t="s">
        <v>5636</v>
      </c>
      <c r="I2136" s="8" t="s">
        <v>5637</v>
      </c>
      <c r="J2136" s="5">
        <v>0</v>
      </c>
      <c r="K2136" s="5" t="s">
        <v>21</v>
      </c>
      <c r="L2136" s="5" t="s">
        <v>4781</v>
      </c>
      <c r="M2136" s="5">
        <v>80</v>
      </c>
      <c r="N2136" s="5" t="s">
        <v>71</v>
      </c>
      <c r="O2136" s="5" t="s">
        <v>266</v>
      </c>
      <c r="Q2136" s="5" t="s">
        <v>5638</v>
      </c>
    </row>
    <row r="2137" spans="1:17" x14ac:dyDescent="0.2">
      <c r="A2137" s="5"/>
      <c r="B2137" s="8" t="s">
        <v>5639</v>
      </c>
      <c r="H2137" s="8" t="s">
        <v>5640</v>
      </c>
      <c r="I2137" s="8" t="s">
        <v>5640</v>
      </c>
      <c r="J2137" s="5">
        <f>3-1-1-1+5-1</f>
        <v>4</v>
      </c>
      <c r="K2137" s="5" t="s">
        <v>21</v>
      </c>
      <c r="L2137" s="5" t="s">
        <v>4781</v>
      </c>
      <c r="M2137" s="5">
        <v>80</v>
      </c>
      <c r="N2137" s="5" t="s">
        <v>71</v>
      </c>
      <c r="Q2137" s="107" t="s">
        <v>5641</v>
      </c>
    </row>
    <row r="2138" spans="1:17" x14ac:dyDescent="0.2">
      <c r="A2138" s="5">
        <v>51</v>
      </c>
      <c r="B2138" s="8" t="s">
        <v>5642</v>
      </c>
      <c r="C2138" s="8" t="s">
        <v>5643</v>
      </c>
      <c r="D2138" s="8" t="s">
        <v>281</v>
      </c>
      <c r="E2138" s="24">
        <v>43687</v>
      </c>
      <c r="F2138" s="8" t="s">
        <v>259</v>
      </c>
      <c r="G2138" s="8" t="s">
        <v>276</v>
      </c>
      <c r="H2138" s="8" t="s">
        <v>5644</v>
      </c>
      <c r="I2138" s="8" t="s">
        <v>5645</v>
      </c>
      <c r="J2138" s="5">
        <v>0</v>
      </c>
      <c r="K2138" s="5" t="s">
        <v>21</v>
      </c>
      <c r="L2138" s="5" t="s">
        <v>4781</v>
      </c>
      <c r="M2138" s="5">
        <v>81</v>
      </c>
      <c r="N2138" s="5" t="s">
        <v>71</v>
      </c>
      <c r="O2138" s="5" t="s">
        <v>266</v>
      </c>
      <c r="Q2138" s="5" t="s">
        <v>5646</v>
      </c>
    </row>
    <row r="2139" spans="1:17" x14ac:dyDescent="0.2">
      <c r="A2139" s="5">
        <v>52</v>
      </c>
      <c r="B2139" s="8" t="s">
        <v>5647</v>
      </c>
      <c r="C2139" s="8" t="s">
        <v>5648</v>
      </c>
      <c r="D2139" s="8" t="s">
        <v>5512</v>
      </c>
      <c r="E2139" s="24">
        <v>43687</v>
      </c>
      <c r="F2139" s="8" t="s">
        <v>259</v>
      </c>
      <c r="G2139" s="8" t="s">
        <v>276</v>
      </c>
      <c r="H2139" s="8" t="s">
        <v>5649</v>
      </c>
      <c r="I2139" s="8" t="s">
        <v>5650</v>
      </c>
      <c r="J2139" s="5">
        <v>12</v>
      </c>
      <c r="K2139" s="5" t="s">
        <v>21</v>
      </c>
      <c r="L2139" s="5" t="s">
        <v>4781</v>
      </c>
      <c r="M2139" s="5">
        <v>81</v>
      </c>
      <c r="N2139" s="5" t="s">
        <v>71</v>
      </c>
      <c r="O2139" s="5" t="s">
        <v>266</v>
      </c>
      <c r="Q2139" s="5" t="s">
        <v>5646</v>
      </c>
    </row>
    <row r="2140" spans="1:17" x14ac:dyDescent="0.2">
      <c r="A2140" s="5">
        <v>2343</v>
      </c>
      <c r="B2140" s="8" t="s">
        <v>5642</v>
      </c>
      <c r="C2140" s="8" t="s">
        <v>5643</v>
      </c>
      <c r="D2140" s="8" t="s">
        <v>281</v>
      </c>
      <c r="E2140" s="24">
        <v>43687</v>
      </c>
      <c r="F2140" s="8" t="s">
        <v>259</v>
      </c>
      <c r="G2140" s="8" t="s">
        <v>276</v>
      </c>
      <c r="H2140" s="8" t="s">
        <v>5644</v>
      </c>
      <c r="I2140" s="8" t="s">
        <v>5645</v>
      </c>
      <c r="J2140" s="5">
        <v>24</v>
      </c>
      <c r="K2140" s="5" t="s">
        <v>292</v>
      </c>
      <c r="L2140" s="5" t="s">
        <v>4781</v>
      </c>
      <c r="M2140" s="5">
        <v>81</v>
      </c>
      <c r="N2140" s="5" t="s">
        <v>71</v>
      </c>
      <c r="O2140" s="5" t="s">
        <v>520</v>
      </c>
      <c r="Q2140" s="5" t="s">
        <v>2081</v>
      </c>
    </row>
    <row r="2141" spans="1:17" x14ac:dyDescent="0.2">
      <c r="A2141" s="5">
        <v>45</v>
      </c>
      <c r="B2141" s="8" t="s">
        <v>5580</v>
      </c>
      <c r="H2141" s="8" t="s">
        <v>5651</v>
      </c>
      <c r="I2141" s="8" t="s">
        <v>5651</v>
      </c>
      <c r="J2141" s="5">
        <v>2</v>
      </c>
      <c r="K2141" s="5" t="s">
        <v>21</v>
      </c>
      <c r="L2141" s="5" t="s">
        <v>4781</v>
      </c>
      <c r="M2141" s="5">
        <v>82</v>
      </c>
      <c r="N2141" s="5" t="s">
        <v>5580</v>
      </c>
      <c r="O2141" s="5" t="s">
        <v>266</v>
      </c>
      <c r="Q2141" s="5" t="s">
        <v>553</v>
      </c>
    </row>
    <row r="2142" spans="1:17" x14ac:dyDescent="0.2">
      <c r="A2142" s="5">
        <v>46</v>
      </c>
      <c r="B2142" s="8" t="s">
        <v>5652</v>
      </c>
      <c r="H2142" s="8" t="s">
        <v>5653</v>
      </c>
      <c r="I2142" s="8" t="s">
        <v>5653</v>
      </c>
      <c r="J2142" s="5">
        <f>16-8</f>
        <v>8</v>
      </c>
      <c r="K2142" s="5" t="s">
        <v>21</v>
      </c>
      <c r="L2142" s="5" t="s">
        <v>4781</v>
      </c>
      <c r="M2142" s="5">
        <v>83</v>
      </c>
      <c r="N2142" s="5" t="s">
        <v>654</v>
      </c>
      <c r="O2142" s="5" t="s">
        <v>266</v>
      </c>
      <c r="Q2142" s="5" t="s">
        <v>5654</v>
      </c>
    </row>
    <row r="2143" spans="1:17" x14ac:dyDescent="0.2">
      <c r="A2143" s="5">
        <v>47</v>
      </c>
      <c r="B2143" s="8" t="s">
        <v>5655</v>
      </c>
      <c r="H2143" s="8" t="s">
        <v>5656</v>
      </c>
      <c r="I2143" s="8" t="s">
        <v>5656</v>
      </c>
      <c r="J2143" s="5">
        <f>19+2-2+1+2</f>
        <v>22</v>
      </c>
      <c r="K2143" s="5" t="s">
        <v>21</v>
      </c>
      <c r="L2143" s="5" t="s">
        <v>4781</v>
      </c>
      <c r="M2143" s="5">
        <v>83</v>
      </c>
      <c r="N2143" s="5" t="s">
        <v>654</v>
      </c>
      <c r="O2143" s="5" t="s">
        <v>266</v>
      </c>
      <c r="Q2143" s="5" t="s">
        <v>5657</v>
      </c>
    </row>
    <row r="2144" spans="1:17" x14ac:dyDescent="0.2">
      <c r="A2144" s="5">
        <v>48</v>
      </c>
      <c r="B2144" s="8" t="s">
        <v>5658</v>
      </c>
      <c r="H2144" s="8" t="s">
        <v>5659</v>
      </c>
      <c r="I2144" s="8" t="s">
        <v>5659</v>
      </c>
      <c r="J2144" s="5">
        <v>3</v>
      </c>
      <c r="K2144" s="5" t="s">
        <v>21</v>
      </c>
      <c r="L2144" s="5" t="s">
        <v>4781</v>
      </c>
      <c r="M2144" s="5">
        <v>83</v>
      </c>
      <c r="N2144" s="5" t="s">
        <v>654</v>
      </c>
      <c r="O2144" s="5" t="s">
        <v>266</v>
      </c>
      <c r="Q2144" s="5" t="s">
        <v>553</v>
      </c>
    </row>
    <row r="2145" spans="1:17" x14ac:dyDescent="0.2">
      <c r="A2145" s="5">
        <v>49</v>
      </c>
      <c r="B2145" s="8" t="s">
        <v>5660</v>
      </c>
      <c r="H2145" s="8" t="s">
        <v>5661</v>
      </c>
      <c r="I2145" s="8" t="s">
        <v>5661</v>
      </c>
      <c r="J2145" s="5">
        <f>39-2-4+1-16-2+20-3</f>
        <v>33</v>
      </c>
      <c r="K2145" s="5" t="s">
        <v>21</v>
      </c>
      <c r="L2145" s="5" t="s">
        <v>4781</v>
      </c>
      <c r="M2145" s="5">
        <v>83</v>
      </c>
      <c r="N2145" s="5" t="s">
        <v>654</v>
      </c>
      <c r="O2145" s="5" t="s">
        <v>266</v>
      </c>
      <c r="Q2145" s="5" t="s">
        <v>5662</v>
      </c>
    </row>
    <row r="2146" spans="1:17" x14ac:dyDescent="0.2">
      <c r="A2146" s="5">
        <v>50</v>
      </c>
      <c r="B2146" s="8" t="s">
        <v>5663</v>
      </c>
      <c r="H2146" s="8" t="s">
        <v>5664</v>
      </c>
      <c r="I2146" s="8" t="s">
        <v>5664</v>
      </c>
      <c r="J2146" s="5">
        <f>1+1-1</f>
        <v>1</v>
      </c>
      <c r="K2146" s="5" t="s">
        <v>21</v>
      </c>
      <c r="L2146" s="5" t="s">
        <v>4781</v>
      </c>
      <c r="M2146" s="5">
        <v>83</v>
      </c>
      <c r="N2146" s="5" t="s">
        <v>654</v>
      </c>
      <c r="O2146" s="5" t="s">
        <v>266</v>
      </c>
      <c r="Q2146" s="5" t="s">
        <v>5665</v>
      </c>
    </row>
    <row r="2147" spans="1:17" x14ac:dyDescent="0.2">
      <c r="A2147" s="5"/>
      <c r="B2147" s="8" t="s">
        <v>5666</v>
      </c>
      <c r="H2147" s="8" t="s">
        <v>5667</v>
      </c>
      <c r="I2147" s="8" t="s">
        <v>5668</v>
      </c>
      <c r="J2147" s="5">
        <f>2</f>
        <v>2</v>
      </c>
      <c r="K2147" s="5" t="s">
        <v>21</v>
      </c>
      <c r="L2147" s="5" t="s">
        <v>4781</v>
      </c>
      <c r="M2147" s="5">
        <v>83</v>
      </c>
      <c r="N2147" s="5" t="s">
        <v>654</v>
      </c>
      <c r="O2147" s="5" t="s">
        <v>266</v>
      </c>
      <c r="Q2147" s="5" t="s">
        <v>5669</v>
      </c>
    </row>
    <row r="2148" spans="1:17" x14ac:dyDescent="0.2">
      <c r="A2148" s="5"/>
      <c r="B2148" s="8" t="s">
        <v>5670</v>
      </c>
      <c r="I2148" s="8" t="s">
        <v>5671</v>
      </c>
      <c r="J2148" s="5">
        <f>6</f>
        <v>6</v>
      </c>
      <c r="K2148" s="5" t="s">
        <v>21</v>
      </c>
      <c r="L2148" s="5" t="s">
        <v>4781</v>
      </c>
      <c r="M2148" s="5">
        <v>83</v>
      </c>
    </row>
    <row r="2149" spans="1:17" x14ac:dyDescent="0.2">
      <c r="B2149" s="8" t="s">
        <v>5672</v>
      </c>
      <c r="H2149" s="8" t="s">
        <v>5673</v>
      </c>
      <c r="I2149" s="8" t="s">
        <v>5673</v>
      </c>
      <c r="J2149" s="5">
        <f>11-1</f>
        <v>10</v>
      </c>
      <c r="K2149" s="5" t="s">
        <v>292</v>
      </c>
      <c r="L2149" s="5" t="s">
        <v>4781</v>
      </c>
      <c r="M2149" s="5">
        <v>83</v>
      </c>
      <c r="N2149" s="5" t="s">
        <v>654</v>
      </c>
      <c r="Q2149" s="107" t="s">
        <v>5674</v>
      </c>
    </row>
    <row r="2150" spans="1:17" x14ac:dyDescent="0.2">
      <c r="B2150" s="8" t="s">
        <v>5675</v>
      </c>
      <c r="I2150" s="8" t="s">
        <v>5671</v>
      </c>
      <c r="J2150" s="5">
        <f>3+1+1</f>
        <v>5</v>
      </c>
      <c r="K2150" s="5" t="s">
        <v>292</v>
      </c>
      <c r="L2150" s="5" t="s">
        <v>4781</v>
      </c>
      <c r="M2150" s="5">
        <v>83</v>
      </c>
      <c r="Q2150" s="107"/>
    </row>
    <row r="2151" spans="1:17" x14ac:dyDescent="0.2">
      <c r="A2151" s="5">
        <v>100</v>
      </c>
      <c r="B2151" s="8" t="s">
        <v>5676</v>
      </c>
      <c r="H2151" s="8" t="s">
        <v>5677</v>
      </c>
      <c r="I2151" s="8" t="s">
        <v>5677</v>
      </c>
      <c r="J2151" s="5">
        <f>1-1</f>
        <v>0</v>
      </c>
      <c r="K2151" s="5" t="s">
        <v>21</v>
      </c>
      <c r="L2151" s="5" t="s">
        <v>4781</v>
      </c>
      <c r="M2151" s="5">
        <v>84</v>
      </c>
      <c r="N2151" s="5" t="s">
        <v>71</v>
      </c>
      <c r="O2151" s="5" t="s">
        <v>266</v>
      </c>
      <c r="Q2151" s="5" t="s">
        <v>553</v>
      </c>
    </row>
    <row r="2152" spans="1:17" x14ac:dyDescent="0.2">
      <c r="A2152" s="5">
        <v>101</v>
      </c>
      <c r="B2152" s="8" t="s">
        <v>5678</v>
      </c>
      <c r="C2152" s="8" t="s">
        <v>5679</v>
      </c>
      <c r="D2152" s="8" t="s">
        <v>542</v>
      </c>
      <c r="E2152" s="24">
        <v>43687</v>
      </c>
      <c r="F2152" s="8" t="s">
        <v>259</v>
      </c>
      <c r="G2152" s="8" t="s">
        <v>276</v>
      </c>
      <c r="H2152" s="8" t="s">
        <v>5680</v>
      </c>
      <c r="I2152" s="8" t="s">
        <v>5681</v>
      </c>
      <c r="J2152" s="5">
        <v>0</v>
      </c>
      <c r="K2152" s="5" t="s">
        <v>21</v>
      </c>
      <c r="L2152" s="5" t="s">
        <v>4781</v>
      </c>
      <c r="M2152" s="5">
        <v>84</v>
      </c>
      <c r="N2152" s="5" t="s">
        <v>71</v>
      </c>
      <c r="O2152" s="5" t="s">
        <v>266</v>
      </c>
      <c r="Q2152" s="5" t="s">
        <v>553</v>
      </c>
    </row>
    <row r="2153" spans="1:17" x14ac:dyDescent="0.2">
      <c r="A2153" s="5"/>
      <c r="B2153" s="8" t="s">
        <v>5670</v>
      </c>
      <c r="C2153" s="8" t="s">
        <v>5600</v>
      </c>
      <c r="D2153" s="8" t="s">
        <v>542</v>
      </c>
      <c r="E2153" s="24">
        <v>43687</v>
      </c>
      <c r="F2153" s="8" t="s">
        <v>259</v>
      </c>
      <c r="G2153" s="8" t="s">
        <v>276</v>
      </c>
      <c r="H2153" s="8" t="s">
        <v>5601</v>
      </c>
      <c r="I2153" s="8" t="s">
        <v>5682</v>
      </c>
      <c r="J2153" s="5">
        <v>6</v>
      </c>
      <c r="K2153" s="5" t="s">
        <v>21</v>
      </c>
      <c r="L2153" s="5" t="s">
        <v>4781</v>
      </c>
      <c r="M2153" s="5">
        <v>84</v>
      </c>
      <c r="N2153" s="5" t="s">
        <v>71</v>
      </c>
    </row>
    <row r="2154" spans="1:17" x14ac:dyDescent="0.2">
      <c r="A2154" s="5">
        <v>272</v>
      </c>
      <c r="B2154" s="8" t="s">
        <v>5683</v>
      </c>
      <c r="H2154" s="8" t="s">
        <v>5667</v>
      </c>
      <c r="I2154" s="8" t="s">
        <v>5667</v>
      </c>
      <c r="J2154" s="5">
        <f>23+23+1+2-3-1+4-5-1-10-4-1-2-1-8+1-2-8-8</f>
        <v>0</v>
      </c>
      <c r="K2154" s="5" t="s">
        <v>292</v>
      </c>
      <c r="L2154" s="5" t="s">
        <v>4781</v>
      </c>
      <c r="M2154" s="5">
        <v>84</v>
      </c>
      <c r="N2154" s="5" t="s">
        <v>654</v>
      </c>
      <c r="O2154" s="5" t="s">
        <v>266</v>
      </c>
      <c r="Q2154" s="5" t="s">
        <v>5669</v>
      </c>
    </row>
    <row r="2155" spans="1:17" x14ac:dyDescent="0.2">
      <c r="A2155" s="5"/>
      <c r="B2155" s="8" t="s">
        <v>5684</v>
      </c>
      <c r="H2155" s="8" t="s">
        <v>5685</v>
      </c>
      <c r="I2155" s="8" t="s">
        <v>5685</v>
      </c>
      <c r="J2155" s="5">
        <f>7-1-1-1-1-1-2</f>
        <v>0</v>
      </c>
      <c r="K2155" s="5" t="s">
        <v>292</v>
      </c>
      <c r="L2155" s="5" t="s">
        <v>4781</v>
      </c>
      <c r="M2155" s="5">
        <v>84</v>
      </c>
      <c r="N2155" s="5" t="s">
        <v>654</v>
      </c>
      <c r="O2155" s="5" t="s">
        <v>266</v>
      </c>
      <c r="Q2155" s="5" t="s">
        <v>5686</v>
      </c>
    </row>
    <row r="2156" spans="1:17" x14ac:dyDescent="0.2">
      <c r="A2156" s="5"/>
      <c r="B2156" s="8" t="s">
        <v>5687</v>
      </c>
      <c r="H2156" s="8" t="s">
        <v>5685</v>
      </c>
      <c r="I2156" s="8" t="s">
        <v>5685</v>
      </c>
      <c r="J2156" s="5">
        <f>10-4-1-2+1+2</f>
        <v>6</v>
      </c>
      <c r="K2156" s="5" t="s">
        <v>292</v>
      </c>
      <c r="L2156" s="5" t="s">
        <v>4781</v>
      </c>
      <c r="M2156" s="5">
        <v>84</v>
      </c>
      <c r="N2156" s="5" t="s">
        <v>654</v>
      </c>
      <c r="O2156" s="5" t="s">
        <v>266</v>
      </c>
      <c r="Q2156" s="5" t="s">
        <v>5688</v>
      </c>
    </row>
    <row r="2157" spans="1:17" x14ac:dyDescent="0.2">
      <c r="A2157" s="5"/>
      <c r="B2157" s="8" t="s">
        <v>5689</v>
      </c>
      <c r="H2157" s="8" t="s">
        <v>5690</v>
      </c>
      <c r="I2157" s="8" t="s">
        <v>5690</v>
      </c>
      <c r="J2157" s="5">
        <f>2-1+8</f>
        <v>9</v>
      </c>
      <c r="K2157" s="5" t="s">
        <v>292</v>
      </c>
      <c r="L2157" s="5" t="s">
        <v>4781</v>
      </c>
      <c r="M2157" s="5">
        <v>84</v>
      </c>
      <c r="N2157" s="5" t="s">
        <v>654</v>
      </c>
      <c r="O2157" s="5" t="s">
        <v>266</v>
      </c>
      <c r="Q2157" s="5" t="s">
        <v>5686</v>
      </c>
    </row>
    <row r="2158" spans="1:17" x14ac:dyDescent="0.2">
      <c r="A2158" s="5"/>
      <c r="B2158" s="8" t="s">
        <v>5691</v>
      </c>
      <c r="H2158" s="8" t="s">
        <v>5685</v>
      </c>
      <c r="I2158" s="8" t="s">
        <v>5685</v>
      </c>
      <c r="J2158" s="5">
        <f>5-2+10-8-1-2-2+10</f>
        <v>10</v>
      </c>
      <c r="K2158" s="5" t="s">
        <v>292</v>
      </c>
      <c r="L2158" s="5" t="s">
        <v>4781</v>
      </c>
      <c r="M2158" s="5">
        <v>84</v>
      </c>
      <c r="N2158" s="5" t="s">
        <v>654</v>
      </c>
      <c r="O2158" s="5" t="s">
        <v>266</v>
      </c>
      <c r="Q2158" s="5" t="s">
        <v>5688</v>
      </c>
    </row>
    <row r="2159" spans="1:17" x14ac:dyDescent="0.2">
      <c r="A2159" s="5"/>
      <c r="B2159" s="8" t="s">
        <v>5692</v>
      </c>
      <c r="H2159" s="8" t="s">
        <v>5685</v>
      </c>
      <c r="I2159" s="8" t="s">
        <v>5685</v>
      </c>
      <c r="J2159" s="5">
        <f>3-2-1</f>
        <v>0</v>
      </c>
      <c r="K2159" s="5" t="s">
        <v>292</v>
      </c>
      <c r="L2159" s="5" t="s">
        <v>4781</v>
      </c>
      <c r="M2159" s="5">
        <v>84</v>
      </c>
      <c r="N2159" s="5" t="s">
        <v>654</v>
      </c>
      <c r="O2159" s="5" t="s">
        <v>266</v>
      </c>
      <c r="Q2159" s="5" t="s">
        <v>5688</v>
      </c>
    </row>
    <row r="2160" spans="1:17" x14ac:dyDescent="0.2">
      <c r="A2160" s="5">
        <v>106</v>
      </c>
      <c r="B2160" s="8" t="s">
        <v>5693</v>
      </c>
      <c r="C2160" s="8" t="s">
        <v>5694</v>
      </c>
      <c r="D2160" s="8" t="s">
        <v>542</v>
      </c>
      <c r="E2160" s="24">
        <v>43687</v>
      </c>
      <c r="F2160" s="8" t="s">
        <v>259</v>
      </c>
      <c r="G2160" s="8" t="s">
        <v>276</v>
      </c>
      <c r="H2160" s="8" t="s">
        <v>5695</v>
      </c>
      <c r="I2160" s="8" t="s">
        <v>5696</v>
      </c>
      <c r="J2160" s="5">
        <v>1</v>
      </c>
      <c r="K2160" s="5" t="s">
        <v>21</v>
      </c>
      <c r="L2160" s="5" t="s">
        <v>4781</v>
      </c>
      <c r="M2160" s="5">
        <v>85</v>
      </c>
      <c r="N2160" s="5" t="s">
        <v>71</v>
      </c>
      <c r="O2160" s="5" t="s">
        <v>266</v>
      </c>
      <c r="Q2160" s="5" t="s">
        <v>553</v>
      </c>
    </row>
    <row r="2161" spans="1:21" x14ac:dyDescent="0.2">
      <c r="A2161" s="5">
        <v>107</v>
      </c>
      <c r="B2161" s="8" t="s">
        <v>5697</v>
      </c>
      <c r="C2161" s="8" t="s">
        <v>5679</v>
      </c>
      <c r="D2161" s="8" t="s">
        <v>542</v>
      </c>
      <c r="E2161" s="24">
        <v>43687</v>
      </c>
      <c r="F2161" s="8" t="s">
        <v>259</v>
      </c>
      <c r="G2161" s="8" t="s">
        <v>276</v>
      </c>
      <c r="H2161" s="8" t="s">
        <v>5680</v>
      </c>
      <c r="I2161" s="8" t="s">
        <v>5698</v>
      </c>
      <c r="J2161" s="5">
        <v>20</v>
      </c>
      <c r="K2161" s="5" t="s">
        <v>21</v>
      </c>
      <c r="L2161" s="5" t="s">
        <v>4781</v>
      </c>
      <c r="M2161" s="5">
        <v>85</v>
      </c>
      <c r="N2161" s="5" t="s">
        <v>71</v>
      </c>
      <c r="O2161" s="5" t="s">
        <v>266</v>
      </c>
      <c r="Q2161" s="5" t="s">
        <v>553</v>
      </c>
      <c r="U2161" t="s">
        <v>321</v>
      </c>
    </row>
    <row r="2162" spans="1:21" x14ac:dyDescent="0.2">
      <c r="A2162" s="5">
        <v>109</v>
      </c>
      <c r="B2162" s="8" t="s">
        <v>5678</v>
      </c>
      <c r="C2162" s="8" t="s">
        <v>5679</v>
      </c>
      <c r="D2162" s="8" t="s">
        <v>542</v>
      </c>
      <c r="E2162" s="24">
        <v>43687</v>
      </c>
      <c r="F2162" s="8" t="s">
        <v>259</v>
      </c>
      <c r="G2162" s="8" t="s">
        <v>276</v>
      </c>
      <c r="H2162" s="8" t="s">
        <v>5680</v>
      </c>
      <c r="I2162" s="8" t="s">
        <v>5681</v>
      </c>
      <c r="J2162" s="5">
        <v>0</v>
      </c>
      <c r="K2162" s="5" t="s">
        <v>21</v>
      </c>
      <c r="L2162" s="5" t="s">
        <v>4781</v>
      </c>
      <c r="M2162" s="5">
        <v>85</v>
      </c>
      <c r="N2162" s="5" t="s">
        <v>71</v>
      </c>
      <c r="O2162" s="5" t="s">
        <v>266</v>
      </c>
      <c r="Q2162" s="5" t="s">
        <v>553</v>
      </c>
    </row>
    <row r="2163" spans="1:21" x14ac:dyDescent="0.2">
      <c r="A2163" s="5">
        <v>110</v>
      </c>
      <c r="B2163" s="8" t="s">
        <v>5699</v>
      </c>
      <c r="H2163" s="8" t="s">
        <v>5700</v>
      </c>
      <c r="I2163" s="8" t="s">
        <v>5700</v>
      </c>
      <c r="J2163" s="5">
        <v>0</v>
      </c>
      <c r="K2163" s="5" t="s">
        <v>21</v>
      </c>
      <c r="L2163" s="5" t="s">
        <v>4781</v>
      </c>
      <c r="M2163" s="5">
        <v>86</v>
      </c>
      <c r="N2163" s="5" t="s">
        <v>654</v>
      </c>
      <c r="O2163" s="5" t="s">
        <v>266</v>
      </c>
      <c r="Q2163" s="5" t="s">
        <v>553</v>
      </c>
    </row>
    <row r="2164" spans="1:21" x14ac:dyDescent="0.2">
      <c r="A2164" s="5">
        <v>91</v>
      </c>
      <c r="B2164" s="8" t="s">
        <v>5701</v>
      </c>
      <c r="H2164" s="8" t="s">
        <v>5702</v>
      </c>
      <c r="I2164" s="8" t="s">
        <v>5702</v>
      </c>
      <c r="J2164" s="5">
        <v>32</v>
      </c>
      <c r="K2164" s="5" t="s">
        <v>21</v>
      </c>
      <c r="L2164" s="5" t="s">
        <v>4781</v>
      </c>
      <c r="M2164" s="5">
        <v>87</v>
      </c>
      <c r="N2164" s="5" t="s">
        <v>71</v>
      </c>
      <c r="O2164" s="5" t="s">
        <v>266</v>
      </c>
      <c r="Q2164" s="5" t="s">
        <v>553</v>
      </c>
      <c r="S2164" s="5" t="s">
        <v>1139</v>
      </c>
    </row>
    <row r="2165" spans="1:21" x14ac:dyDescent="0.2">
      <c r="A2165" s="5">
        <v>92</v>
      </c>
      <c r="B2165" s="8" t="s">
        <v>5703</v>
      </c>
      <c r="H2165" s="8" t="s">
        <v>5702</v>
      </c>
      <c r="I2165" s="8" t="s">
        <v>5702</v>
      </c>
      <c r="J2165" s="5">
        <v>3</v>
      </c>
      <c r="K2165" s="5" t="s">
        <v>21</v>
      </c>
      <c r="L2165" s="5" t="s">
        <v>4781</v>
      </c>
      <c r="M2165" s="5">
        <v>87</v>
      </c>
      <c r="N2165" s="5" t="s">
        <v>71</v>
      </c>
      <c r="O2165" s="5" t="s">
        <v>266</v>
      </c>
      <c r="S2165" s="5" t="s">
        <v>1139</v>
      </c>
      <c r="U2165" t="s">
        <v>321</v>
      </c>
    </row>
    <row r="2166" spans="1:21" x14ac:dyDescent="0.2">
      <c r="A2166" s="5">
        <v>93</v>
      </c>
      <c r="B2166" s="8" t="s">
        <v>5704</v>
      </c>
      <c r="H2166" s="8" t="s">
        <v>5705</v>
      </c>
      <c r="I2166" s="8" t="s">
        <v>5705</v>
      </c>
      <c r="J2166" s="5">
        <v>1</v>
      </c>
      <c r="K2166" s="5" t="s">
        <v>21</v>
      </c>
      <c r="L2166" s="5" t="s">
        <v>4781</v>
      </c>
      <c r="M2166" s="5">
        <v>87</v>
      </c>
      <c r="N2166" s="5" t="s">
        <v>71</v>
      </c>
      <c r="O2166" s="5" t="s">
        <v>266</v>
      </c>
      <c r="S2166" s="5" t="s">
        <v>1139</v>
      </c>
    </row>
    <row r="2167" spans="1:21" x14ac:dyDescent="0.2">
      <c r="A2167" s="5">
        <v>94</v>
      </c>
      <c r="B2167" s="8" t="s">
        <v>5706</v>
      </c>
      <c r="H2167" s="8" t="s">
        <v>5702</v>
      </c>
      <c r="I2167" s="8" t="s">
        <v>5702</v>
      </c>
      <c r="J2167" s="5">
        <v>1</v>
      </c>
      <c r="K2167" s="5" t="s">
        <v>21</v>
      </c>
      <c r="L2167" s="5" t="s">
        <v>4781</v>
      </c>
      <c r="M2167" s="5">
        <v>87</v>
      </c>
      <c r="N2167" s="5" t="s">
        <v>71</v>
      </c>
      <c r="O2167" s="5" t="s">
        <v>266</v>
      </c>
    </row>
    <row r="2168" spans="1:21" x14ac:dyDescent="0.2">
      <c r="A2168" s="5">
        <v>95</v>
      </c>
      <c r="B2168" s="8" t="s">
        <v>5707</v>
      </c>
      <c r="H2168" s="8" t="s">
        <v>5708</v>
      </c>
      <c r="I2168" s="8" t="s">
        <v>5708</v>
      </c>
      <c r="J2168" s="5">
        <v>0</v>
      </c>
      <c r="K2168" s="5" t="s">
        <v>21</v>
      </c>
      <c r="L2168" s="5" t="s">
        <v>4781</v>
      </c>
      <c r="M2168" s="5">
        <v>87</v>
      </c>
      <c r="N2168" s="5" t="s">
        <v>71</v>
      </c>
      <c r="O2168" s="5" t="s">
        <v>266</v>
      </c>
      <c r="Q2168" s="5" t="s">
        <v>553</v>
      </c>
    </row>
    <row r="2169" spans="1:21" x14ac:dyDescent="0.2">
      <c r="A2169" s="5">
        <v>96</v>
      </c>
      <c r="B2169" s="8" t="s">
        <v>5709</v>
      </c>
      <c r="H2169" s="8" t="s">
        <v>5702</v>
      </c>
      <c r="I2169" s="8" t="s">
        <v>5702</v>
      </c>
      <c r="J2169" s="5">
        <v>1</v>
      </c>
      <c r="K2169" s="5" t="s">
        <v>21</v>
      </c>
      <c r="L2169" s="5" t="s">
        <v>4781</v>
      </c>
      <c r="M2169" s="5">
        <v>87</v>
      </c>
      <c r="N2169" s="5" t="s">
        <v>71</v>
      </c>
      <c r="O2169" s="5" t="s">
        <v>266</v>
      </c>
      <c r="Q2169" s="5" t="s">
        <v>553</v>
      </c>
    </row>
    <row r="2170" spans="1:21" x14ac:dyDescent="0.2">
      <c r="A2170" s="5">
        <v>97</v>
      </c>
      <c r="B2170" s="8" t="s">
        <v>5710</v>
      </c>
      <c r="H2170" s="8" t="s">
        <v>5711</v>
      </c>
      <c r="I2170" s="8" t="s">
        <v>5711</v>
      </c>
      <c r="J2170" s="5">
        <v>2</v>
      </c>
      <c r="K2170" s="5" t="s">
        <v>21</v>
      </c>
      <c r="L2170" s="5" t="s">
        <v>4781</v>
      </c>
      <c r="M2170" s="5">
        <v>87</v>
      </c>
      <c r="N2170" s="5" t="s">
        <v>71</v>
      </c>
      <c r="O2170" s="5" t="s">
        <v>266</v>
      </c>
      <c r="Q2170" s="5" t="s">
        <v>553</v>
      </c>
      <c r="S2170" s="5" t="s">
        <v>1139</v>
      </c>
    </row>
    <row r="2171" spans="1:21" x14ac:dyDescent="0.2">
      <c r="A2171" s="5">
        <v>98</v>
      </c>
      <c r="B2171" s="8" t="s">
        <v>5712</v>
      </c>
      <c r="H2171" s="8" t="s">
        <v>5713</v>
      </c>
      <c r="I2171" s="8" t="s">
        <v>5713</v>
      </c>
      <c r="J2171" s="5">
        <v>0</v>
      </c>
      <c r="K2171" s="5" t="s">
        <v>21</v>
      </c>
      <c r="L2171" s="5" t="s">
        <v>4781</v>
      </c>
      <c r="M2171" s="5">
        <v>87</v>
      </c>
      <c r="N2171" s="5" t="s">
        <v>71</v>
      </c>
      <c r="O2171" s="5" t="s">
        <v>266</v>
      </c>
    </row>
    <row r="2172" spans="1:21" x14ac:dyDescent="0.2">
      <c r="A2172" s="5">
        <v>99</v>
      </c>
      <c r="B2172" s="8" t="s">
        <v>5714</v>
      </c>
      <c r="H2172" s="8" t="s">
        <v>5702</v>
      </c>
      <c r="I2172" s="8" t="s">
        <v>5702</v>
      </c>
      <c r="J2172" s="5">
        <v>1</v>
      </c>
      <c r="K2172" s="5" t="s">
        <v>21</v>
      </c>
      <c r="L2172" s="5" t="s">
        <v>4781</v>
      </c>
      <c r="M2172" s="5">
        <v>87</v>
      </c>
      <c r="N2172" s="5" t="s">
        <v>71</v>
      </c>
      <c r="O2172" s="5" t="s">
        <v>266</v>
      </c>
      <c r="Q2172" s="5" t="s">
        <v>553</v>
      </c>
      <c r="U2172" t="s">
        <v>321</v>
      </c>
    </row>
    <row r="2173" spans="1:21" x14ac:dyDescent="0.2">
      <c r="A2173" s="5">
        <v>102</v>
      </c>
      <c r="B2173" s="8" t="s">
        <v>5715</v>
      </c>
      <c r="H2173" s="8" t="s">
        <v>5716</v>
      </c>
      <c r="I2173" s="8" t="s">
        <v>5716</v>
      </c>
      <c r="J2173" s="5">
        <v>2</v>
      </c>
      <c r="K2173" s="5" t="s">
        <v>21</v>
      </c>
      <c r="L2173" s="5" t="s">
        <v>4781</v>
      </c>
      <c r="M2173" s="5">
        <v>88</v>
      </c>
      <c r="N2173" s="5" t="s">
        <v>71</v>
      </c>
      <c r="O2173" s="5" t="s">
        <v>266</v>
      </c>
      <c r="Q2173" s="5" t="s">
        <v>553</v>
      </c>
    </row>
    <row r="2174" spans="1:21" x14ac:dyDescent="0.2">
      <c r="A2174" s="5"/>
      <c r="B2174" s="8" t="s">
        <v>5717</v>
      </c>
      <c r="H2174" s="8" t="s">
        <v>5718</v>
      </c>
      <c r="I2174" s="8" t="s">
        <v>5719</v>
      </c>
      <c r="J2174" s="5">
        <f>2-2</f>
        <v>0</v>
      </c>
      <c r="K2174" s="5" t="s">
        <v>21</v>
      </c>
      <c r="L2174" s="5" t="s">
        <v>4781</v>
      </c>
      <c r="M2174" s="5">
        <v>88</v>
      </c>
      <c r="N2174" s="5" t="s">
        <v>71</v>
      </c>
      <c r="O2174" s="5" t="s">
        <v>266</v>
      </c>
    </row>
    <row r="2175" spans="1:21" x14ac:dyDescent="0.2">
      <c r="A2175" s="5"/>
      <c r="B2175" s="8" t="s">
        <v>5720</v>
      </c>
      <c r="H2175" s="8" t="s">
        <v>5721</v>
      </c>
      <c r="I2175" s="8" t="s">
        <v>2839</v>
      </c>
      <c r="J2175" s="5">
        <f>4</f>
        <v>4</v>
      </c>
      <c r="K2175" s="5" t="s">
        <v>21</v>
      </c>
      <c r="L2175" s="5" t="s">
        <v>4781</v>
      </c>
      <c r="M2175" s="5">
        <v>88</v>
      </c>
    </row>
    <row r="2176" spans="1:21" x14ac:dyDescent="0.2">
      <c r="A2176" s="5">
        <v>103</v>
      </c>
      <c r="B2176" s="8" t="s">
        <v>5722</v>
      </c>
      <c r="H2176" s="8" t="s">
        <v>5716</v>
      </c>
      <c r="I2176" s="8" t="s">
        <v>5716</v>
      </c>
      <c r="J2176" s="5">
        <v>2</v>
      </c>
      <c r="K2176" s="5" t="s">
        <v>21</v>
      </c>
      <c r="L2176" s="5" t="s">
        <v>4781</v>
      </c>
      <c r="M2176" s="5">
        <v>88</v>
      </c>
      <c r="N2176" s="5" t="s">
        <v>71</v>
      </c>
      <c r="O2176" s="5" t="s">
        <v>266</v>
      </c>
      <c r="Q2176" s="33" t="s">
        <v>553</v>
      </c>
    </row>
    <row r="2177" spans="1:21" x14ac:dyDescent="0.2">
      <c r="A2177" s="5">
        <v>104</v>
      </c>
      <c r="B2177" s="8" t="s">
        <v>5723</v>
      </c>
      <c r="H2177" s="8" t="s">
        <v>5724</v>
      </c>
      <c r="I2177" s="8" t="s">
        <v>5724</v>
      </c>
      <c r="J2177" s="5">
        <v>3</v>
      </c>
      <c r="K2177" s="5" t="s">
        <v>21</v>
      </c>
      <c r="L2177" s="5" t="s">
        <v>4781</v>
      </c>
      <c r="M2177" s="5">
        <v>88</v>
      </c>
      <c r="N2177" s="5" t="s">
        <v>71</v>
      </c>
      <c r="O2177" s="5" t="s">
        <v>266</v>
      </c>
      <c r="Q2177" s="5" t="s">
        <v>553</v>
      </c>
    </row>
    <row r="2178" spans="1:21" x14ac:dyDescent="0.2">
      <c r="A2178" s="5">
        <v>105</v>
      </c>
      <c r="B2178" s="8" t="s">
        <v>5725</v>
      </c>
      <c r="H2178" s="8" t="s">
        <v>5726</v>
      </c>
      <c r="I2178" s="8" t="s">
        <v>5726</v>
      </c>
      <c r="J2178" s="5">
        <v>1</v>
      </c>
      <c r="K2178" s="5" t="s">
        <v>21</v>
      </c>
      <c r="L2178" s="5" t="s">
        <v>4781</v>
      </c>
      <c r="M2178" s="5">
        <v>88</v>
      </c>
      <c r="N2178" s="5" t="s">
        <v>71</v>
      </c>
      <c r="O2178" s="5" t="s">
        <v>266</v>
      </c>
      <c r="Q2178" s="5" t="s">
        <v>553</v>
      </c>
    </row>
    <row r="2179" spans="1:21" x14ac:dyDescent="0.2">
      <c r="A2179" s="5">
        <v>79</v>
      </c>
      <c r="B2179" s="8" t="s">
        <v>5727</v>
      </c>
      <c r="H2179" s="8" t="s">
        <v>5728</v>
      </c>
      <c r="I2179" s="8" t="s">
        <v>5728</v>
      </c>
      <c r="J2179" s="5">
        <v>2</v>
      </c>
      <c r="K2179" s="5" t="s">
        <v>21</v>
      </c>
      <c r="L2179" s="5" t="s">
        <v>4781</v>
      </c>
      <c r="M2179" s="5">
        <v>89</v>
      </c>
      <c r="N2179" s="5" t="s">
        <v>71</v>
      </c>
      <c r="O2179" s="5" t="s">
        <v>266</v>
      </c>
      <c r="Q2179" s="33" t="s">
        <v>553</v>
      </c>
    </row>
    <row r="2180" spans="1:21" x14ac:dyDescent="0.2">
      <c r="A2180" s="5">
        <v>80</v>
      </c>
      <c r="B2180" s="8" t="s">
        <v>5729</v>
      </c>
      <c r="H2180" s="8" t="s">
        <v>5730</v>
      </c>
      <c r="I2180" s="8" t="s">
        <v>5730</v>
      </c>
      <c r="J2180" s="5">
        <v>7</v>
      </c>
      <c r="K2180" s="5" t="s">
        <v>21</v>
      </c>
      <c r="L2180" s="5" t="s">
        <v>4781</v>
      </c>
      <c r="M2180" s="5">
        <v>89</v>
      </c>
      <c r="N2180" s="5" t="s">
        <v>71</v>
      </c>
      <c r="O2180" s="5" t="s">
        <v>266</v>
      </c>
      <c r="Q2180" s="5" t="s">
        <v>553</v>
      </c>
    </row>
    <row r="2181" spans="1:21" x14ac:dyDescent="0.2">
      <c r="A2181" s="5">
        <v>81</v>
      </c>
      <c r="B2181" s="8" t="s">
        <v>5731</v>
      </c>
      <c r="H2181" s="8" t="s">
        <v>5732</v>
      </c>
      <c r="I2181" s="8" t="s">
        <v>5732</v>
      </c>
      <c r="J2181" s="5">
        <f>45+9</f>
        <v>54</v>
      </c>
      <c r="K2181" s="5" t="s">
        <v>21</v>
      </c>
      <c r="L2181" s="5" t="s">
        <v>4781</v>
      </c>
      <c r="M2181" s="5">
        <v>90</v>
      </c>
      <c r="N2181" s="5" t="s">
        <v>71</v>
      </c>
      <c r="O2181" s="5" t="s">
        <v>266</v>
      </c>
      <c r="Q2181" s="5" t="s">
        <v>5733</v>
      </c>
      <c r="S2181" s="5" t="s">
        <v>1139</v>
      </c>
    </row>
    <row r="2182" spans="1:21" x14ac:dyDescent="0.2">
      <c r="A2182" s="5">
        <v>82</v>
      </c>
      <c r="B2182" s="8" t="s">
        <v>5734</v>
      </c>
      <c r="H2182" s="8" t="s">
        <v>5735</v>
      </c>
      <c r="I2182" s="8" t="s">
        <v>5735</v>
      </c>
      <c r="J2182" s="5">
        <f>6-1</f>
        <v>5</v>
      </c>
      <c r="K2182" s="5" t="s">
        <v>21</v>
      </c>
      <c r="L2182" s="5" t="s">
        <v>4781</v>
      </c>
      <c r="M2182" s="5">
        <v>90</v>
      </c>
      <c r="N2182" s="5" t="s">
        <v>71</v>
      </c>
      <c r="O2182" s="5" t="s">
        <v>266</v>
      </c>
    </row>
    <row r="2183" spans="1:21" x14ac:dyDescent="0.2">
      <c r="A2183" s="5">
        <v>83</v>
      </c>
      <c r="B2183" s="8" t="s">
        <v>5736</v>
      </c>
      <c r="H2183" s="8" t="s">
        <v>5737</v>
      </c>
      <c r="I2183" s="8" t="s">
        <v>5737</v>
      </c>
      <c r="J2183" s="5">
        <f>10-1-1-1</f>
        <v>7</v>
      </c>
      <c r="K2183" s="5" t="s">
        <v>21</v>
      </c>
      <c r="L2183" s="5" t="s">
        <v>4781</v>
      </c>
      <c r="M2183" s="5">
        <v>90</v>
      </c>
      <c r="N2183" s="5" t="s">
        <v>71</v>
      </c>
      <c r="O2183" s="5" t="s">
        <v>266</v>
      </c>
      <c r="Q2183" s="5" t="s">
        <v>5738</v>
      </c>
    </row>
    <row r="2184" spans="1:21" x14ac:dyDescent="0.2">
      <c r="A2184" s="5">
        <v>84</v>
      </c>
      <c r="B2184" s="8" t="s">
        <v>5739</v>
      </c>
      <c r="H2184" s="8" t="s">
        <v>5740</v>
      </c>
      <c r="I2184" s="8" t="s">
        <v>5740</v>
      </c>
      <c r="J2184" s="5">
        <f>9-1-1-1</f>
        <v>6</v>
      </c>
      <c r="K2184" s="5" t="s">
        <v>21</v>
      </c>
      <c r="L2184" s="5" t="s">
        <v>4781</v>
      </c>
      <c r="M2184" s="5">
        <v>90</v>
      </c>
      <c r="N2184" s="5" t="s">
        <v>71</v>
      </c>
      <c r="O2184" s="5" t="s">
        <v>266</v>
      </c>
      <c r="Q2184" s="5" t="s">
        <v>5738</v>
      </c>
    </row>
    <row r="2185" spans="1:21" x14ac:dyDescent="0.2">
      <c r="A2185" s="5">
        <v>85</v>
      </c>
      <c r="B2185" s="8" t="s">
        <v>5741</v>
      </c>
      <c r="H2185" s="8" t="s">
        <v>5742</v>
      </c>
      <c r="I2185" s="8" t="s">
        <v>5742</v>
      </c>
      <c r="J2185" s="5">
        <f>9-1-1-1</f>
        <v>6</v>
      </c>
      <c r="K2185" s="5" t="s">
        <v>21</v>
      </c>
      <c r="L2185" s="5" t="s">
        <v>4781</v>
      </c>
      <c r="M2185" s="5">
        <v>90</v>
      </c>
      <c r="N2185" s="5" t="s">
        <v>71</v>
      </c>
      <c r="O2185" s="5" t="s">
        <v>266</v>
      </c>
      <c r="Q2185" s="5" t="s">
        <v>5738</v>
      </c>
      <c r="S2185" s="5" t="s">
        <v>1139</v>
      </c>
    </row>
    <row r="2186" spans="1:21" x14ac:dyDescent="0.2">
      <c r="A2186" s="5">
        <v>87</v>
      </c>
      <c r="B2186" s="8" t="s">
        <v>5743</v>
      </c>
      <c r="H2186" s="8" t="s">
        <v>5744</v>
      </c>
      <c r="I2186" s="8" t="s">
        <v>5744</v>
      </c>
      <c r="J2186" s="5">
        <v>6</v>
      </c>
      <c r="K2186" s="5" t="s">
        <v>21</v>
      </c>
      <c r="L2186" s="5" t="s">
        <v>4781</v>
      </c>
      <c r="M2186" s="5">
        <v>90</v>
      </c>
      <c r="N2186" s="5" t="s">
        <v>71</v>
      </c>
      <c r="O2186" s="5" t="s">
        <v>266</v>
      </c>
      <c r="S2186" s="5" t="s">
        <v>1139</v>
      </c>
    </row>
    <row r="2187" spans="1:21" x14ac:dyDescent="0.2">
      <c r="A2187" s="5">
        <v>88</v>
      </c>
      <c r="B2187" s="8" t="s">
        <v>5745</v>
      </c>
      <c r="H2187" s="8" t="s">
        <v>5746</v>
      </c>
      <c r="I2187" s="8" t="s">
        <v>5746</v>
      </c>
      <c r="J2187" s="5">
        <v>7</v>
      </c>
      <c r="K2187" s="5" t="s">
        <v>21</v>
      </c>
      <c r="L2187" s="5" t="s">
        <v>4781</v>
      </c>
      <c r="M2187" s="5">
        <v>90</v>
      </c>
      <c r="N2187" s="5" t="s">
        <v>71</v>
      </c>
      <c r="O2187" s="5" t="s">
        <v>266</v>
      </c>
      <c r="Q2187" s="33"/>
      <c r="S2187" s="5" t="s">
        <v>1139</v>
      </c>
    </row>
    <row r="2188" spans="1:21" x14ac:dyDescent="0.2">
      <c r="A2188" s="5">
        <v>89</v>
      </c>
      <c r="B2188" s="8" t="s">
        <v>5747</v>
      </c>
      <c r="H2188" s="8" t="s">
        <v>5748</v>
      </c>
      <c r="I2188" s="8" t="s">
        <v>5748</v>
      </c>
      <c r="J2188" s="5">
        <v>2</v>
      </c>
      <c r="K2188" s="5" t="s">
        <v>21</v>
      </c>
      <c r="L2188" s="5" t="s">
        <v>4781</v>
      </c>
      <c r="M2188" s="5">
        <v>90</v>
      </c>
      <c r="N2188" s="5" t="s">
        <v>71</v>
      </c>
      <c r="O2188" s="5" t="s">
        <v>266</v>
      </c>
    </row>
    <row r="2189" spans="1:21" x14ac:dyDescent="0.2">
      <c r="A2189" s="5">
        <v>90</v>
      </c>
      <c r="B2189" s="8" t="s">
        <v>5734</v>
      </c>
      <c r="H2189" s="8" t="s">
        <v>5749</v>
      </c>
      <c r="I2189" s="8" t="s">
        <v>5749</v>
      </c>
      <c r="J2189" s="5">
        <v>6</v>
      </c>
      <c r="K2189" s="5" t="s">
        <v>21</v>
      </c>
      <c r="L2189" s="5" t="s">
        <v>4781</v>
      </c>
      <c r="M2189" s="5">
        <v>90</v>
      </c>
      <c r="N2189" s="5" t="s">
        <v>71</v>
      </c>
      <c r="O2189" s="5" t="s">
        <v>266</v>
      </c>
      <c r="Q2189" s="5" t="s">
        <v>5750</v>
      </c>
      <c r="S2189" s="5" t="s">
        <v>1139</v>
      </c>
    </row>
    <row r="2190" spans="1:21" x14ac:dyDescent="0.2">
      <c r="A2190" s="5">
        <v>74</v>
      </c>
      <c r="B2190" s="8" t="s">
        <v>5751</v>
      </c>
      <c r="H2190" s="8" t="s">
        <v>5752</v>
      </c>
      <c r="I2190" s="8" t="s">
        <v>5752</v>
      </c>
      <c r="J2190" s="5">
        <v>9</v>
      </c>
      <c r="K2190" s="5" t="s">
        <v>21</v>
      </c>
      <c r="L2190" s="5" t="s">
        <v>4781</v>
      </c>
      <c r="M2190" s="5">
        <v>91</v>
      </c>
      <c r="N2190" s="5" t="s">
        <v>71</v>
      </c>
      <c r="O2190" s="5" t="s">
        <v>266</v>
      </c>
      <c r="Q2190" s="33"/>
      <c r="S2190" s="5" t="s">
        <v>1139</v>
      </c>
      <c r="U2190" t="s">
        <v>321</v>
      </c>
    </row>
    <row r="2191" spans="1:21" x14ac:dyDescent="0.2">
      <c r="A2191" s="5">
        <v>75</v>
      </c>
      <c r="B2191" s="8" t="s">
        <v>5753</v>
      </c>
      <c r="H2191" s="8" t="s">
        <v>5754</v>
      </c>
      <c r="I2191" s="8" t="s">
        <v>5754</v>
      </c>
      <c r="J2191" s="5">
        <v>29</v>
      </c>
      <c r="K2191" s="5" t="s">
        <v>21</v>
      </c>
      <c r="L2191" s="5" t="s">
        <v>4781</v>
      </c>
      <c r="M2191" s="5">
        <v>91</v>
      </c>
      <c r="N2191" s="5" t="s">
        <v>71</v>
      </c>
      <c r="O2191" s="5" t="s">
        <v>266</v>
      </c>
      <c r="S2191" s="5" t="s">
        <v>1139</v>
      </c>
    </row>
    <row r="2192" spans="1:21" x14ac:dyDescent="0.2">
      <c r="A2192" s="5">
        <v>76</v>
      </c>
      <c r="B2192" s="8" t="s">
        <v>5755</v>
      </c>
      <c r="H2192" s="8" t="s">
        <v>5754</v>
      </c>
      <c r="I2192" s="8" t="s">
        <v>5754</v>
      </c>
      <c r="J2192" s="5">
        <v>10</v>
      </c>
      <c r="K2192" s="5" t="s">
        <v>21</v>
      </c>
      <c r="L2192" s="5" t="s">
        <v>4781</v>
      </c>
      <c r="M2192" s="5">
        <v>91</v>
      </c>
      <c r="N2192" s="5" t="s">
        <v>71</v>
      </c>
      <c r="O2192" s="5" t="s">
        <v>266</v>
      </c>
      <c r="S2192" s="5" t="s">
        <v>1139</v>
      </c>
      <c r="U2192" t="s">
        <v>321</v>
      </c>
    </row>
    <row r="2193" spans="1:21" x14ac:dyDescent="0.2">
      <c r="A2193" s="5">
        <v>77</v>
      </c>
      <c r="B2193" s="8" t="s">
        <v>5756</v>
      </c>
      <c r="H2193" s="8" t="s">
        <v>5757</v>
      </c>
      <c r="I2193" s="8" t="s">
        <v>5757</v>
      </c>
      <c r="J2193" s="5">
        <v>3</v>
      </c>
      <c r="K2193" s="5" t="s">
        <v>21</v>
      </c>
      <c r="L2193" s="5" t="s">
        <v>4781</v>
      </c>
      <c r="M2193" s="5">
        <v>91</v>
      </c>
      <c r="N2193" s="5" t="s">
        <v>71</v>
      </c>
      <c r="O2193" s="5" t="s">
        <v>266</v>
      </c>
      <c r="S2193" s="5" t="s">
        <v>1139</v>
      </c>
      <c r="U2193" t="s">
        <v>321</v>
      </c>
    </row>
    <row r="2194" spans="1:21" x14ac:dyDescent="0.2">
      <c r="A2194" s="5">
        <v>78</v>
      </c>
      <c r="B2194" s="8" t="s">
        <v>5758</v>
      </c>
      <c r="H2194" s="8" t="s">
        <v>5759</v>
      </c>
      <c r="I2194" s="8" t="s">
        <v>5759</v>
      </c>
      <c r="J2194" s="5">
        <v>5</v>
      </c>
      <c r="K2194" s="5" t="s">
        <v>21</v>
      </c>
      <c r="L2194" s="5" t="s">
        <v>4781</v>
      </c>
      <c r="M2194" s="5">
        <v>91</v>
      </c>
      <c r="N2194" s="5" t="s">
        <v>71</v>
      </c>
      <c r="O2194" s="5" t="s">
        <v>266</v>
      </c>
    </row>
    <row r="2195" spans="1:21" x14ac:dyDescent="0.2">
      <c r="A2195" s="5"/>
      <c r="B2195" s="8" t="s">
        <v>5760</v>
      </c>
      <c r="H2195" s="8" t="s">
        <v>5761</v>
      </c>
      <c r="I2195" s="8" t="s">
        <v>5762</v>
      </c>
      <c r="J2195" s="5">
        <f>4-2-1-1</f>
        <v>0</v>
      </c>
      <c r="K2195" s="5" t="s">
        <v>21</v>
      </c>
      <c r="L2195" s="5" t="s">
        <v>4781</v>
      </c>
      <c r="M2195" s="5">
        <v>91</v>
      </c>
      <c r="N2195" s="5" t="s">
        <v>71</v>
      </c>
      <c r="Q2195" s="107" t="s">
        <v>5763</v>
      </c>
    </row>
    <row r="2196" spans="1:21" x14ac:dyDescent="0.2">
      <c r="A2196" s="5"/>
      <c r="B2196" s="8" t="s">
        <v>5764</v>
      </c>
      <c r="I2196" s="8" t="s">
        <v>5765</v>
      </c>
      <c r="J2196" s="5">
        <f>5-1</f>
        <v>4</v>
      </c>
      <c r="K2196" s="5" t="s">
        <v>21</v>
      </c>
      <c r="L2196" s="5" t="s">
        <v>4781</v>
      </c>
      <c r="M2196" s="5">
        <v>91</v>
      </c>
      <c r="Q2196" s="107"/>
    </row>
    <row r="2197" spans="1:21" x14ac:dyDescent="0.2">
      <c r="A2197" s="5">
        <v>72</v>
      </c>
      <c r="B2197" s="8" t="s">
        <v>5766</v>
      </c>
      <c r="H2197" s="8" t="s">
        <v>5767</v>
      </c>
      <c r="I2197" s="8" t="s">
        <v>5767</v>
      </c>
      <c r="J2197" s="5">
        <v>1</v>
      </c>
      <c r="K2197" s="5" t="s">
        <v>21</v>
      </c>
      <c r="L2197" s="5" t="s">
        <v>4781</v>
      </c>
      <c r="M2197" s="5">
        <v>91</v>
      </c>
      <c r="N2197" s="5" t="s">
        <v>71</v>
      </c>
      <c r="O2197" s="5" t="s">
        <v>266</v>
      </c>
      <c r="Q2197" s="5" t="s">
        <v>553</v>
      </c>
    </row>
    <row r="2198" spans="1:21" x14ac:dyDescent="0.2">
      <c r="A2198" s="5">
        <v>73</v>
      </c>
      <c r="B2198" s="8" t="s">
        <v>5768</v>
      </c>
      <c r="H2198" s="8" t="s">
        <v>5769</v>
      </c>
      <c r="I2198" s="8" t="s">
        <v>5769</v>
      </c>
      <c r="J2198" s="5">
        <v>3</v>
      </c>
      <c r="K2198" s="5" t="s">
        <v>21</v>
      </c>
      <c r="L2198" s="5" t="s">
        <v>4781</v>
      </c>
      <c r="M2198" s="5">
        <v>92</v>
      </c>
      <c r="N2198" s="5" t="s">
        <v>71</v>
      </c>
      <c r="O2198" s="5" t="s">
        <v>266</v>
      </c>
      <c r="Q2198" s="5" t="s">
        <v>553</v>
      </c>
    </row>
    <row r="2199" spans="1:21" x14ac:dyDescent="0.2">
      <c r="A2199" s="5">
        <v>113</v>
      </c>
      <c r="B2199" s="8" t="s">
        <v>5770</v>
      </c>
      <c r="H2199" s="8" t="s">
        <v>654</v>
      </c>
      <c r="I2199" s="8" t="s">
        <v>654</v>
      </c>
      <c r="J2199" s="5">
        <v>35</v>
      </c>
      <c r="K2199" s="5" t="s">
        <v>21</v>
      </c>
      <c r="L2199" s="5" t="s">
        <v>4781</v>
      </c>
      <c r="M2199" s="5">
        <v>93</v>
      </c>
      <c r="N2199" s="5" t="s">
        <v>71</v>
      </c>
      <c r="O2199" s="5" t="s">
        <v>266</v>
      </c>
      <c r="Q2199" s="5" t="s">
        <v>553</v>
      </c>
    </row>
    <row r="2200" spans="1:21" x14ac:dyDescent="0.2">
      <c r="A2200" s="5">
        <v>114</v>
      </c>
      <c r="B2200" s="8" t="s">
        <v>5771</v>
      </c>
      <c r="H2200" s="8" t="s">
        <v>5616</v>
      </c>
      <c r="I2200" s="8" t="s">
        <v>5616</v>
      </c>
      <c r="J2200" s="5">
        <v>43</v>
      </c>
      <c r="K2200" s="5" t="s">
        <v>21</v>
      </c>
      <c r="L2200" s="5" t="s">
        <v>4781</v>
      </c>
      <c r="M2200" s="5">
        <v>93</v>
      </c>
      <c r="N2200" s="5" t="s">
        <v>5612</v>
      </c>
      <c r="O2200" s="5" t="s">
        <v>266</v>
      </c>
      <c r="Q2200" s="5" t="s">
        <v>553</v>
      </c>
      <c r="S2200" s="5" t="s">
        <v>1139</v>
      </c>
    </row>
    <row r="2201" spans="1:21" x14ac:dyDescent="0.2">
      <c r="A2201" s="5">
        <v>115</v>
      </c>
      <c r="B2201" s="8" t="s">
        <v>5772</v>
      </c>
      <c r="H2201" s="8" t="s">
        <v>5773</v>
      </c>
      <c r="I2201" s="8" t="s">
        <v>5773</v>
      </c>
      <c r="J2201" s="5">
        <v>2</v>
      </c>
      <c r="K2201" s="5" t="s">
        <v>21</v>
      </c>
      <c r="L2201" s="5" t="s">
        <v>4781</v>
      </c>
      <c r="M2201" s="5">
        <v>93</v>
      </c>
      <c r="N2201" s="5" t="s">
        <v>654</v>
      </c>
      <c r="O2201" s="5" t="s">
        <v>266</v>
      </c>
      <c r="S2201" s="5" t="s">
        <v>1139</v>
      </c>
      <c r="U2201" t="s">
        <v>321</v>
      </c>
    </row>
    <row r="2202" spans="1:21" x14ac:dyDescent="0.2">
      <c r="A2202" s="5">
        <v>116</v>
      </c>
      <c r="B2202" s="8" t="s">
        <v>5772</v>
      </c>
      <c r="H2202" s="8" t="s">
        <v>5611</v>
      </c>
      <c r="I2202" s="8" t="s">
        <v>5611</v>
      </c>
      <c r="J2202" s="5">
        <v>70</v>
      </c>
      <c r="K2202" s="5" t="s">
        <v>21</v>
      </c>
      <c r="L2202" s="5" t="s">
        <v>4781</v>
      </c>
      <c r="M2202" s="5">
        <v>93</v>
      </c>
      <c r="N2202" s="5" t="s">
        <v>654</v>
      </c>
      <c r="O2202" s="5" t="s">
        <v>266</v>
      </c>
      <c r="Q2202" s="33"/>
      <c r="U2202" t="s">
        <v>321</v>
      </c>
    </row>
    <row r="2203" spans="1:21" x14ac:dyDescent="0.2">
      <c r="A2203" s="5">
        <v>110</v>
      </c>
      <c r="B2203" s="8" t="s">
        <v>5774</v>
      </c>
      <c r="H2203" s="8" t="s">
        <v>5775</v>
      </c>
      <c r="I2203" s="8" t="s">
        <v>5775</v>
      </c>
      <c r="J2203" s="5">
        <v>2</v>
      </c>
      <c r="K2203" s="5" t="s">
        <v>21</v>
      </c>
      <c r="L2203" s="5" t="s">
        <v>4781</v>
      </c>
      <c r="M2203" s="5">
        <v>94</v>
      </c>
      <c r="N2203" s="5" t="s">
        <v>71</v>
      </c>
      <c r="O2203" s="5" t="s">
        <v>266</v>
      </c>
      <c r="Q2203" s="5" t="str">
        <f>B:B</f>
        <v>25-62417-20</v>
      </c>
    </row>
    <row r="2204" spans="1:21" x14ac:dyDescent="0.2">
      <c r="A2204" s="5">
        <v>111</v>
      </c>
      <c r="B2204" s="8" t="s">
        <v>5776</v>
      </c>
      <c r="H2204" s="8" t="s">
        <v>5777</v>
      </c>
      <c r="I2204" s="8" t="s">
        <v>5777</v>
      </c>
      <c r="J2204" s="5">
        <v>6</v>
      </c>
      <c r="K2204" s="5" t="s">
        <v>21</v>
      </c>
      <c r="L2204" s="5" t="s">
        <v>4781</v>
      </c>
      <c r="M2204" s="5">
        <v>94</v>
      </c>
      <c r="N2204" s="5" t="s">
        <v>71</v>
      </c>
      <c r="O2204" s="5" t="s">
        <v>266</v>
      </c>
      <c r="Q2204" s="5" t="str">
        <f>B:B</f>
        <v>CBA-UOI-S07ZA</v>
      </c>
    </row>
    <row r="2205" spans="1:21" x14ac:dyDescent="0.2">
      <c r="A2205" s="5">
        <v>112</v>
      </c>
      <c r="B2205" s="8">
        <v>7010502.0011200001</v>
      </c>
      <c r="H2205" s="8" t="s">
        <v>5778</v>
      </c>
      <c r="I2205" s="8" t="s">
        <v>5778</v>
      </c>
      <c r="J2205" s="5">
        <v>3</v>
      </c>
      <c r="K2205" s="5" t="s">
        <v>21</v>
      </c>
      <c r="L2205" s="5" t="s">
        <v>4781</v>
      </c>
      <c r="M2205" s="5">
        <v>94</v>
      </c>
      <c r="N2205" s="5" t="s">
        <v>71</v>
      </c>
      <c r="O2205" s="5" t="s">
        <v>266</v>
      </c>
      <c r="Q2205" s="5" t="s">
        <v>553</v>
      </c>
    </row>
    <row r="2206" spans="1:21" x14ac:dyDescent="0.2">
      <c r="A2206" s="5">
        <v>125</v>
      </c>
      <c r="B2206" s="8" t="s">
        <v>5779</v>
      </c>
      <c r="H2206" s="8" t="s">
        <v>5780</v>
      </c>
      <c r="I2206" s="8" t="s">
        <v>5780</v>
      </c>
      <c r="J2206" s="5">
        <v>12</v>
      </c>
      <c r="K2206" s="5" t="s">
        <v>21</v>
      </c>
      <c r="L2206" s="5" t="s">
        <v>4781</v>
      </c>
      <c r="M2206" s="5">
        <v>94</v>
      </c>
      <c r="N2206" s="5" t="s">
        <v>71</v>
      </c>
      <c r="O2206" s="5" t="s">
        <v>266</v>
      </c>
      <c r="Q2206" s="5" t="s">
        <v>553</v>
      </c>
    </row>
    <row r="2207" spans="1:21" x14ac:dyDescent="0.2">
      <c r="A2207" s="5"/>
      <c r="B2207" s="8" t="s">
        <v>5781</v>
      </c>
      <c r="H2207" s="8" t="s">
        <v>5782</v>
      </c>
      <c r="I2207" s="8" t="s">
        <v>5782</v>
      </c>
      <c r="J2207" s="5">
        <v>1</v>
      </c>
      <c r="K2207" s="5" t="s">
        <v>21</v>
      </c>
      <c r="L2207" s="5" t="s">
        <v>4781</v>
      </c>
      <c r="M2207" s="5">
        <v>95</v>
      </c>
      <c r="N2207" s="5" t="s">
        <v>71</v>
      </c>
      <c r="O2207" s="5" t="s">
        <v>266</v>
      </c>
      <c r="U2207" t="s">
        <v>321</v>
      </c>
    </row>
    <row r="2208" spans="1:21" x14ac:dyDescent="0.2">
      <c r="A2208" s="5">
        <v>121</v>
      </c>
      <c r="B2208" s="8" t="s">
        <v>5783</v>
      </c>
      <c r="H2208" s="8" t="s">
        <v>5784</v>
      </c>
      <c r="I2208" s="8" t="s">
        <v>5784</v>
      </c>
      <c r="J2208" s="5">
        <f>19-1-2+25-6+5-3-3+1-6</f>
        <v>29</v>
      </c>
      <c r="K2208" s="5" t="s">
        <v>21</v>
      </c>
      <c r="L2208" s="5" t="s">
        <v>4781</v>
      </c>
      <c r="M2208" s="5">
        <v>95</v>
      </c>
      <c r="N2208" s="5" t="s">
        <v>71</v>
      </c>
      <c r="O2208" s="5" t="s">
        <v>266</v>
      </c>
      <c r="Q2208" s="33" t="s">
        <v>5785</v>
      </c>
    </row>
    <row r="2209" spans="1:21" x14ac:dyDescent="0.2">
      <c r="A2209" s="5">
        <v>122</v>
      </c>
      <c r="B2209" s="8" t="s">
        <v>5786</v>
      </c>
      <c r="H2209" s="8" t="s">
        <v>5787</v>
      </c>
      <c r="I2209" s="8" t="s">
        <v>5787</v>
      </c>
      <c r="J2209" s="5">
        <v>51</v>
      </c>
      <c r="K2209" s="5" t="s">
        <v>21</v>
      </c>
      <c r="L2209" s="5" t="s">
        <v>4781</v>
      </c>
      <c r="M2209" s="5">
        <v>95</v>
      </c>
      <c r="N2209" s="5" t="s">
        <v>71</v>
      </c>
      <c r="O2209" s="5" t="s">
        <v>266</v>
      </c>
      <c r="Q2209" s="5" t="s">
        <v>553</v>
      </c>
    </row>
    <row r="2210" spans="1:21" x14ac:dyDescent="0.2">
      <c r="A2210" s="5">
        <v>123</v>
      </c>
      <c r="B2210" s="8" t="s">
        <v>5788</v>
      </c>
      <c r="H2210" s="8" t="s">
        <v>5789</v>
      </c>
      <c r="I2210" s="8" t="s">
        <v>5789</v>
      </c>
      <c r="J2210" s="5">
        <v>49</v>
      </c>
      <c r="K2210" s="5" t="s">
        <v>21</v>
      </c>
      <c r="L2210" s="5" t="s">
        <v>4781</v>
      </c>
      <c r="M2210" s="5">
        <v>95</v>
      </c>
      <c r="N2210" s="5" t="s">
        <v>71</v>
      </c>
      <c r="O2210" s="5" t="s">
        <v>266</v>
      </c>
      <c r="Q2210" s="5" t="s">
        <v>553</v>
      </c>
      <c r="S2210" s="5" t="s">
        <v>1139</v>
      </c>
    </row>
    <row r="2211" spans="1:21" x14ac:dyDescent="0.2">
      <c r="A2211" s="5">
        <v>124</v>
      </c>
      <c r="H2211" s="8" t="s">
        <v>5790</v>
      </c>
      <c r="I2211" s="8" t="s">
        <v>5790</v>
      </c>
      <c r="J2211" s="5">
        <v>6</v>
      </c>
      <c r="K2211" s="5" t="s">
        <v>21</v>
      </c>
      <c r="L2211" s="5" t="s">
        <v>4781</v>
      </c>
      <c r="M2211" s="5">
        <v>95</v>
      </c>
      <c r="N2211" s="5" t="s">
        <v>71</v>
      </c>
      <c r="O2211" s="5" t="s">
        <v>266</v>
      </c>
      <c r="U2211" t="s">
        <v>321</v>
      </c>
    </row>
    <row r="2212" spans="1:21" x14ac:dyDescent="0.2">
      <c r="A2212" s="5">
        <v>113</v>
      </c>
      <c r="B2212" s="8" t="s">
        <v>5791</v>
      </c>
      <c r="H2212" s="8" t="s">
        <v>5792</v>
      </c>
      <c r="I2212" s="8" t="s">
        <v>5792</v>
      </c>
      <c r="J2212" s="5">
        <f>59-2</f>
        <v>57</v>
      </c>
      <c r="K2212" s="5" t="s">
        <v>21</v>
      </c>
      <c r="L2212" s="5" t="s">
        <v>4781</v>
      </c>
      <c r="M2212" s="5">
        <v>96</v>
      </c>
      <c r="N2212" s="5" t="s">
        <v>71</v>
      </c>
      <c r="O2212" s="5" t="s">
        <v>266</v>
      </c>
      <c r="Q2212" s="5" t="s">
        <v>5793</v>
      </c>
    </row>
    <row r="2213" spans="1:21" x14ac:dyDescent="0.2">
      <c r="A2213" s="5">
        <v>117</v>
      </c>
      <c r="B2213" s="8" t="s">
        <v>5794</v>
      </c>
      <c r="H2213" s="8" t="s">
        <v>5795</v>
      </c>
      <c r="I2213" s="8" t="s">
        <v>5795</v>
      </c>
      <c r="J2213" s="5">
        <v>4</v>
      </c>
      <c r="K2213" s="5" t="s">
        <v>21</v>
      </c>
      <c r="L2213" s="5" t="s">
        <v>4781</v>
      </c>
      <c r="M2213" s="5">
        <v>97</v>
      </c>
      <c r="N2213" s="5" t="s">
        <v>71</v>
      </c>
      <c r="O2213" s="5" t="s">
        <v>266</v>
      </c>
      <c r="Q2213" s="5" t="s">
        <v>553</v>
      </c>
    </row>
    <row r="2214" spans="1:21" x14ac:dyDescent="0.2">
      <c r="A2214" s="5">
        <v>118</v>
      </c>
      <c r="B2214" s="8" t="s">
        <v>5796</v>
      </c>
      <c r="H2214" s="8" t="s">
        <v>5797</v>
      </c>
      <c r="I2214" s="8" t="s">
        <v>5797</v>
      </c>
      <c r="J2214" s="5">
        <v>3</v>
      </c>
      <c r="K2214" s="5" t="s">
        <v>21</v>
      </c>
      <c r="L2214" s="5" t="s">
        <v>4781</v>
      </c>
      <c r="M2214" s="5">
        <v>97</v>
      </c>
      <c r="N2214" s="5" t="s">
        <v>71</v>
      </c>
      <c r="O2214" s="5" t="s">
        <v>266</v>
      </c>
      <c r="Q2214" s="5" t="s">
        <v>5798</v>
      </c>
    </row>
    <row r="2215" spans="1:21" x14ac:dyDescent="0.2">
      <c r="A2215" s="5">
        <v>120</v>
      </c>
      <c r="B2215" s="8" t="s">
        <v>5799</v>
      </c>
      <c r="H2215" s="8" t="s">
        <v>5800</v>
      </c>
      <c r="I2215" s="8" t="s">
        <v>5800</v>
      </c>
      <c r="J2215" s="5">
        <f>1</f>
        <v>1</v>
      </c>
      <c r="K2215" s="5" t="s">
        <v>21</v>
      </c>
      <c r="L2215" s="5" t="s">
        <v>4781</v>
      </c>
      <c r="M2215" s="5">
        <v>97</v>
      </c>
      <c r="N2215" s="5" t="s">
        <v>71</v>
      </c>
      <c r="O2215" s="5" t="s">
        <v>266</v>
      </c>
      <c r="Q2215" s="5" t="s">
        <v>553</v>
      </c>
    </row>
    <row r="2216" spans="1:21" x14ac:dyDescent="0.2">
      <c r="A2216" s="5">
        <v>318</v>
      </c>
      <c r="B2216" s="8" t="s">
        <v>5801</v>
      </c>
      <c r="H2216" s="8" t="s">
        <v>5802</v>
      </c>
      <c r="I2216" s="8" t="s">
        <v>5803</v>
      </c>
      <c r="J2216" s="5">
        <f>14-2+2-2-5-2-1</f>
        <v>4</v>
      </c>
      <c r="K2216" s="5" t="s">
        <v>21</v>
      </c>
      <c r="L2216" s="5" t="s">
        <v>4781</v>
      </c>
      <c r="M2216" s="5">
        <v>97</v>
      </c>
      <c r="N2216" s="5" t="s">
        <v>5586</v>
      </c>
      <c r="O2216" s="5" t="s">
        <v>266</v>
      </c>
      <c r="Q2216" s="5" t="s">
        <v>5804</v>
      </c>
    </row>
    <row r="2217" spans="1:21" x14ac:dyDescent="0.2">
      <c r="A2217" s="5"/>
      <c r="B2217" s="100" t="s">
        <v>5805</v>
      </c>
      <c r="H2217" s="130" t="s">
        <v>5806</v>
      </c>
      <c r="I2217" s="108" t="s">
        <v>5806</v>
      </c>
      <c r="J2217" s="5">
        <f>1+25-4-1-11</f>
        <v>10</v>
      </c>
      <c r="K2217" s="5" t="s">
        <v>21</v>
      </c>
      <c r="L2217" s="5" t="s">
        <v>4781</v>
      </c>
      <c r="M2217" s="5">
        <v>97</v>
      </c>
      <c r="N2217" s="5" t="s">
        <v>5586</v>
      </c>
      <c r="O2217" s="5" t="s">
        <v>266</v>
      </c>
      <c r="Q2217" s="107" t="s">
        <v>5807</v>
      </c>
    </row>
    <row r="2218" spans="1:21" x14ac:dyDescent="0.2">
      <c r="A2218" s="5">
        <v>112</v>
      </c>
      <c r="B2218" s="8" t="s">
        <v>5808</v>
      </c>
      <c r="H2218" s="8" t="s">
        <v>5809</v>
      </c>
      <c r="I2218" s="8" t="s">
        <v>5809</v>
      </c>
      <c r="J2218" s="5">
        <f>11-1+10+10</f>
        <v>30</v>
      </c>
      <c r="K2218" s="5" t="s">
        <v>21</v>
      </c>
      <c r="L2218" s="5" t="s">
        <v>4781</v>
      </c>
      <c r="M2218" s="5">
        <v>98</v>
      </c>
      <c r="N2218" s="5" t="s">
        <v>71</v>
      </c>
      <c r="O2218" s="5" t="s">
        <v>266</v>
      </c>
      <c r="Q2218" s="5" t="s">
        <v>5810</v>
      </c>
    </row>
    <row r="2219" spans="1:21" x14ac:dyDescent="0.2">
      <c r="A2219" s="5">
        <v>111</v>
      </c>
      <c r="B2219" s="8" t="s">
        <v>553</v>
      </c>
      <c r="H2219" s="8" t="s">
        <v>5811</v>
      </c>
      <c r="I2219" s="8" t="s">
        <v>5812</v>
      </c>
      <c r="J2219" s="5">
        <f>1-1+2-1</f>
        <v>1</v>
      </c>
      <c r="K2219" s="5" t="s">
        <v>21</v>
      </c>
      <c r="L2219" s="5" t="s">
        <v>4781</v>
      </c>
      <c r="M2219" s="5">
        <v>99</v>
      </c>
      <c r="N2219" s="5" t="s">
        <v>71</v>
      </c>
      <c r="O2219" s="5" t="s">
        <v>266</v>
      </c>
      <c r="Q2219" s="5" t="s">
        <v>553</v>
      </c>
      <c r="U2219" t="s">
        <v>2789</v>
      </c>
    </row>
    <row r="2220" spans="1:21" x14ac:dyDescent="0.2">
      <c r="A2220" s="5"/>
      <c r="B2220" s="100" t="s">
        <v>5813</v>
      </c>
      <c r="I2220" s="100" t="s">
        <v>5814</v>
      </c>
      <c r="J2220" s="5">
        <f>11-6-2-1-2+6+6-2</f>
        <v>10</v>
      </c>
      <c r="K2220" s="5" t="s">
        <v>21</v>
      </c>
      <c r="L2220" s="5" t="s">
        <v>4781</v>
      </c>
      <c r="M2220" s="5">
        <v>99</v>
      </c>
    </row>
    <row r="2221" spans="1:21" x14ac:dyDescent="0.2">
      <c r="A2221" s="5">
        <v>114</v>
      </c>
      <c r="B2221" s="8" t="s">
        <v>5815</v>
      </c>
      <c r="H2221" s="8" t="s">
        <v>5816</v>
      </c>
      <c r="I2221" s="8" t="s">
        <v>5816</v>
      </c>
      <c r="J2221" s="5">
        <v>54</v>
      </c>
      <c r="K2221" s="5" t="s">
        <v>21</v>
      </c>
      <c r="L2221" s="5" t="s">
        <v>4781</v>
      </c>
      <c r="M2221" s="5">
        <v>100</v>
      </c>
      <c r="N2221" s="5" t="s">
        <v>71</v>
      </c>
      <c r="O2221" s="5" t="s">
        <v>266</v>
      </c>
      <c r="Q2221" s="5" t="s">
        <v>553</v>
      </c>
    </row>
    <row r="2222" spans="1:21" x14ac:dyDescent="0.2">
      <c r="A2222" s="5">
        <v>115</v>
      </c>
      <c r="B2222" s="8" t="s">
        <v>5817</v>
      </c>
      <c r="D2222" s="8" t="s">
        <v>3639</v>
      </c>
      <c r="E2222" s="24">
        <v>43687</v>
      </c>
      <c r="F2222" s="8" t="s">
        <v>324</v>
      </c>
      <c r="G2222" s="8" t="s">
        <v>375</v>
      </c>
      <c r="H2222" s="8" t="s">
        <v>5818</v>
      </c>
      <c r="I2222" s="8" t="s">
        <v>654</v>
      </c>
      <c r="J2222" s="5">
        <v>8</v>
      </c>
      <c r="K2222" s="5" t="s">
        <v>21</v>
      </c>
      <c r="L2222" s="5" t="s">
        <v>4781</v>
      </c>
      <c r="M2222" s="5">
        <v>100</v>
      </c>
      <c r="N2222" s="5" t="s">
        <v>5819</v>
      </c>
      <c r="O2222" s="5" t="s">
        <v>266</v>
      </c>
      <c r="Q2222" s="5" t="s">
        <v>553</v>
      </c>
    </row>
    <row r="2223" spans="1:21" x14ac:dyDescent="0.2">
      <c r="A2223" s="5">
        <v>116</v>
      </c>
      <c r="B2223" s="8" t="s">
        <v>5820</v>
      </c>
      <c r="H2223" s="8" t="s">
        <v>5821</v>
      </c>
      <c r="I2223" s="8" t="s">
        <v>5821</v>
      </c>
      <c r="J2223" s="5">
        <v>19</v>
      </c>
      <c r="K2223" s="5" t="s">
        <v>21</v>
      </c>
      <c r="L2223" s="5" t="s">
        <v>4781</v>
      </c>
      <c r="M2223" s="5">
        <v>100</v>
      </c>
      <c r="N2223" s="5" t="s">
        <v>654</v>
      </c>
      <c r="O2223" s="5" t="s">
        <v>266</v>
      </c>
      <c r="Q2223" s="5" t="s">
        <v>553</v>
      </c>
    </row>
    <row r="2224" spans="1:21" x14ac:dyDescent="0.2">
      <c r="A2224" s="5">
        <v>143</v>
      </c>
      <c r="B2224" s="8" t="s">
        <v>5822</v>
      </c>
      <c r="H2224" s="8" t="s">
        <v>5823</v>
      </c>
      <c r="I2224" s="8" t="s">
        <v>5823</v>
      </c>
      <c r="J2224" s="5">
        <f>2-1</f>
        <v>1</v>
      </c>
      <c r="K2224" s="5" t="s">
        <v>21</v>
      </c>
      <c r="L2224" s="5" t="s">
        <v>4781</v>
      </c>
      <c r="M2224" s="5">
        <v>101</v>
      </c>
      <c r="N2224" s="5" t="s">
        <v>71</v>
      </c>
      <c r="O2224" s="5" t="s">
        <v>266</v>
      </c>
      <c r="Q2224" s="5" t="s">
        <v>553</v>
      </c>
    </row>
    <row r="2225" spans="1:21" x14ac:dyDescent="0.2">
      <c r="A2225" s="5">
        <v>144</v>
      </c>
      <c r="B2225" s="8" t="s">
        <v>5824</v>
      </c>
      <c r="H2225" s="8" t="s">
        <v>5825</v>
      </c>
      <c r="I2225" s="8" t="s">
        <v>5825</v>
      </c>
      <c r="J2225" s="5">
        <v>2</v>
      </c>
      <c r="K2225" s="5" t="s">
        <v>21</v>
      </c>
      <c r="L2225" s="5" t="s">
        <v>4781</v>
      </c>
      <c r="M2225" s="5">
        <v>101</v>
      </c>
      <c r="N2225" s="5" t="s">
        <v>71</v>
      </c>
      <c r="O2225" s="5" t="s">
        <v>266</v>
      </c>
      <c r="Q2225" s="5" t="s">
        <v>553</v>
      </c>
    </row>
    <row r="2226" spans="1:21" x14ac:dyDescent="0.2">
      <c r="A2226" s="5">
        <v>145</v>
      </c>
      <c r="B2226" s="34" t="s">
        <v>5826</v>
      </c>
      <c r="H2226" s="8" t="s">
        <v>5827</v>
      </c>
      <c r="I2226" s="8" t="s">
        <v>5827</v>
      </c>
      <c r="J2226" s="5">
        <v>2</v>
      </c>
      <c r="K2226" s="5" t="s">
        <v>21</v>
      </c>
      <c r="L2226" s="5" t="s">
        <v>4781</v>
      </c>
      <c r="M2226" s="5">
        <v>101</v>
      </c>
      <c r="N2226" s="5" t="s">
        <v>71</v>
      </c>
      <c r="O2226" s="5" t="s">
        <v>266</v>
      </c>
      <c r="Q2226" s="5" t="s">
        <v>553</v>
      </c>
      <c r="S2226" s="5" t="s">
        <v>1139</v>
      </c>
    </row>
    <row r="2227" spans="1:21" x14ac:dyDescent="0.2">
      <c r="A2227" s="5">
        <v>146</v>
      </c>
      <c r="H2227" s="8" t="s">
        <v>5828</v>
      </c>
      <c r="I2227" s="8" t="s">
        <v>5828</v>
      </c>
      <c r="J2227" s="5">
        <f>3-1</f>
        <v>2</v>
      </c>
      <c r="K2227" s="5" t="s">
        <v>21</v>
      </c>
      <c r="L2227" s="5" t="s">
        <v>4781</v>
      </c>
      <c r="M2227" s="5">
        <v>101</v>
      </c>
      <c r="N2227" s="5" t="s">
        <v>71</v>
      </c>
      <c r="O2227" s="5" t="s">
        <v>266</v>
      </c>
      <c r="U2227" t="s">
        <v>288</v>
      </c>
    </row>
    <row r="2228" spans="1:21" x14ac:dyDescent="0.2">
      <c r="A2228" s="5">
        <v>117</v>
      </c>
      <c r="B2228" s="8" t="s">
        <v>5829</v>
      </c>
      <c r="H2228" s="8" t="s">
        <v>5702</v>
      </c>
      <c r="I2228" s="8" t="s">
        <v>5702</v>
      </c>
      <c r="J2228" s="5">
        <v>1</v>
      </c>
      <c r="K2228" s="5" t="s">
        <v>21</v>
      </c>
      <c r="L2228" s="5" t="s">
        <v>4781</v>
      </c>
      <c r="M2228" s="5">
        <v>102</v>
      </c>
      <c r="N2228" s="5" t="s">
        <v>71</v>
      </c>
      <c r="O2228" s="5" t="s">
        <v>266</v>
      </c>
      <c r="Q2228" s="5" t="s">
        <v>553</v>
      </c>
    </row>
    <row r="2229" spans="1:21" x14ac:dyDescent="0.2">
      <c r="A2229" s="5">
        <v>119</v>
      </c>
      <c r="B2229" s="8" t="s">
        <v>5830</v>
      </c>
      <c r="H2229" s="108" t="s">
        <v>5831</v>
      </c>
      <c r="I2229" s="8" t="s">
        <v>5831</v>
      </c>
      <c r="J2229" s="5">
        <f>7</f>
        <v>7</v>
      </c>
      <c r="K2229" s="5" t="s">
        <v>21</v>
      </c>
      <c r="L2229" s="5" t="s">
        <v>4781</v>
      </c>
      <c r="M2229" s="5">
        <v>102</v>
      </c>
      <c r="N2229" s="5" t="s">
        <v>71</v>
      </c>
      <c r="O2229" s="5" t="s">
        <v>266</v>
      </c>
      <c r="Q2229" s="5" t="s">
        <v>553</v>
      </c>
    </row>
    <row r="2230" spans="1:21" x14ac:dyDescent="0.2">
      <c r="A2230" s="5">
        <v>276</v>
      </c>
      <c r="B2230" s="8" t="s">
        <v>5832</v>
      </c>
      <c r="H2230" s="8" t="s">
        <v>5833</v>
      </c>
      <c r="I2230" s="8" t="s">
        <v>5833</v>
      </c>
      <c r="J2230" s="5">
        <v>2</v>
      </c>
      <c r="K2230" s="5" t="s">
        <v>292</v>
      </c>
      <c r="L2230" s="5" t="s">
        <v>4781</v>
      </c>
      <c r="M2230" s="5">
        <v>102</v>
      </c>
      <c r="N2230" s="5" t="s">
        <v>5834</v>
      </c>
      <c r="O2230" s="5" t="s">
        <v>520</v>
      </c>
      <c r="Q2230" s="5" t="s">
        <v>5835</v>
      </c>
    </row>
    <row r="2231" spans="1:21" x14ac:dyDescent="0.2">
      <c r="A2231" s="5">
        <v>2347</v>
      </c>
      <c r="B2231" s="8" t="s">
        <v>5830</v>
      </c>
      <c r="H2231" s="8" t="s">
        <v>5836</v>
      </c>
      <c r="I2231" s="8" t="s">
        <v>5836</v>
      </c>
      <c r="J2231" s="5">
        <v>0</v>
      </c>
      <c r="K2231" s="5" t="s">
        <v>21</v>
      </c>
      <c r="L2231" s="5" t="s">
        <v>4781</v>
      </c>
      <c r="M2231" s="5">
        <v>102</v>
      </c>
      <c r="N2231" s="5" t="s">
        <v>71</v>
      </c>
      <c r="O2231" s="5" t="s">
        <v>520</v>
      </c>
    </row>
    <row r="2232" spans="1:21" x14ac:dyDescent="0.2">
      <c r="A2232" s="5">
        <v>128</v>
      </c>
      <c r="B2232" s="8" t="s">
        <v>5837</v>
      </c>
      <c r="H2232" s="8" t="s">
        <v>5838</v>
      </c>
      <c r="I2232" s="8" t="s">
        <v>5838</v>
      </c>
      <c r="J2232" s="5">
        <f>15-8</f>
        <v>7</v>
      </c>
      <c r="K2232" s="5" t="s">
        <v>21</v>
      </c>
      <c r="L2232" s="5" t="s">
        <v>4781</v>
      </c>
      <c r="M2232" s="5">
        <v>103</v>
      </c>
      <c r="N2232" s="5" t="s">
        <v>71</v>
      </c>
      <c r="O2232" s="5" t="s">
        <v>266</v>
      </c>
      <c r="Q2232" s="5" t="s">
        <v>553</v>
      </c>
      <c r="S2232" s="5" t="s">
        <v>1139</v>
      </c>
    </row>
    <row r="2233" spans="1:21" x14ac:dyDescent="0.2">
      <c r="A2233" s="5">
        <v>129</v>
      </c>
      <c r="B2233" s="8" t="s">
        <v>503</v>
      </c>
      <c r="H2233" s="8" t="s">
        <v>5839</v>
      </c>
      <c r="I2233" s="8" t="s">
        <v>5839</v>
      </c>
      <c r="J2233" s="5">
        <f>30-18</f>
        <v>12</v>
      </c>
      <c r="K2233" s="5" t="s">
        <v>21</v>
      </c>
      <c r="L2233" s="5" t="s">
        <v>4781</v>
      </c>
      <c r="M2233" s="5">
        <v>103</v>
      </c>
      <c r="N2233" s="5" t="s">
        <v>71</v>
      </c>
      <c r="O2233" s="5" t="s">
        <v>266</v>
      </c>
      <c r="S2233" s="5" t="s">
        <v>1139</v>
      </c>
      <c r="U2233" t="s">
        <v>321</v>
      </c>
    </row>
    <row r="2234" spans="1:21" x14ac:dyDescent="0.2">
      <c r="A2234" s="5"/>
      <c r="B2234" s="8" t="s">
        <v>503</v>
      </c>
      <c r="I2234" s="8" t="s">
        <v>504</v>
      </c>
      <c r="J2234" s="5">
        <f>2</f>
        <v>2</v>
      </c>
      <c r="K2234" s="5" t="s">
        <v>21</v>
      </c>
      <c r="L2234" s="5" t="s">
        <v>4781</v>
      </c>
      <c r="M2234" s="5">
        <v>103</v>
      </c>
      <c r="Q2234" s="107"/>
    </row>
    <row r="2235" spans="1:21" x14ac:dyDescent="0.2">
      <c r="A2235" s="5">
        <v>130</v>
      </c>
      <c r="B2235" s="8" t="s">
        <v>5840</v>
      </c>
      <c r="H2235" s="8" t="s">
        <v>5838</v>
      </c>
      <c r="I2235" s="8" t="s">
        <v>5838</v>
      </c>
      <c r="J2235" s="5">
        <v>0</v>
      </c>
      <c r="K2235" s="5" t="s">
        <v>21</v>
      </c>
      <c r="L2235" s="5" t="s">
        <v>4781</v>
      </c>
      <c r="M2235" s="5">
        <v>103</v>
      </c>
      <c r="N2235" s="5" t="s">
        <v>71</v>
      </c>
      <c r="O2235" s="5" t="s">
        <v>266</v>
      </c>
      <c r="S2235" s="5" t="s">
        <v>1139</v>
      </c>
    </row>
    <row r="2236" spans="1:21" x14ac:dyDescent="0.2">
      <c r="A2236" s="5">
        <v>118</v>
      </c>
      <c r="B2236" s="8" t="s">
        <v>5841</v>
      </c>
      <c r="H2236" s="8" t="s">
        <v>5842</v>
      </c>
      <c r="I2236" s="8" t="s">
        <v>5842</v>
      </c>
      <c r="J2236" s="5">
        <v>21</v>
      </c>
      <c r="K2236" s="5" t="s">
        <v>21</v>
      </c>
      <c r="L2236" s="5" t="s">
        <v>4781</v>
      </c>
      <c r="M2236" s="5">
        <v>104</v>
      </c>
      <c r="N2236" s="5" t="s">
        <v>71</v>
      </c>
      <c r="O2236" s="5" t="s">
        <v>266</v>
      </c>
      <c r="S2236" s="5" t="s">
        <v>1139</v>
      </c>
    </row>
    <row r="2237" spans="1:21" x14ac:dyDescent="0.2">
      <c r="A2237" s="5">
        <v>119</v>
      </c>
      <c r="H2237" s="8" t="s">
        <v>5843</v>
      </c>
      <c r="I2237" s="8" t="s">
        <v>5843</v>
      </c>
      <c r="J2237" s="5">
        <v>0</v>
      </c>
      <c r="K2237" s="5" t="s">
        <v>21</v>
      </c>
      <c r="L2237" s="5" t="s">
        <v>4781</v>
      </c>
      <c r="M2237" s="5">
        <v>104</v>
      </c>
      <c r="N2237" s="5" t="s">
        <v>71</v>
      </c>
      <c r="O2237" s="5" t="s">
        <v>266</v>
      </c>
      <c r="S2237" s="5" t="s">
        <v>1139</v>
      </c>
    </row>
    <row r="2238" spans="1:21" x14ac:dyDescent="0.2">
      <c r="A2238" s="5">
        <v>120</v>
      </c>
      <c r="B2238" s="8" t="s">
        <v>5794</v>
      </c>
      <c r="H2238" s="8" t="s">
        <v>5844</v>
      </c>
      <c r="I2238" s="8" t="s">
        <v>5844</v>
      </c>
      <c r="J2238" s="5">
        <v>11</v>
      </c>
      <c r="K2238" s="5" t="s">
        <v>21</v>
      </c>
      <c r="L2238" s="5" t="s">
        <v>4781</v>
      </c>
      <c r="M2238" s="5">
        <v>104</v>
      </c>
      <c r="N2238" s="5" t="s">
        <v>71</v>
      </c>
      <c r="O2238" s="5" t="s">
        <v>266</v>
      </c>
      <c r="S2238" s="5" t="s">
        <v>1139</v>
      </c>
      <c r="U2238" t="s">
        <v>321</v>
      </c>
    </row>
    <row r="2239" spans="1:21" x14ac:dyDescent="0.2">
      <c r="A2239" s="5">
        <v>121</v>
      </c>
      <c r="H2239" s="8" t="s">
        <v>5845</v>
      </c>
      <c r="I2239" s="8" t="s">
        <v>5845</v>
      </c>
      <c r="J2239" s="5">
        <v>3</v>
      </c>
      <c r="K2239" s="5" t="s">
        <v>21</v>
      </c>
      <c r="L2239" s="5" t="s">
        <v>4781</v>
      </c>
      <c r="M2239" s="5">
        <v>104</v>
      </c>
      <c r="N2239" s="5" t="s">
        <v>71</v>
      </c>
      <c r="O2239" s="5" t="s">
        <v>266</v>
      </c>
      <c r="U2239" t="s">
        <v>321</v>
      </c>
    </row>
    <row r="2240" spans="1:21" x14ac:dyDescent="0.2">
      <c r="A2240" s="5">
        <v>132</v>
      </c>
      <c r="B2240" s="8" t="s">
        <v>5846</v>
      </c>
      <c r="H2240" s="8" t="s">
        <v>5847</v>
      </c>
      <c r="I2240" s="8" t="s">
        <v>5847</v>
      </c>
      <c r="J2240" s="5">
        <v>4</v>
      </c>
      <c r="K2240" s="5" t="s">
        <v>21</v>
      </c>
      <c r="L2240" s="5" t="s">
        <v>4781</v>
      </c>
      <c r="M2240" s="5">
        <v>105</v>
      </c>
      <c r="N2240" s="5" t="s">
        <v>71</v>
      </c>
      <c r="O2240" s="5" t="s">
        <v>266</v>
      </c>
      <c r="Q2240" s="5" t="s">
        <v>553</v>
      </c>
    </row>
    <row r="2241" spans="1:21" x14ac:dyDescent="0.2">
      <c r="A2241" s="5">
        <v>133</v>
      </c>
      <c r="B2241" s="8" t="s">
        <v>5848</v>
      </c>
      <c r="H2241" s="8" t="s">
        <v>5849</v>
      </c>
      <c r="I2241" s="8" t="s">
        <v>5849</v>
      </c>
      <c r="J2241" s="5">
        <v>8</v>
      </c>
      <c r="K2241" s="5" t="s">
        <v>21</v>
      </c>
      <c r="L2241" s="5" t="s">
        <v>4781</v>
      </c>
      <c r="M2241" s="5">
        <v>105</v>
      </c>
      <c r="N2241" s="5" t="s">
        <v>71</v>
      </c>
      <c r="O2241" s="5" t="s">
        <v>266</v>
      </c>
      <c r="Q2241" s="5" t="s">
        <v>553</v>
      </c>
    </row>
    <row r="2242" spans="1:21" x14ac:dyDescent="0.2">
      <c r="A2242" s="5"/>
      <c r="B2242" s="8" t="s">
        <v>5850</v>
      </c>
      <c r="H2242" s="8" t="s">
        <v>5851</v>
      </c>
      <c r="I2242" s="8" t="s">
        <v>5851</v>
      </c>
      <c r="J2242" s="5">
        <v>15</v>
      </c>
      <c r="K2242" s="5" t="s">
        <v>21</v>
      </c>
      <c r="L2242" s="5" t="s">
        <v>4781</v>
      </c>
      <c r="M2242" s="5">
        <v>105</v>
      </c>
      <c r="N2242" s="5" t="s">
        <v>71</v>
      </c>
      <c r="O2242" s="5" t="s">
        <v>266</v>
      </c>
    </row>
    <row r="2243" spans="1:21" x14ac:dyDescent="0.2">
      <c r="A2243" s="5">
        <v>122</v>
      </c>
      <c r="B2243" s="8" t="s">
        <v>5852</v>
      </c>
      <c r="H2243" s="8" t="s">
        <v>5853</v>
      </c>
      <c r="I2243" s="8" t="s">
        <v>5853</v>
      </c>
      <c r="J2243" s="5">
        <v>7</v>
      </c>
      <c r="K2243" s="5" t="s">
        <v>21</v>
      </c>
      <c r="L2243" s="5" t="s">
        <v>4781</v>
      </c>
      <c r="M2243" s="5">
        <v>106</v>
      </c>
      <c r="N2243" s="5" t="s">
        <v>71</v>
      </c>
      <c r="O2243" s="5" t="s">
        <v>266</v>
      </c>
      <c r="Q2243" s="5" t="s">
        <v>553</v>
      </c>
      <c r="S2243" s="5" t="s">
        <v>1139</v>
      </c>
    </row>
    <row r="2244" spans="1:21" x14ac:dyDescent="0.2">
      <c r="A2244" s="5">
        <v>123</v>
      </c>
      <c r="B2244" s="8" t="s">
        <v>5854</v>
      </c>
      <c r="H2244" s="8" t="s">
        <v>5855</v>
      </c>
      <c r="I2244" s="8" t="s">
        <v>5855</v>
      </c>
      <c r="J2244" s="5">
        <v>6</v>
      </c>
      <c r="K2244" s="5" t="s">
        <v>21</v>
      </c>
      <c r="L2244" s="5" t="s">
        <v>4781</v>
      </c>
      <c r="M2244" s="5">
        <v>106</v>
      </c>
      <c r="N2244" s="5" t="s">
        <v>71</v>
      </c>
      <c r="O2244" s="5" t="s">
        <v>266</v>
      </c>
    </row>
    <row r="2245" spans="1:21" x14ac:dyDescent="0.2">
      <c r="A2245" s="5"/>
      <c r="B2245" s="8" t="s">
        <v>5856</v>
      </c>
      <c r="H2245" s="8" t="s">
        <v>5857</v>
      </c>
      <c r="I2245" s="8" t="s">
        <v>5857</v>
      </c>
      <c r="J2245" s="5">
        <f>2</f>
        <v>2</v>
      </c>
      <c r="K2245" s="5" t="s">
        <v>21</v>
      </c>
      <c r="L2245" s="5" t="s">
        <v>4781</v>
      </c>
      <c r="M2245" s="5">
        <v>106</v>
      </c>
      <c r="N2245" s="5" t="s">
        <v>71</v>
      </c>
      <c r="O2245" s="5" t="s">
        <v>266</v>
      </c>
      <c r="U2245" t="s">
        <v>321</v>
      </c>
    </row>
    <row r="2246" spans="1:21" x14ac:dyDescent="0.2">
      <c r="A2246" s="5"/>
      <c r="B2246" s="8" t="s">
        <v>5858</v>
      </c>
      <c r="H2246" s="8" t="s">
        <v>5859</v>
      </c>
      <c r="I2246" s="8" t="s">
        <v>5860</v>
      </c>
      <c r="J2246" s="5">
        <v>3</v>
      </c>
      <c r="K2246" s="5" t="s">
        <v>21</v>
      </c>
      <c r="L2246" s="5" t="s">
        <v>4781</v>
      </c>
      <c r="M2246" s="5">
        <v>110</v>
      </c>
      <c r="N2246" s="5" t="s">
        <v>71</v>
      </c>
    </row>
    <row r="2247" spans="1:21" x14ac:dyDescent="0.2">
      <c r="A2247" s="5">
        <v>147</v>
      </c>
      <c r="B2247" s="8" t="s">
        <v>5861</v>
      </c>
      <c r="C2247" s="8" t="s">
        <v>5862</v>
      </c>
      <c r="D2247" s="8" t="s">
        <v>542</v>
      </c>
      <c r="E2247" s="24">
        <v>43692</v>
      </c>
      <c r="F2247" s="8" t="s">
        <v>259</v>
      </c>
      <c r="G2247" s="8" t="s">
        <v>276</v>
      </c>
      <c r="H2247" s="8" t="s">
        <v>5863</v>
      </c>
      <c r="I2247" s="8" t="s">
        <v>5864</v>
      </c>
      <c r="J2247" s="5">
        <v>73</v>
      </c>
      <c r="K2247" s="5" t="s">
        <v>21</v>
      </c>
      <c r="L2247" s="5" t="s">
        <v>4781</v>
      </c>
      <c r="M2247" s="5">
        <v>107</v>
      </c>
      <c r="N2247" s="5" t="s">
        <v>71</v>
      </c>
      <c r="O2247" s="5" t="s">
        <v>266</v>
      </c>
      <c r="Q2247" s="5" t="s">
        <v>553</v>
      </c>
    </row>
    <row r="2248" spans="1:21" x14ac:dyDescent="0.2">
      <c r="A2248" s="5">
        <v>124</v>
      </c>
      <c r="B2248" s="8" t="s">
        <v>5865</v>
      </c>
      <c r="H2248" s="8" t="s">
        <v>5866</v>
      </c>
      <c r="I2248" s="8" t="s">
        <v>5866</v>
      </c>
      <c r="J2248" s="5">
        <v>15</v>
      </c>
      <c r="K2248" s="5" t="s">
        <v>21</v>
      </c>
      <c r="L2248" s="5" t="s">
        <v>4781</v>
      </c>
      <c r="M2248" s="5">
        <v>108</v>
      </c>
      <c r="N2248" s="5" t="s">
        <v>71</v>
      </c>
      <c r="O2248" s="5" t="s">
        <v>266</v>
      </c>
      <c r="Q2248" s="5" t="s">
        <v>553</v>
      </c>
    </row>
    <row r="2249" spans="1:21" x14ac:dyDescent="0.2">
      <c r="A2249" s="5">
        <v>125</v>
      </c>
      <c r="B2249" s="8" t="s">
        <v>5867</v>
      </c>
      <c r="H2249" s="8" t="s">
        <v>5868</v>
      </c>
      <c r="I2249" s="8" t="s">
        <v>5868</v>
      </c>
      <c r="J2249" s="5">
        <v>3</v>
      </c>
      <c r="K2249" s="5" t="s">
        <v>21</v>
      </c>
      <c r="L2249" s="5" t="s">
        <v>4781</v>
      </c>
      <c r="M2249" s="5">
        <v>108</v>
      </c>
      <c r="N2249" s="5" t="s">
        <v>71</v>
      </c>
      <c r="O2249" s="5" t="s">
        <v>266</v>
      </c>
      <c r="Q2249" s="5" t="s">
        <v>553</v>
      </c>
      <c r="S2249" s="5" t="s">
        <v>1139</v>
      </c>
    </row>
    <row r="2250" spans="1:21" x14ac:dyDescent="0.2">
      <c r="A2250" s="5">
        <v>126</v>
      </c>
      <c r="B2250" s="8" t="s">
        <v>5867</v>
      </c>
      <c r="H2250" s="8" t="s">
        <v>5869</v>
      </c>
      <c r="I2250" s="8" t="s">
        <v>5869</v>
      </c>
      <c r="J2250" s="5">
        <v>1</v>
      </c>
      <c r="K2250" s="5" t="s">
        <v>21</v>
      </c>
      <c r="L2250" s="5" t="s">
        <v>4781</v>
      </c>
      <c r="M2250" s="5">
        <v>108</v>
      </c>
      <c r="N2250" s="5" t="s">
        <v>71</v>
      </c>
      <c r="O2250" s="5" t="s">
        <v>266</v>
      </c>
      <c r="S2250" s="5" t="s">
        <v>1139</v>
      </c>
      <c r="U2250" t="s">
        <v>5870</v>
      </c>
    </row>
    <row r="2251" spans="1:21" x14ac:dyDescent="0.2">
      <c r="A2251" s="5">
        <v>127</v>
      </c>
      <c r="B2251" s="8" t="s">
        <v>5871</v>
      </c>
      <c r="H2251" s="8" t="s">
        <v>5872</v>
      </c>
      <c r="I2251" s="8" t="s">
        <v>5872</v>
      </c>
      <c r="J2251" s="5">
        <v>1</v>
      </c>
      <c r="K2251" s="5" t="s">
        <v>21</v>
      </c>
      <c r="L2251" s="5" t="s">
        <v>4781</v>
      </c>
      <c r="M2251" s="5">
        <v>108</v>
      </c>
      <c r="N2251" s="5" t="s">
        <v>71</v>
      </c>
      <c r="O2251" s="5" t="s">
        <v>266</v>
      </c>
    </row>
    <row r="2252" spans="1:21" x14ac:dyDescent="0.2">
      <c r="A2252" s="5">
        <v>134</v>
      </c>
      <c r="B2252" s="8" t="s">
        <v>5873</v>
      </c>
      <c r="H2252" s="8" t="s">
        <v>5874</v>
      </c>
      <c r="I2252" s="8" t="s">
        <v>5874</v>
      </c>
      <c r="J2252" s="5">
        <v>1</v>
      </c>
      <c r="K2252" s="5" t="s">
        <v>21</v>
      </c>
      <c r="L2252" s="5" t="s">
        <v>4781</v>
      </c>
      <c r="M2252" s="5">
        <v>109</v>
      </c>
      <c r="N2252" s="5" t="s">
        <v>71</v>
      </c>
      <c r="O2252" s="5" t="s">
        <v>266</v>
      </c>
      <c r="Q2252" s="5" t="s">
        <v>553</v>
      </c>
    </row>
    <row r="2253" spans="1:21" x14ac:dyDescent="0.2">
      <c r="A2253" s="5">
        <v>135</v>
      </c>
      <c r="B2253" s="8" t="s">
        <v>5875</v>
      </c>
      <c r="H2253" s="8" t="s">
        <v>5876</v>
      </c>
      <c r="I2253" s="8" t="s">
        <v>5876</v>
      </c>
      <c r="J2253" s="5">
        <v>3</v>
      </c>
      <c r="K2253" s="5" t="s">
        <v>21</v>
      </c>
      <c r="L2253" s="5" t="s">
        <v>4781</v>
      </c>
      <c r="M2253" s="5">
        <v>109</v>
      </c>
      <c r="N2253" s="5" t="s">
        <v>71</v>
      </c>
      <c r="O2253" s="5" t="s">
        <v>266</v>
      </c>
      <c r="Q2253" s="5" t="s">
        <v>553</v>
      </c>
    </row>
    <row r="2254" spans="1:21" x14ac:dyDescent="0.2">
      <c r="A2254" s="5">
        <v>136</v>
      </c>
      <c r="B2254" s="8" t="s">
        <v>5877</v>
      </c>
      <c r="H2254" s="8" t="s">
        <v>5878</v>
      </c>
      <c r="I2254" s="8" t="s">
        <v>5879</v>
      </c>
      <c r="J2254" s="5">
        <v>3</v>
      </c>
      <c r="K2254" s="5" t="s">
        <v>21</v>
      </c>
      <c r="L2254" s="5" t="s">
        <v>4781</v>
      </c>
      <c r="M2254" s="5">
        <v>109</v>
      </c>
      <c r="N2254" s="5" t="s">
        <v>71</v>
      </c>
      <c r="O2254" s="5" t="s">
        <v>266</v>
      </c>
      <c r="Q2254" s="5" t="s">
        <v>553</v>
      </c>
    </row>
    <row r="2255" spans="1:21" x14ac:dyDescent="0.2">
      <c r="A2255" s="5">
        <v>137</v>
      </c>
      <c r="B2255" s="8" t="s">
        <v>5880</v>
      </c>
      <c r="H2255" s="8" t="s">
        <v>5881</v>
      </c>
      <c r="I2255" s="8" t="s">
        <v>5881</v>
      </c>
      <c r="J2255" s="5">
        <v>1</v>
      </c>
      <c r="K2255" s="5" t="s">
        <v>21</v>
      </c>
      <c r="L2255" s="5" t="s">
        <v>4781</v>
      </c>
      <c r="M2255" s="5">
        <v>109</v>
      </c>
      <c r="N2255" s="5" t="s">
        <v>71</v>
      </c>
      <c r="O2255" s="5" t="s">
        <v>266</v>
      </c>
      <c r="Q2255" s="5" t="s">
        <v>553</v>
      </c>
    </row>
    <row r="2256" spans="1:21" x14ac:dyDescent="0.2">
      <c r="A2256" s="5">
        <v>138</v>
      </c>
      <c r="B2256" s="8" t="s">
        <v>5882</v>
      </c>
      <c r="H2256" s="8" t="s">
        <v>5883</v>
      </c>
      <c r="I2256" s="8" t="s">
        <v>5883</v>
      </c>
      <c r="J2256" s="5">
        <v>4</v>
      </c>
      <c r="K2256" s="5" t="s">
        <v>21</v>
      </c>
      <c r="L2256" s="5" t="s">
        <v>4781</v>
      </c>
      <c r="M2256" s="5">
        <v>109</v>
      </c>
      <c r="N2256" s="5" t="s">
        <v>71</v>
      </c>
      <c r="O2256" s="5" t="s">
        <v>266</v>
      </c>
      <c r="Q2256" s="5" t="s">
        <v>553</v>
      </c>
    </row>
    <row r="2257" spans="1:21" x14ac:dyDescent="0.2">
      <c r="A2257" s="5">
        <v>139</v>
      </c>
      <c r="B2257" s="8" t="s">
        <v>5884</v>
      </c>
      <c r="H2257" s="8" t="s">
        <v>5885</v>
      </c>
      <c r="I2257" s="8" t="s">
        <v>5885</v>
      </c>
      <c r="J2257" s="5">
        <v>2</v>
      </c>
      <c r="K2257" s="5" t="s">
        <v>21</v>
      </c>
      <c r="L2257" s="5" t="s">
        <v>4781</v>
      </c>
      <c r="M2257" s="5">
        <v>109</v>
      </c>
      <c r="N2257" s="5" t="s">
        <v>71</v>
      </c>
      <c r="O2257" s="5" t="s">
        <v>266</v>
      </c>
      <c r="Q2257" s="5" t="s">
        <v>553</v>
      </c>
    </row>
    <row r="2258" spans="1:21" x14ac:dyDescent="0.2">
      <c r="A2258" s="5">
        <v>140</v>
      </c>
      <c r="B2258" s="8" t="s">
        <v>5886</v>
      </c>
      <c r="H2258" s="8" t="s">
        <v>5887</v>
      </c>
      <c r="I2258" s="8" t="s">
        <v>5887</v>
      </c>
      <c r="J2258" s="5">
        <v>2</v>
      </c>
      <c r="K2258" s="5" t="s">
        <v>21</v>
      </c>
      <c r="L2258" s="5" t="s">
        <v>4781</v>
      </c>
      <c r="M2258" s="5">
        <v>109</v>
      </c>
      <c r="N2258" s="5" t="s">
        <v>71</v>
      </c>
      <c r="O2258" s="5" t="s">
        <v>266</v>
      </c>
      <c r="Q2258" s="5" t="s">
        <v>553</v>
      </c>
    </row>
    <row r="2259" spans="1:21" x14ac:dyDescent="0.2">
      <c r="A2259" s="5">
        <v>141</v>
      </c>
      <c r="B2259" s="8" t="s">
        <v>5888</v>
      </c>
      <c r="H2259" s="8" t="s">
        <v>5889</v>
      </c>
      <c r="I2259" s="8" t="s">
        <v>5889</v>
      </c>
      <c r="J2259" s="5">
        <v>4</v>
      </c>
      <c r="K2259" s="5" t="s">
        <v>21</v>
      </c>
      <c r="L2259" s="5" t="s">
        <v>4781</v>
      </c>
      <c r="M2259" s="5">
        <v>109</v>
      </c>
      <c r="N2259" s="5" t="s">
        <v>71</v>
      </c>
      <c r="O2259" s="5" t="s">
        <v>266</v>
      </c>
      <c r="Q2259" s="5" t="s">
        <v>553</v>
      </c>
    </row>
    <row r="2260" spans="1:21" x14ac:dyDescent="0.2">
      <c r="A2260" s="5">
        <v>142</v>
      </c>
      <c r="B2260" s="8" t="s">
        <v>5890</v>
      </c>
      <c r="H2260" s="8" t="s">
        <v>5889</v>
      </c>
      <c r="I2260" s="8" t="s">
        <v>5889</v>
      </c>
      <c r="J2260" s="5">
        <v>1</v>
      </c>
      <c r="K2260" s="5" t="s">
        <v>21</v>
      </c>
      <c r="L2260" s="5" t="s">
        <v>4781</v>
      </c>
      <c r="M2260" s="5">
        <v>109</v>
      </c>
      <c r="N2260" s="5" t="s">
        <v>71</v>
      </c>
      <c r="O2260" s="5" t="s">
        <v>266</v>
      </c>
      <c r="Q2260" s="5" t="s">
        <v>553</v>
      </c>
    </row>
    <row r="2261" spans="1:21" x14ac:dyDescent="0.2">
      <c r="A2261" s="5">
        <v>187</v>
      </c>
      <c r="B2261" s="8" t="s">
        <v>5891</v>
      </c>
      <c r="H2261" s="8" t="s">
        <v>5892</v>
      </c>
      <c r="I2261" s="8" t="s">
        <v>5892</v>
      </c>
      <c r="J2261" s="5">
        <v>5</v>
      </c>
      <c r="K2261" s="5" t="s">
        <v>21</v>
      </c>
      <c r="L2261" s="5" t="s">
        <v>4781</v>
      </c>
      <c r="M2261" s="5">
        <v>110</v>
      </c>
      <c r="N2261" s="5" t="s">
        <v>71</v>
      </c>
      <c r="O2261" s="5" t="s">
        <v>266</v>
      </c>
      <c r="Q2261" s="5" t="s">
        <v>5893</v>
      </c>
      <c r="U2261" t="s">
        <v>321</v>
      </c>
    </row>
    <row r="2262" spans="1:21" x14ac:dyDescent="0.2">
      <c r="A2262" s="5">
        <v>188</v>
      </c>
      <c r="B2262" s="8" t="s">
        <v>5894</v>
      </c>
      <c r="H2262" s="8" t="s">
        <v>5895</v>
      </c>
      <c r="I2262" s="8" t="s">
        <v>5895</v>
      </c>
      <c r="J2262" s="5">
        <f>15-4-2-1-1+2-1+1-1</f>
        <v>8</v>
      </c>
      <c r="K2262" s="5" t="s">
        <v>21</v>
      </c>
      <c r="L2262" s="5" t="s">
        <v>4781</v>
      </c>
      <c r="M2262" s="5">
        <v>110</v>
      </c>
      <c r="N2262" s="5" t="s">
        <v>71</v>
      </c>
      <c r="O2262" s="5" t="s">
        <v>266</v>
      </c>
      <c r="Q2262" s="5" t="s">
        <v>5896</v>
      </c>
    </row>
    <row r="2263" spans="1:21" x14ac:dyDescent="0.2">
      <c r="B2263" s="8" t="s">
        <v>5897</v>
      </c>
      <c r="H2263" s="8" t="s">
        <v>5892</v>
      </c>
      <c r="I2263" s="8" t="s">
        <v>5892</v>
      </c>
      <c r="J2263" s="5">
        <v>5</v>
      </c>
      <c r="K2263" s="5" t="s">
        <v>292</v>
      </c>
      <c r="L2263" s="5" t="s">
        <v>4781</v>
      </c>
      <c r="M2263" s="5">
        <v>110</v>
      </c>
      <c r="N2263" s="5" t="s">
        <v>71</v>
      </c>
    </row>
    <row r="2264" spans="1:21" x14ac:dyDescent="0.2">
      <c r="B2264" s="8" t="s">
        <v>5898</v>
      </c>
      <c r="H2264" s="8" t="s">
        <v>5899</v>
      </c>
      <c r="I2264" s="8" t="s">
        <v>5899</v>
      </c>
      <c r="J2264" s="5">
        <f>6-2</f>
        <v>4</v>
      </c>
      <c r="K2264" s="5" t="s">
        <v>292</v>
      </c>
      <c r="L2264" s="5" t="s">
        <v>4781</v>
      </c>
      <c r="M2264" s="5">
        <v>110</v>
      </c>
      <c r="N2264" s="5" t="s">
        <v>71</v>
      </c>
      <c r="O2264" s="5" t="s">
        <v>266</v>
      </c>
      <c r="U2264" t="s">
        <v>321</v>
      </c>
    </row>
    <row r="2265" spans="1:21" x14ac:dyDescent="0.2">
      <c r="B2265" s="8" t="s">
        <v>142</v>
      </c>
      <c r="H2265" s="8" t="s">
        <v>5900</v>
      </c>
      <c r="I2265" s="8" t="s">
        <v>5900</v>
      </c>
      <c r="J2265" s="5">
        <f>10-2-8+8</f>
        <v>8</v>
      </c>
      <c r="K2265" s="5" t="s">
        <v>292</v>
      </c>
      <c r="L2265" s="5" t="s">
        <v>4781</v>
      </c>
      <c r="M2265" s="5">
        <v>110</v>
      </c>
      <c r="N2265" s="5" t="s">
        <v>71</v>
      </c>
      <c r="Q2265" s="107" t="s">
        <v>5901</v>
      </c>
    </row>
    <row r="2266" spans="1:21" x14ac:dyDescent="0.2">
      <c r="A2266" s="5">
        <v>157</v>
      </c>
      <c r="B2266" s="8" t="s">
        <v>5902</v>
      </c>
      <c r="H2266" s="8" t="s">
        <v>5903</v>
      </c>
      <c r="I2266" s="8" t="s">
        <v>5903</v>
      </c>
      <c r="J2266" s="5">
        <v>24</v>
      </c>
      <c r="K2266" s="5" t="s">
        <v>21</v>
      </c>
      <c r="L2266" s="5" t="s">
        <v>4781</v>
      </c>
      <c r="M2266" s="5">
        <v>111</v>
      </c>
      <c r="N2266" s="5" t="s">
        <v>71</v>
      </c>
      <c r="O2266" s="5" t="s">
        <v>266</v>
      </c>
      <c r="Q2266" s="5" t="s">
        <v>553</v>
      </c>
    </row>
    <row r="2267" spans="1:21" x14ac:dyDescent="0.2">
      <c r="A2267" s="5">
        <v>158</v>
      </c>
      <c r="B2267" s="8" t="s">
        <v>5904</v>
      </c>
      <c r="H2267" s="8" t="s">
        <v>5792</v>
      </c>
      <c r="I2267" s="8" t="s">
        <v>5792</v>
      </c>
      <c r="J2267" s="5">
        <f>79-2-2-4</f>
        <v>71</v>
      </c>
      <c r="K2267" s="5" t="s">
        <v>21</v>
      </c>
      <c r="L2267" s="5" t="s">
        <v>4781</v>
      </c>
      <c r="M2267" s="5">
        <v>112</v>
      </c>
      <c r="N2267" s="5" t="s">
        <v>71</v>
      </c>
      <c r="O2267" s="5" t="s">
        <v>266</v>
      </c>
      <c r="Q2267" s="5" t="s">
        <v>553</v>
      </c>
      <c r="S2267" s="5" t="s">
        <v>1139</v>
      </c>
    </row>
    <row r="2268" spans="1:21" x14ac:dyDescent="0.2">
      <c r="A2268" s="5">
        <v>155</v>
      </c>
      <c r="B2268" s="8" t="s">
        <v>2395</v>
      </c>
      <c r="H2268" s="8" t="s">
        <v>5905</v>
      </c>
      <c r="I2268" s="8" t="s">
        <v>5905</v>
      </c>
      <c r="J2268" s="5">
        <v>5</v>
      </c>
      <c r="K2268" s="5" t="s">
        <v>21</v>
      </c>
      <c r="L2268" s="5" t="s">
        <v>4781</v>
      </c>
      <c r="M2268" s="5">
        <v>113</v>
      </c>
      <c r="N2268" s="5" t="s">
        <v>71</v>
      </c>
      <c r="O2268" s="5" t="s">
        <v>266</v>
      </c>
      <c r="U2268" t="s">
        <v>5906</v>
      </c>
    </row>
    <row r="2269" spans="1:21" x14ac:dyDescent="0.2">
      <c r="A2269" s="5">
        <v>156</v>
      </c>
      <c r="B2269" s="8" t="s">
        <v>5907</v>
      </c>
      <c r="H2269" s="8" t="s">
        <v>5908</v>
      </c>
      <c r="I2269" s="8" t="s">
        <v>5908</v>
      </c>
      <c r="J2269" s="5">
        <v>48</v>
      </c>
      <c r="K2269" s="5" t="s">
        <v>21</v>
      </c>
      <c r="L2269" s="5" t="s">
        <v>4781</v>
      </c>
      <c r="M2269" s="5">
        <v>113</v>
      </c>
      <c r="N2269" s="5" t="s">
        <v>71</v>
      </c>
      <c r="O2269" s="5" t="s">
        <v>266</v>
      </c>
      <c r="Q2269" s="5" t="s">
        <v>553</v>
      </c>
    </row>
    <row r="2270" spans="1:21" x14ac:dyDescent="0.2">
      <c r="A2270" s="5">
        <v>151</v>
      </c>
      <c r="B2270" s="8" t="s">
        <v>5909</v>
      </c>
      <c r="H2270" s="8" t="s">
        <v>5910</v>
      </c>
      <c r="I2270" s="8" t="s">
        <v>5910</v>
      </c>
      <c r="J2270" s="5">
        <v>3</v>
      </c>
      <c r="K2270" s="5" t="s">
        <v>21</v>
      </c>
      <c r="L2270" s="5" t="s">
        <v>4781</v>
      </c>
      <c r="M2270" s="5">
        <v>114</v>
      </c>
      <c r="N2270" s="5" t="s">
        <v>71</v>
      </c>
      <c r="O2270" s="5" t="s">
        <v>266</v>
      </c>
      <c r="Q2270" s="5" t="s">
        <v>553</v>
      </c>
      <c r="S2270" s="5" t="s">
        <v>1139</v>
      </c>
    </row>
    <row r="2271" spans="1:21" x14ac:dyDescent="0.2">
      <c r="A2271" s="5">
        <v>152</v>
      </c>
      <c r="C2271" s="8" t="s">
        <v>5862</v>
      </c>
      <c r="D2271" s="8" t="s">
        <v>542</v>
      </c>
      <c r="E2271" s="24">
        <v>43676</v>
      </c>
      <c r="F2271" s="8" t="s">
        <v>259</v>
      </c>
      <c r="G2271" s="8" t="s">
        <v>276</v>
      </c>
      <c r="H2271" s="8" t="s">
        <v>5863</v>
      </c>
      <c r="I2271" s="8" t="s">
        <v>5911</v>
      </c>
      <c r="J2271" s="5">
        <v>40</v>
      </c>
      <c r="K2271" s="5" t="s">
        <v>21</v>
      </c>
      <c r="L2271" s="5" t="s">
        <v>4781</v>
      </c>
      <c r="M2271" s="5">
        <v>114</v>
      </c>
      <c r="N2271" s="5" t="s">
        <v>71</v>
      </c>
      <c r="O2271" s="5" t="s">
        <v>266</v>
      </c>
      <c r="U2271" t="s">
        <v>288</v>
      </c>
    </row>
    <row r="2272" spans="1:21" x14ac:dyDescent="0.2">
      <c r="A2272" s="5">
        <v>153</v>
      </c>
      <c r="B2272" s="8" t="s">
        <v>5912</v>
      </c>
      <c r="C2272" s="8" t="s">
        <v>5913</v>
      </c>
      <c r="D2272" s="8" t="s">
        <v>542</v>
      </c>
      <c r="E2272" s="24">
        <v>43676</v>
      </c>
      <c r="F2272" s="8" t="s">
        <v>259</v>
      </c>
      <c r="G2272" s="8" t="s">
        <v>276</v>
      </c>
      <c r="H2272" s="8" t="s">
        <v>5914</v>
      </c>
      <c r="I2272" s="8" t="s">
        <v>5914</v>
      </c>
      <c r="J2272" s="5">
        <f>7-3+20-2-2+35-10-45</f>
        <v>0</v>
      </c>
      <c r="K2272" s="5" t="s">
        <v>21</v>
      </c>
      <c r="L2272" s="5" t="s">
        <v>4781</v>
      </c>
      <c r="M2272" s="5">
        <v>115</v>
      </c>
      <c r="N2272" s="5" t="s">
        <v>71</v>
      </c>
      <c r="O2272" s="5" t="s">
        <v>266</v>
      </c>
      <c r="Q2272" s="5" t="s">
        <v>553</v>
      </c>
    </row>
    <row r="2273" spans="1:21" x14ac:dyDescent="0.2">
      <c r="A2273" s="5"/>
      <c r="B2273" s="8" t="s">
        <v>5913</v>
      </c>
      <c r="H2273" s="8" t="s">
        <v>5915</v>
      </c>
      <c r="I2273" s="8" t="s">
        <v>5916</v>
      </c>
      <c r="J2273" s="5">
        <f>10-3-3+20-2-2+39-3-3-8-8-8-1-8</f>
        <v>20</v>
      </c>
      <c r="K2273" s="5" t="s">
        <v>21</v>
      </c>
      <c r="L2273" s="5" t="s">
        <v>4781</v>
      </c>
      <c r="M2273" s="5">
        <v>115</v>
      </c>
      <c r="N2273" s="5" t="s">
        <v>71</v>
      </c>
      <c r="Q2273" s="5" t="s">
        <v>5917</v>
      </c>
    </row>
    <row r="2274" spans="1:21" x14ac:dyDescent="0.2">
      <c r="A2274" s="5">
        <v>166</v>
      </c>
      <c r="B2274" s="8" t="s">
        <v>5918</v>
      </c>
      <c r="D2274" s="8" t="s">
        <v>524</v>
      </c>
      <c r="E2274" s="24">
        <v>43692</v>
      </c>
      <c r="F2274" s="8" t="s">
        <v>259</v>
      </c>
      <c r="G2274" s="8" t="s">
        <v>260</v>
      </c>
      <c r="H2274" s="8" t="s">
        <v>5919</v>
      </c>
      <c r="I2274" s="8" t="s">
        <v>5920</v>
      </c>
      <c r="J2274" s="5">
        <v>0</v>
      </c>
      <c r="K2274" s="5" t="s">
        <v>21</v>
      </c>
      <c r="L2274" s="5" t="s">
        <v>4781</v>
      </c>
      <c r="M2274" s="5">
        <v>115</v>
      </c>
      <c r="N2274" s="5" t="s">
        <v>71</v>
      </c>
      <c r="O2274" s="5" t="s">
        <v>266</v>
      </c>
      <c r="Q2274" s="5" t="s">
        <v>5921</v>
      </c>
      <c r="S2274" s="5" t="s">
        <v>1139</v>
      </c>
    </row>
    <row r="2275" spans="1:21" x14ac:dyDescent="0.2">
      <c r="A2275" s="5">
        <v>148</v>
      </c>
      <c r="B2275" s="8" t="s">
        <v>5922</v>
      </c>
      <c r="H2275" s="8" t="s">
        <v>5923</v>
      </c>
      <c r="I2275" s="8" t="s">
        <v>5923</v>
      </c>
      <c r="J2275" s="5">
        <v>0</v>
      </c>
      <c r="K2275" s="5" t="s">
        <v>21</v>
      </c>
      <c r="L2275" s="5" t="s">
        <v>4781</v>
      </c>
      <c r="M2275" s="5">
        <v>116</v>
      </c>
      <c r="N2275" s="5" t="s">
        <v>71</v>
      </c>
      <c r="O2275" s="5" t="s">
        <v>266</v>
      </c>
    </row>
    <row r="2276" spans="1:21" x14ac:dyDescent="0.2">
      <c r="A2276" s="5">
        <v>149</v>
      </c>
      <c r="B2276" s="8" t="s">
        <v>5924</v>
      </c>
      <c r="H2276" s="8" t="s">
        <v>5925</v>
      </c>
      <c r="I2276" s="8" t="s">
        <v>5925</v>
      </c>
      <c r="J2276" s="5">
        <v>0</v>
      </c>
      <c r="K2276" s="5" t="s">
        <v>21</v>
      </c>
      <c r="L2276" s="5" t="s">
        <v>4781</v>
      </c>
      <c r="M2276" s="5">
        <v>116</v>
      </c>
      <c r="N2276" s="5" t="s">
        <v>71</v>
      </c>
      <c r="O2276" s="5" t="s">
        <v>266</v>
      </c>
      <c r="Q2276" s="5" t="s">
        <v>553</v>
      </c>
      <c r="S2276" s="5" t="s">
        <v>1139</v>
      </c>
    </row>
    <row r="2277" spans="1:21" x14ac:dyDescent="0.2">
      <c r="A2277" s="5">
        <v>150</v>
      </c>
      <c r="B2277" s="8" t="s">
        <v>5926</v>
      </c>
      <c r="H2277" s="8" t="s">
        <v>5927</v>
      </c>
      <c r="I2277" s="8" t="s">
        <v>5927</v>
      </c>
      <c r="J2277" s="5">
        <v>0</v>
      </c>
      <c r="K2277" s="5" t="s">
        <v>21</v>
      </c>
      <c r="L2277" s="5" t="s">
        <v>4781</v>
      </c>
      <c r="M2277" s="5">
        <v>116</v>
      </c>
      <c r="N2277" s="5" t="s">
        <v>71</v>
      </c>
      <c r="O2277" s="5" t="s">
        <v>266</v>
      </c>
    </row>
    <row r="2278" spans="1:21" x14ac:dyDescent="0.2">
      <c r="A2278" s="5">
        <v>159</v>
      </c>
      <c r="B2278" s="8" t="s">
        <v>5928</v>
      </c>
      <c r="H2278" s="8" t="s">
        <v>5929</v>
      </c>
      <c r="I2278" s="8" t="s">
        <v>5930</v>
      </c>
      <c r="J2278" s="5">
        <v>70</v>
      </c>
      <c r="K2278" s="5" t="s">
        <v>21</v>
      </c>
      <c r="L2278" s="5" t="s">
        <v>4781</v>
      </c>
      <c r="M2278" s="5">
        <v>116</v>
      </c>
      <c r="N2278" s="5" t="s">
        <v>71</v>
      </c>
      <c r="O2278" s="5" t="s">
        <v>266</v>
      </c>
      <c r="Q2278" s="5" t="s">
        <v>553</v>
      </c>
    </row>
    <row r="2279" spans="1:21" x14ac:dyDescent="0.2">
      <c r="A2279" s="5">
        <v>131</v>
      </c>
      <c r="B2279" s="40" t="s">
        <v>5931</v>
      </c>
      <c r="H2279" s="8" t="s">
        <v>5932</v>
      </c>
      <c r="I2279" s="8" t="s">
        <v>5932</v>
      </c>
      <c r="J2279" s="5">
        <f>41-3-2-20-3-13+25-7-1</f>
        <v>17</v>
      </c>
      <c r="K2279" s="5" t="s">
        <v>21</v>
      </c>
      <c r="L2279" s="5" t="s">
        <v>4781</v>
      </c>
      <c r="M2279" s="5">
        <v>117</v>
      </c>
      <c r="N2279" s="5" t="s">
        <v>71</v>
      </c>
      <c r="O2279" s="5" t="s">
        <v>266</v>
      </c>
      <c r="Q2279" s="107" t="s">
        <v>5933</v>
      </c>
    </row>
    <row r="2280" spans="1:21" x14ac:dyDescent="0.2">
      <c r="A2280" s="5">
        <v>160</v>
      </c>
      <c r="B2280" s="8" t="s">
        <v>5934</v>
      </c>
      <c r="D2280" s="8" t="s">
        <v>524</v>
      </c>
      <c r="E2280" s="24">
        <v>43692</v>
      </c>
      <c r="F2280" s="8" t="s">
        <v>259</v>
      </c>
      <c r="G2280" s="8" t="s">
        <v>260</v>
      </c>
      <c r="H2280" s="8" t="s">
        <v>5935</v>
      </c>
      <c r="I2280" s="8" t="s">
        <v>5936</v>
      </c>
      <c r="J2280" s="5">
        <f>1-1+25-25+4</f>
        <v>4</v>
      </c>
      <c r="K2280" s="5" t="s">
        <v>21</v>
      </c>
      <c r="L2280" s="5" t="s">
        <v>4781</v>
      </c>
      <c r="M2280" s="5">
        <v>117</v>
      </c>
      <c r="N2280" s="5" t="s">
        <v>71</v>
      </c>
      <c r="O2280" s="5" t="s">
        <v>266</v>
      </c>
      <c r="Q2280" s="5" t="s">
        <v>5534</v>
      </c>
    </row>
    <row r="2281" spans="1:21" x14ac:dyDescent="0.2">
      <c r="A2281" s="5">
        <v>161</v>
      </c>
      <c r="B2281" s="8" t="s">
        <v>5931</v>
      </c>
      <c r="D2281" s="8" t="s">
        <v>524</v>
      </c>
      <c r="E2281" s="24">
        <v>43692</v>
      </c>
      <c r="F2281" s="8" t="s">
        <v>259</v>
      </c>
      <c r="G2281" s="8" t="s">
        <v>260</v>
      </c>
      <c r="H2281" s="8" t="s">
        <v>5937</v>
      </c>
      <c r="I2281" s="8" t="s">
        <v>5932</v>
      </c>
      <c r="J2281" s="5">
        <v>0</v>
      </c>
      <c r="K2281" s="5" t="s">
        <v>21</v>
      </c>
      <c r="L2281" s="5" t="s">
        <v>4781</v>
      </c>
      <c r="M2281" s="5">
        <v>117</v>
      </c>
      <c r="N2281" s="5" t="s">
        <v>71</v>
      </c>
      <c r="O2281" s="5" t="s">
        <v>266</v>
      </c>
      <c r="Q2281" s="5" t="s">
        <v>5530</v>
      </c>
    </row>
    <row r="2282" spans="1:21" x14ac:dyDescent="0.2">
      <c r="A2282" s="5">
        <v>162</v>
      </c>
      <c r="B2282" s="8" t="s">
        <v>5938</v>
      </c>
      <c r="D2282" s="8" t="s">
        <v>5939</v>
      </c>
      <c r="E2282" s="24">
        <v>43692</v>
      </c>
      <c r="F2282" s="8" t="s">
        <v>259</v>
      </c>
      <c r="G2282" s="8" t="s">
        <v>260</v>
      </c>
      <c r="H2282" s="8" t="s">
        <v>5940</v>
      </c>
      <c r="I2282" s="8" t="s">
        <v>5941</v>
      </c>
      <c r="J2282" s="5">
        <v>0</v>
      </c>
      <c r="K2282" s="5" t="s">
        <v>21</v>
      </c>
      <c r="L2282" s="5" t="s">
        <v>4781</v>
      </c>
      <c r="M2282" s="5">
        <v>117</v>
      </c>
      <c r="N2282" s="5" t="s">
        <v>71</v>
      </c>
      <c r="O2282" s="5" t="s">
        <v>266</v>
      </c>
      <c r="Q2282" s="5" t="s">
        <v>5942</v>
      </c>
    </row>
    <row r="2283" spans="1:21" x14ac:dyDescent="0.2">
      <c r="A2283" s="5">
        <v>163</v>
      </c>
      <c r="B2283" s="8" t="s">
        <v>5943</v>
      </c>
      <c r="C2283" s="8" t="s">
        <v>5944</v>
      </c>
      <c r="D2283" s="8" t="s">
        <v>524</v>
      </c>
      <c r="E2283" s="24">
        <v>43692</v>
      </c>
      <c r="F2283" s="8" t="s">
        <v>259</v>
      </c>
      <c r="G2283" s="8" t="s">
        <v>276</v>
      </c>
      <c r="H2283" s="8" t="s">
        <v>5945</v>
      </c>
      <c r="I2283" s="8" t="s">
        <v>5946</v>
      </c>
      <c r="J2283" s="5">
        <v>11</v>
      </c>
      <c r="K2283" s="5" t="s">
        <v>21</v>
      </c>
      <c r="L2283" s="5" t="s">
        <v>4781</v>
      </c>
      <c r="M2283" s="5">
        <v>117</v>
      </c>
      <c r="N2283" s="5" t="s">
        <v>71</v>
      </c>
      <c r="O2283" s="5" t="s">
        <v>266</v>
      </c>
      <c r="Q2283" s="5" t="s">
        <v>553</v>
      </c>
    </row>
    <row r="2284" spans="1:21" x14ac:dyDescent="0.2">
      <c r="A2284" s="5">
        <v>164</v>
      </c>
      <c r="B2284" s="8" t="s">
        <v>5947</v>
      </c>
      <c r="C2284" s="8" t="s">
        <v>5948</v>
      </c>
      <c r="D2284" s="8" t="s">
        <v>5949</v>
      </c>
      <c r="E2284" s="24">
        <v>43692</v>
      </c>
      <c r="F2284" s="8" t="s">
        <v>259</v>
      </c>
      <c r="G2284" s="8" t="s">
        <v>276</v>
      </c>
      <c r="H2284" s="8" t="s">
        <v>5950</v>
      </c>
      <c r="I2284" s="8" t="s">
        <v>5951</v>
      </c>
      <c r="J2284" s="5">
        <v>5</v>
      </c>
      <c r="K2284" s="5" t="s">
        <v>21</v>
      </c>
      <c r="L2284" s="5" t="s">
        <v>4781</v>
      </c>
      <c r="M2284" s="5">
        <v>118</v>
      </c>
      <c r="N2284" s="5" t="s">
        <v>71</v>
      </c>
      <c r="O2284" s="5" t="s">
        <v>266</v>
      </c>
      <c r="Q2284" s="5" t="s">
        <v>553</v>
      </c>
      <c r="S2284" s="5" t="s">
        <v>1139</v>
      </c>
      <c r="U2284" t="s">
        <v>321</v>
      </c>
    </row>
    <row r="2285" spans="1:21" x14ac:dyDescent="0.2">
      <c r="A2285" s="5">
        <v>165</v>
      </c>
      <c r="B2285" s="8" t="s">
        <v>5952</v>
      </c>
      <c r="C2285" s="8" t="s">
        <v>5801</v>
      </c>
      <c r="D2285" s="8" t="s">
        <v>524</v>
      </c>
      <c r="E2285" s="24">
        <v>43692</v>
      </c>
      <c r="F2285" s="8" t="s">
        <v>259</v>
      </c>
      <c r="G2285" s="8" t="s">
        <v>276</v>
      </c>
      <c r="H2285" s="8" t="s">
        <v>5953</v>
      </c>
      <c r="I2285" s="8" t="s">
        <v>5954</v>
      </c>
      <c r="J2285" s="5">
        <v>30</v>
      </c>
      <c r="K2285" s="5" t="s">
        <v>21</v>
      </c>
      <c r="L2285" s="5" t="s">
        <v>4781</v>
      </c>
      <c r="M2285" s="5">
        <v>118</v>
      </c>
      <c r="N2285" s="5" t="s">
        <v>71</v>
      </c>
      <c r="O2285" s="5" t="s">
        <v>266</v>
      </c>
    </row>
    <row r="2286" spans="1:21" x14ac:dyDescent="0.2">
      <c r="A2286" s="5"/>
      <c r="B2286" s="8" t="s">
        <v>5918</v>
      </c>
      <c r="H2286" s="8" t="s">
        <v>5920</v>
      </c>
      <c r="I2286" s="8" t="s">
        <v>5920</v>
      </c>
      <c r="J2286" s="5">
        <v>4</v>
      </c>
      <c r="K2286" s="5" t="s">
        <v>21</v>
      </c>
      <c r="L2286" s="5" t="s">
        <v>4781</v>
      </c>
      <c r="M2286" s="5">
        <v>118</v>
      </c>
      <c r="N2286" s="5" t="s">
        <v>71</v>
      </c>
    </row>
    <row r="2287" spans="1:21" x14ac:dyDescent="0.2">
      <c r="A2287" s="5">
        <v>167</v>
      </c>
      <c r="B2287" s="8" t="s">
        <v>5955</v>
      </c>
      <c r="D2287" s="8" t="s">
        <v>5956</v>
      </c>
      <c r="E2287" s="24">
        <v>43692</v>
      </c>
      <c r="F2287" s="8" t="s">
        <v>259</v>
      </c>
      <c r="G2287" s="8" t="s">
        <v>260</v>
      </c>
      <c r="H2287" s="8" t="s">
        <v>5957</v>
      </c>
      <c r="I2287" s="8" t="s">
        <v>5958</v>
      </c>
      <c r="J2287" s="5">
        <f>22-1-2-1-1+4+3-2</f>
        <v>22</v>
      </c>
      <c r="K2287" s="5" t="s">
        <v>21</v>
      </c>
      <c r="L2287" s="5" t="s">
        <v>4781</v>
      </c>
      <c r="M2287" s="5">
        <v>119</v>
      </c>
      <c r="N2287" s="5" t="s">
        <v>5586</v>
      </c>
      <c r="O2287" s="5" t="s">
        <v>266</v>
      </c>
      <c r="Q2287" s="5" t="s">
        <v>5959</v>
      </c>
    </row>
    <row r="2288" spans="1:21" x14ac:dyDescent="0.2">
      <c r="A2288" s="5"/>
      <c r="B2288" s="8" t="s">
        <v>5960</v>
      </c>
      <c r="H2288" s="8" t="s">
        <v>5961</v>
      </c>
      <c r="I2288" s="8" t="s">
        <v>5961</v>
      </c>
      <c r="J2288" s="5">
        <f>5+1</f>
        <v>6</v>
      </c>
      <c r="K2288" s="5" t="s">
        <v>21</v>
      </c>
      <c r="L2288" s="5" t="s">
        <v>4781</v>
      </c>
      <c r="M2288" s="5">
        <v>119</v>
      </c>
      <c r="N2288" s="5" t="s">
        <v>5586</v>
      </c>
      <c r="Q2288" s="107" t="s">
        <v>5962</v>
      </c>
      <c r="S2288" s="5" t="s">
        <v>1139</v>
      </c>
    </row>
    <row r="2289" spans="1:21" x14ac:dyDescent="0.2">
      <c r="A2289" s="5">
        <v>168</v>
      </c>
      <c r="B2289" s="8" t="s">
        <v>5963</v>
      </c>
      <c r="H2289" s="8" t="s">
        <v>5964</v>
      </c>
      <c r="I2289" s="8" t="s">
        <v>5965</v>
      </c>
      <c r="J2289" s="5">
        <v>8</v>
      </c>
      <c r="K2289" s="5" t="s">
        <v>21</v>
      </c>
      <c r="L2289" s="5" t="s">
        <v>4781</v>
      </c>
      <c r="M2289" s="5">
        <v>120</v>
      </c>
      <c r="N2289" s="5" t="s">
        <v>71</v>
      </c>
      <c r="O2289" s="5" t="s">
        <v>266</v>
      </c>
    </row>
    <row r="2290" spans="1:21" x14ac:dyDescent="0.2">
      <c r="A2290" s="5">
        <v>169</v>
      </c>
      <c r="B2290" s="8" t="s">
        <v>5924</v>
      </c>
      <c r="H2290" s="8" t="s">
        <v>5925</v>
      </c>
      <c r="I2290" s="8" t="s">
        <v>5966</v>
      </c>
      <c r="J2290" s="5">
        <v>22</v>
      </c>
      <c r="K2290" s="5" t="s">
        <v>21</v>
      </c>
      <c r="L2290" s="5" t="s">
        <v>4781</v>
      </c>
      <c r="M2290" s="5">
        <v>120</v>
      </c>
      <c r="N2290" s="5" t="s">
        <v>71</v>
      </c>
      <c r="O2290" s="5" t="s">
        <v>266</v>
      </c>
      <c r="Q2290" s="5" t="s">
        <v>553</v>
      </c>
      <c r="S2290" s="5" t="s">
        <v>1139</v>
      </c>
    </row>
    <row r="2291" spans="1:21" x14ac:dyDescent="0.2">
      <c r="A2291" s="5">
        <v>170</v>
      </c>
      <c r="B2291" s="8" t="s">
        <v>5967</v>
      </c>
      <c r="H2291" s="8" t="s">
        <v>5968</v>
      </c>
      <c r="I2291" s="8" t="s">
        <v>5968</v>
      </c>
      <c r="J2291" s="5">
        <v>25</v>
      </c>
      <c r="K2291" s="5" t="s">
        <v>21</v>
      </c>
      <c r="L2291" s="5" t="s">
        <v>4781</v>
      </c>
      <c r="M2291" s="5">
        <v>120</v>
      </c>
      <c r="N2291" s="5" t="s">
        <v>71</v>
      </c>
      <c r="O2291" s="5" t="s">
        <v>266</v>
      </c>
      <c r="R2291" s="6"/>
      <c r="S2291" s="6"/>
      <c r="U2291" t="s">
        <v>321</v>
      </c>
    </row>
    <row r="2292" spans="1:21" x14ac:dyDescent="0.2">
      <c r="A2292" s="5"/>
      <c r="B2292" s="8" t="s">
        <v>5969</v>
      </c>
      <c r="H2292" s="8" t="s">
        <v>5460</v>
      </c>
      <c r="I2292" s="8" t="s">
        <v>5460</v>
      </c>
      <c r="J2292" s="5">
        <v>20</v>
      </c>
      <c r="K2292" s="5" t="s">
        <v>292</v>
      </c>
      <c r="L2292" s="5" t="s">
        <v>5970</v>
      </c>
      <c r="M2292" s="5">
        <v>1</v>
      </c>
      <c r="N2292" s="5" t="s">
        <v>5971</v>
      </c>
      <c r="O2292" s="5" t="s">
        <v>574</v>
      </c>
      <c r="Q2292" s="10"/>
      <c r="R2292" s="6"/>
      <c r="S2292" s="6"/>
    </row>
    <row r="2293" spans="1:21" x14ac:dyDescent="0.2">
      <c r="A2293" s="5"/>
      <c r="B2293" s="8" t="s">
        <v>5972</v>
      </c>
      <c r="H2293" s="8" t="s">
        <v>5475</v>
      </c>
      <c r="I2293" s="8" t="s">
        <v>5475</v>
      </c>
      <c r="J2293" s="5">
        <f>171</f>
        <v>171</v>
      </c>
      <c r="K2293" s="5" t="s">
        <v>292</v>
      </c>
      <c r="L2293" s="5" t="s">
        <v>5970</v>
      </c>
      <c r="M2293" s="5">
        <v>1</v>
      </c>
      <c r="N2293" s="5" t="s">
        <v>5971</v>
      </c>
      <c r="Q2293" s="10"/>
      <c r="R2293" s="6"/>
      <c r="S2293" s="6"/>
    </row>
    <row r="2294" spans="1:21" x14ac:dyDescent="0.2">
      <c r="A2294" s="5"/>
      <c r="B2294" s="8" t="s">
        <v>5973</v>
      </c>
      <c r="H2294" s="8" t="s">
        <v>5974</v>
      </c>
      <c r="I2294" s="8" t="s">
        <v>5975</v>
      </c>
      <c r="J2294" s="5">
        <v>23</v>
      </c>
      <c r="K2294" s="5" t="s">
        <v>292</v>
      </c>
      <c r="L2294" s="5" t="s">
        <v>5970</v>
      </c>
      <c r="M2294" s="5">
        <v>2</v>
      </c>
      <c r="N2294" s="5" t="s">
        <v>81</v>
      </c>
      <c r="Q2294" s="10"/>
      <c r="R2294" s="6"/>
      <c r="S2294" s="6"/>
    </row>
    <row r="2295" spans="1:21" x14ac:dyDescent="0.2">
      <c r="A2295" s="5"/>
      <c r="B2295" s="8" t="s">
        <v>5976</v>
      </c>
      <c r="H2295" s="8" t="s">
        <v>5977</v>
      </c>
      <c r="I2295" s="8" t="s">
        <v>5977</v>
      </c>
      <c r="J2295" s="5">
        <f>356+38-5-33-82</f>
        <v>274</v>
      </c>
      <c r="K2295" s="5" t="s">
        <v>292</v>
      </c>
      <c r="L2295" s="5" t="s">
        <v>5970</v>
      </c>
      <c r="M2295" s="5">
        <v>2</v>
      </c>
      <c r="N2295" s="5" t="s">
        <v>81</v>
      </c>
      <c r="Q2295" s="10"/>
      <c r="R2295" s="6"/>
      <c r="S2295" s="6"/>
    </row>
    <row r="2296" spans="1:21" x14ac:dyDescent="0.2">
      <c r="A2296" s="5"/>
      <c r="B2296" s="8" t="s">
        <v>5978</v>
      </c>
      <c r="H2296" s="8" t="s">
        <v>5979</v>
      </c>
      <c r="I2296" s="8" t="s">
        <v>5979</v>
      </c>
      <c r="J2296" s="5">
        <v>925</v>
      </c>
      <c r="K2296" s="5" t="s">
        <v>292</v>
      </c>
      <c r="L2296" s="5" t="s">
        <v>5970</v>
      </c>
      <c r="M2296" s="5">
        <v>3</v>
      </c>
      <c r="N2296" s="5" t="s">
        <v>81</v>
      </c>
      <c r="Q2296" s="10"/>
      <c r="R2296" s="6"/>
      <c r="S2296" s="6"/>
    </row>
    <row r="2297" spans="1:21" x14ac:dyDescent="0.2">
      <c r="A2297" s="5"/>
      <c r="B2297" s="8" t="s">
        <v>5980</v>
      </c>
      <c r="H2297" s="8" t="s">
        <v>5981</v>
      </c>
      <c r="I2297" s="8" t="s">
        <v>5981</v>
      </c>
      <c r="J2297" s="5">
        <v>527</v>
      </c>
      <c r="K2297" s="5" t="s">
        <v>292</v>
      </c>
      <c r="L2297" s="5" t="s">
        <v>5970</v>
      </c>
      <c r="M2297" s="5">
        <v>3</v>
      </c>
      <c r="N2297" s="5" t="s">
        <v>81</v>
      </c>
      <c r="Q2297" s="10"/>
      <c r="R2297" s="6"/>
      <c r="S2297" s="6"/>
    </row>
    <row r="2298" spans="1:21" x14ac:dyDescent="0.2">
      <c r="A2298" s="5"/>
      <c r="B2298" s="8" t="s">
        <v>5982</v>
      </c>
      <c r="H2298" s="8" t="s">
        <v>5979</v>
      </c>
      <c r="I2298" s="8" t="s">
        <v>5979</v>
      </c>
      <c r="J2298" s="5">
        <v>134</v>
      </c>
      <c r="K2298" s="5" t="s">
        <v>292</v>
      </c>
      <c r="L2298" s="5" t="s">
        <v>5970</v>
      </c>
      <c r="M2298" s="5">
        <v>3</v>
      </c>
      <c r="N2298" s="5" t="s">
        <v>81</v>
      </c>
      <c r="Q2298" s="10"/>
      <c r="R2298" s="6"/>
      <c r="S2298" s="6"/>
    </row>
    <row r="2299" spans="1:21" x14ac:dyDescent="0.2">
      <c r="A2299" s="5"/>
      <c r="B2299" s="8" t="s">
        <v>5983</v>
      </c>
      <c r="H2299" s="8" t="s">
        <v>5981</v>
      </c>
      <c r="I2299" s="8" t="s">
        <v>5981</v>
      </c>
      <c r="J2299" s="5">
        <f>103-100</f>
        <v>3</v>
      </c>
      <c r="K2299" s="5" t="s">
        <v>292</v>
      </c>
      <c r="L2299" s="5" t="s">
        <v>5970</v>
      </c>
      <c r="M2299" s="5">
        <v>3</v>
      </c>
      <c r="N2299" s="5" t="s">
        <v>81</v>
      </c>
      <c r="Q2299" s="10"/>
      <c r="R2299" s="6"/>
      <c r="S2299" s="6"/>
    </row>
    <row r="2300" spans="1:21" x14ac:dyDescent="0.2">
      <c r="A2300" s="5"/>
      <c r="B2300" s="8" t="s">
        <v>5984</v>
      </c>
      <c r="H2300" s="8" t="s">
        <v>5981</v>
      </c>
      <c r="I2300" s="8" t="s">
        <v>5981</v>
      </c>
      <c r="J2300" s="5">
        <v>99</v>
      </c>
      <c r="K2300" s="5" t="s">
        <v>292</v>
      </c>
      <c r="L2300" s="5" t="s">
        <v>5970</v>
      </c>
      <c r="M2300" s="5">
        <v>3</v>
      </c>
      <c r="N2300" s="5" t="s">
        <v>81</v>
      </c>
      <c r="Q2300" s="10"/>
      <c r="R2300" s="6"/>
      <c r="S2300" s="6"/>
    </row>
    <row r="2301" spans="1:21" x14ac:dyDescent="0.2">
      <c r="A2301" s="5"/>
      <c r="B2301" s="8" t="s">
        <v>5985</v>
      </c>
      <c r="H2301" s="8" t="s">
        <v>5979</v>
      </c>
      <c r="I2301" s="8" t="s">
        <v>5979</v>
      </c>
      <c r="J2301" s="5">
        <v>98</v>
      </c>
      <c r="K2301" s="5" t="s">
        <v>292</v>
      </c>
      <c r="L2301" s="5" t="s">
        <v>5970</v>
      </c>
      <c r="M2301" s="5">
        <v>3</v>
      </c>
      <c r="N2301" s="5" t="s">
        <v>81</v>
      </c>
      <c r="Q2301" s="10"/>
      <c r="R2301" s="6"/>
      <c r="S2301" s="6"/>
    </row>
    <row r="2302" spans="1:21" x14ac:dyDescent="0.2">
      <c r="A2302" s="5"/>
      <c r="B2302" s="8" t="s">
        <v>5986</v>
      </c>
      <c r="H2302" s="8" t="s">
        <v>5981</v>
      </c>
      <c r="I2302" s="8" t="s">
        <v>5981</v>
      </c>
      <c r="J2302" s="5">
        <v>78</v>
      </c>
      <c r="K2302" s="5" t="s">
        <v>292</v>
      </c>
      <c r="L2302" s="5" t="s">
        <v>5970</v>
      </c>
      <c r="M2302" s="5">
        <v>3</v>
      </c>
      <c r="N2302" s="5" t="s">
        <v>81</v>
      </c>
      <c r="Q2302" s="10"/>
      <c r="R2302" s="6"/>
      <c r="S2302" s="6"/>
    </row>
    <row r="2303" spans="1:21" x14ac:dyDescent="0.2">
      <c r="A2303" s="5"/>
      <c r="B2303" s="8" t="s">
        <v>5987</v>
      </c>
      <c r="H2303" s="8" t="s">
        <v>5981</v>
      </c>
      <c r="I2303" s="8" t="s">
        <v>5981</v>
      </c>
      <c r="J2303" s="5">
        <v>10</v>
      </c>
      <c r="K2303" s="5" t="s">
        <v>292</v>
      </c>
      <c r="L2303" s="5" t="s">
        <v>5970</v>
      </c>
      <c r="M2303" s="5">
        <v>3</v>
      </c>
      <c r="N2303" s="5" t="s">
        <v>81</v>
      </c>
      <c r="Q2303" s="10"/>
      <c r="R2303" s="6"/>
      <c r="S2303" s="6"/>
    </row>
    <row r="2304" spans="1:21" x14ac:dyDescent="0.2">
      <c r="A2304" s="5"/>
      <c r="B2304" s="8" t="s">
        <v>5988</v>
      </c>
      <c r="H2304" s="8" t="s">
        <v>5977</v>
      </c>
      <c r="I2304" s="8" t="s">
        <v>5977</v>
      </c>
      <c r="J2304" s="5">
        <v>42</v>
      </c>
      <c r="K2304" s="5" t="s">
        <v>292</v>
      </c>
      <c r="L2304" s="5" t="s">
        <v>5970</v>
      </c>
      <c r="M2304" s="5">
        <v>3</v>
      </c>
      <c r="N2304" s="5" t="s">
        <v>81</v>
      </c>
      <c r="Q2304" s="10"/>
      <c r="R2304" s="6"/>
      <c r="S2304" s="6"/>
    </row>
    <row r="2305" spans="1:21" x14ac:dyDescent="0.2">
      <c r="A2305" s="5"/>
      <c r="B2305" s="8" t="s">
        <v>5989</v>
      </c>
      <c r="H2305" s="8" t="s">
        <v>5977</v>
      </c>
      <c r="I2305" s="8" t="s">
        <v>5977</v>
      </c>
      <c r="J2305" s="5">
        <v>43</v>
      </c>
      <c r="K2305" s="5" t="s">
        <v>292</v>
      </c>
      <c r="L2305" s="5" t="s">
        <v>5970</v>
      </c>
      <c r="M2305" s="5">
        <v>3</v>
      </c>
      <c r="N2305" s="5" t="s">
        <v>81</v>
      </c>
      <c r="Q2305" s="10"/>
      <c r="R2305" s="6"/>
      <c r="S2305" s="6"/>
    </row>
    <row r="2306" spans="1:21" x14ac:dyDescent="0.2">
      <c r="A2306" s="5"/>
      <c r="B2306" s="8" t="s">
        <v>5990</v>
      </c>
      <c r="H2306" s="8" t="s">
        <v>5991</v>
      </c>
      <c r="I2306" s="8" t="s">
        <v>5991</v>
      </c>
      <c r="J2306" s="5">
        <v>66</v>
      </c>
      <c r="K2306" s="5" t="s">
        <v>292</v>
      </c>
      <c r="L2306" s="5" t="s">
        <v>5970</v>
      </c>
      <c r="M2306" s="5">
        <v>3</v>
      </c>
      <c r="N2306" s="5" t="s">
        <v>81</v>
      </c>
      <c r="Q2306" s="10"/>
      <c r="R2306" s="6"/>
      <c r="S2306" s="6"/>
    </row>
    <row r="2307" spans="1:21" x14ac:dyDescent="0.2">
      <c r="A2307" s="5"/>
      <c r="B2307" s="8" t="s">
        <v>5992</v>
      </c>
      <c r="H2307" s="8" t="s">
        <v>5981</v>
      </c>
      <c r="I2307" s="8" t="s">
        <v>5981</v>
      </c>
      <c r="J2307" s="5">
        <v>408</v>
      </c>
      <c r="K2307" s="5" t="s">
        <v>292</v>
      </c>
      <c r="L2307" s="5" t="s">
        <v>5970</v>
      </c>
      <c r="M2307" s="5">
        <v>3</v>
      </c>
      <c r="N2307" s="5" t="s">
        <v>81</v>
      </c>
      <c r="Q2307" s="10"/>
      <c r="R2307" s="6"/>
      <c r="S2307" s="6"/>
    </row>
    <row r="2308" spans="1:21" x14ac:dyDescent="0.2">
      <c r="A2308" s="5"/>
      <c r="B2308" s="8" t="s">
        <v>5993</v>
      </c>
      <c r="H2308" s="8" t="s">
        <v>5994</v>
      </c>
      <c r="I2308" s="8" t="s">
        <v>5994</v>
      </c>
      <c r="J2308" s="5">
        <v>348</v>
      </c>
      <c r="K2308" s="5" t="s">
        <v>292</v>
      </c>
      <c r="L2308" s="5" t="s">
        <v>5970</v>
      </c>
      <c r="M2308" s="5">
        <v>3</v>
      </c>
      <c r="N2308" s="5" t="s">
        <v>81</v>
      </c>
      <c r="Q2308" s="10"/>
      <c r="R2308" s="6"/>
      <c r="S2308" s="6"/>
    </row>
    <row r="2309" spans="1:21" x14ac:dyDescent="0.2">
      <c r="A2309" s="5"/>
      <c r="B2309" s="8" t="s">
        <v>5995</v>
      </c>
      <c r="H2309" s="8" t="s">
        <v>5981</v>
      </c>
      <c r="I2309" s="8" t="s">
        <v>5981</v>
      </c>
      <c r="J2309" s="5">
        <v>26</v>
      </c>
      <c r="K2309" s="5" t="s">
        <v>292</v>
      </c>
      <c r="L2309" s="5" t="s">
        <v>5970</v>
      </c>
      <c r="M2309" s="5">
        <v>3</v>
      </c>
      <c r="N2309" s="5" t="s">
        <v>81</v>
      </c>
      <c r="Q2309" s="10"/>
      <c r="R2309" s="6"/>
      <c r="S2309" s="6"/>
      <c r="U2309" t="s">
        <v>321</v>
      </c>
    </row>
    <row r="2310" spans="1:21" x14ac:dyDescent="0.2">
      <c r="A2310" s="5"/>
      <c r="B2310" s="8" t="s">
        <v>5996</v>
      </c>
      <c r="H2310" s="8" t="s">
        <v>5997</v>
      </c>
      <c r="I2310" s="8" t="s">
        <v>5997</v>
      </c>
      <c r="J2310" s="5">
        <v>322</v>
      </c>
      <c r="K2310" s="5" t="s">
        <v>292</v>
      </c>
      <c r="L2310" s="5" t="s">
        <v>5970</v>
      </c>
      <c r="M2310" s="5">
        <v>4</v>
      </c>
      <c r="N2310" s="5" t="s">
        <v>81</v>
      </c>
      <c r="Q2310" s="10"/>
      <c r="R2310" s="6"/>
      <c r="S2310" s="6"/>
    </row>
    <row r="2311" spans="1:21" x14ac:dyDescent="0.2">
      <c r="A2311" s="5"/>
      <c r="B2311" s="8" t="s">
        <v>5998</v>
      </c>
      <c r="H2311" s="8" t="s">
        <v>5999</v>
      </c>
      <c r="I2311" s="8" t="s">
        <v>5999</v>
      </c>
      <c r="J2311" s="5">
        <v>254</v>
      </c>
      <c r="K2311" s="5" t="s">
        <v>292</v>
      </c>
      <c r="L2311" s="5" t="s">
        <v>5970</v>
      </c>
      <c r="M2311" s="5">
        <v>4</v>
      </c>
      <c r="N2311" s="5" t="s">
        <v>81</v>
      </c>
      <c r="Q2311" s="10"/>
      <c r="R2311" s="6"/>
      <c r="S2311" s="6"/>
    </row>
    <row r="2312" spans="1:21" x14ac:dyDescent="0.2">
      <c r="A2312" s="5"/>
      <c r="B2312" s="8" t="s">
        <v>6000</v>
      </c>
      <c r="H2312" s="8" t="s">
        <v>6001</v>
      </c>
      <c r="I2312" s="8" t="s">
        <v>6001</v>
      </c>
      <c r="J2312" s="5">
        <v>93</v>
      </c>
      <c r="K2312" s="5" t="s">
        <v>292</v>
      </c>
      <c r="L2312" s="5" t="s">
        <v>5970</v>
      </c>
      <c r="M2312" s="5">
        <v>4</v>
      </c>
      <c r="N2312" s="5" t="s">
        <v>81</v>
      </c>
      <c r="Q2312" s="10"/>
      <c r="R2312" s="6"/>
      <c r="S2312" s="6"/>
    </row>
    <row r="2313" spans="1:21" x14ac:dyDescent="0.2">
      <c r="A2313" s="5"/>
      <c r="B2313" s="8" t="s">
        <v>6002</v>
      </c>
      <c r="H2313" s="8" t="s">
        <v>5974</v>
      </c>
      <c r="I2313" s="8" t="s">
        <v>5974</v>
      </c>
      <c r="J2313" s="5">
        <v>14</v>
      </c>
      <c r="K2313" s="5" t="s">
        <v>292</v>
      </c>
      <c r="L2313" s="5" t="s">
        <v>5970</v>
      </c>
      <c r="M2313" s="5">
        <v>5</v>
      </c>
      <c r="N2313" s="5" t="s">
        <v>81</v>
      </c>
      <c r="Q2313" s="10"/>
      <c r="R2313" s="6"/>
      <c r="S2313" s="6"/>
    </row>
    <row r="2314" spans="1:21" x14ac:dyDescent="0.2">
      <c r="A2314" s="5"/>
      <c r="B2314" s="8" t="s">
        <v>6003</v>
      </c>
      <c r="H2314" s="8" t="s">
        <v>5997</v>
      </c>
      <c r="I2314" s="8" t="s">
        <v>5997</v>
      </c>
      <c r="J2314" s="5">
        <v>100</v>
      </c>
      <c r="K2314" s="5" t="s">
        <v>292</v>
      </c>
      <c r="L2314" s="5" t="s">
        <v>5970</v>
      </c>
      <c r="M2314" s="5">
        <v>6</v>
      </c>
      <c r="N2314" s="5" t="s">
        <v>81</v>
      </c>
      <c r="Q2314" s="10"/>
      <c r="R2314" s="6"/>
      <c r="S2314" s="6"/>
    </row>
    <row r="2315" spans="1:21" x14ac:dyDescent="0.2">
      <c r="A2315" s="5"/>
      <c r="B2315" s="8" t="s">
        <v>6004</v>
      </c>
      <c r="H2315" s="8" t="s">
        <v>6005</v>
      </c>
      <c r="I2315" s="8" t="s">
        <v>6005</v>
      </c>
      <c r="J2315" s="5">
        <v>83</v>
      </c>
      <c r="K2315" s="5" t="s">
        <v>292</v>
      </c>
      <c r="L2315" s="5" t="s">
        <v>5970</v>
      </c>
      <c r="M2315" s="5">
        <v>7</v>
      </c>
      <c r="N2315" s="5" t="s">
        <v>81</v>
      </c>
      <c r="Q2315" s="10"/>
      <c r="R2315" s="6"/>
      <c r="S2315" s="6"/>
    </row>
    <row r="2316" spans="1:21" x14ac:dyDescent="0.2">
      <c r="A2316" s="5"/>
      <c r="B2316" s="8" t="s">
        <v>6006</v>
      </c>
      <c r="H2316" s="8" t="s">
        <v>6007</v>
      </c>
      <c r="I2316" s="8" t="s">
        <v>6007</v>
      </c>
      <c r="J2316" s="5">
        <v>84</v>
      </c>
      <c r="K2316" s="5" t="s">
        <v>292</v>
      </c>
      <c r="L2316" s="5" t="s">
        <v>5970</v>
      </c>
      <c r="M2316" s="5">
        <v>7</v>
      </c>
      <c r="N2316" s="5" t="s">
        <v>81</v>
      </c>
      <c r="Q2316" s="10"/>
      <c r="R2316" s="6"/>
      <c r="S2316" s="6"/>
    </row>
    <row r="2317" spans="1:21" x14ac:dyDescent="0.2">
      <c r="A2317" s="5"/>
      <c r="B2317" s="8" t="s">
        <v>6008</v>
      </c>
      <c r="H2317" s="8" t="s">
        <v>6009</v>
      </c>
      <c r="I2317" s="8" t="s">
        <v>6009</v>
      </c>
      <c r="J2317" s="5">
        <v>100</v>
      </c>
      <c r="K2317" s="5" t="s">
        <v>292</v>
      </c>
      <c r="L2317" s="5" t="s">
        <v>5970</v>
      </c>
      <c r="M2317" s="5">
        <v>7</v>
      </c>
      <c r="N2317" s="5" t="s">
        <v>81</v>
      </c>
      <c r="Q2317" s="10"/>
      <c r="R2317" s="6"/>
      <c r="S2317" s="6"/>
    </row>
    <row r="2318" spans="1:21" x14ac:dyDescent="0.2">
      <c r="A2318" s="5"/>
      <c r="B2318" s="8" t="s">
        <v>6010</v>
      </c>
      <c r="H2318" s="8" t="s">
        <v>5981</v>
      </c>
      <c r="I2318" s="8" t="s">
        <v>5981</v>
      </c>
      <c r="J2318" s="5">
        <f>7</f>
        <v>7</v>
      </c>
      <c r="K2318" s="5" t="s">
        <v>292</v>
      </c>
      <c r="L2318" s="5" t="s">
        <v>5970</v>
      </c>
      <c r="M2318" s="5">
        <v>7</v>
      </c>
      <c r="N2318" s="5" t="s">
        <v>81</v>
      </c>
      <c r="Q2318" s="10"/>
      <c r="R2318" s="6"/>
      <c r="S2318" s="6"/>
      <c r="U2318" t="s">
        <v>321</v>
      </c>
    </row>
    <row r="2319" spans="1:21" x14ac:dyDescent="0.2">
      <c r="A2319" s="5"/>
      <c r="B2319" s="8" t="s">
        <v>6011</v>
      </c>
      <c r="H2319" s="8" t="s">
        <v>6012</v>
      </c>
      <c r="I2319" s="8" t="s">
        <v>6012</v>
      </c>
      <c r="J2319" s="5">
        <f>222-18+15-8-18-169-24</f>
        <v>0</v>
      </c>
      <c r="K2319" s="5" t="s">
        <v>21</v>
      </c>
      <c r="L2319" s="5" t="s">
        <v>5970</v>
      </c>
      <c r="M2319" s="5">
        <v>8</v>
      </c>
      <c r="Q2319" s="10"/>
      <c r="R2319" s="6"/>
      <c r="S2319" s="6"/>
    </row>
    <row r="2320" spans="1:21" x14ac:dyDescent="0.2">
      <c r="A2320" s="5"/>
      <c r="B2320" s="8" t="s">
        <v>6013</v>
      </c>
      <c r="H2320" s="8" t="s">
        <v>6012</v>
      </c>
      <c r="I2320" s="8" t="s">
        <v>6012</v>
      </c>
      <c r="J2320" s="5">
        <f>130-10-10-10-40</f>
        <v>60</v>
      </c>
      <c r="K2320" s="5" t="s">
        <v>21</v>
      </c>
      <c r="L2320" s="5" t="s">
        <v>5970</v>
      </c>
      <c r="M2320" s="5">
        <v>8</v>
      </c>
      <c r="Q2320" s="10"/>
      <c r="R2320" s="6"/>
      <c r="S2320" s="6"/>
    </row>
    <row r="2321" spans="1:19" x14ac:dyDescent="0.2">
      <c r="A2321" s="5"/>
      <c r="B2321" s="8" t="s">
        <v>6014</v>
      </c>
      <c r="H2321" s="8" t="s">
        <v>6015</v>
      </c>
      <c r="I2321" s="8" t="s">
        <v>6015</v>
      </c>
      <c r="J2321" s="5">
        <f>97</f>
        <v>97</v>
      </c>
      <c r="K2321" s="5" t="s">
        <v>21</v>
      </c>
      <c r="L2321" s="5" t="s">
        <v>5970</v>
      </c>
      <c r="M2321" s="5">
        <v>8</v>
      </c>
      <c r="Q2321" s="10"/>
      <c r="R2321" s="6"/>
      <c r="S2321" s="6"/>
    </row>
    <row r="2322" spans="1:19" x14ac:dyDescent="0.2">
      <c r="A2322" s="5"/>
      <c r="B2322" s="8" t="s">
        <v>6016</v>
      </c>
      <c r="H2322" s="8" t="s">
        <v>6017</v>
      </c>
      <c r="I2322" s="8" t="s">
        <v>6017</v>
      </c>
      <c r="J2322" s="5">
        <f>76</f>
        <v>76</v>
      </c>
      <c r="K2322" s="5" t="s">
        <v>292</v>
      </c>
      <c r="L2322" s="5" t="s">
        <v>5970</v>
      </c>
      <c r="M2322" s="5">
        <v>8</v>
      </c>
      <c r="N2322" s="5" t="s">
        <v>81</v>
      </c>
      <c r="Q2322" s="107" t="s">
        <v>6018</v>
      </c>
      <c r="R2322" s="6"/>
      <c r="S2322" s="6"/>
    </row>
    <row r="2323" spans="1:19" x14ac:dyDescent="0.2">
      <c r="A2323" s="5"/>
      <c r="B2323" s="8" t="s">
        <v>6019</v>
      </c>
      <c r="H2323" s="8" t="s">
        <v>6017</v>
      </c>
      <c r="I2323" s="8" t="s">
        <v>6017</v>
      </c>
      <c r="J2323" s="5">
        <f>93</f>
        <v>93</v>
      </c>
      <c r="K2323" s="5" t="s">
        <v>292</v>
      </c>
      <c r="L2323" s="5" t="s">
        <v>5970</v>
      </c>
      <c r="M2323" s="5">
        <v>9</v>
      </c>
      <c r="N2323" s="5" t="s">
        <v>81</v>
      </c>
      <c r="Q2323" s="107" t="s">
        <v>6018</v>
      </c>
      <c r="R2323" s="6"/>
      <c r="S2323" s="6"/>
    </row>
    <row r="2324" spans="1:19" x14ac:dyDescent="0.2">
      <c r="A2324" s="5"/>
      <c r="B2324" s="8" t="s">
        <v>6020</v>
      </c>
      <c r="H2324" s="8" t="s">
        <v>6021</v>
      </c>
      <c r="I2324" s="8" t="s">
        <v>6021</v>
      </c>
      <c r="J2324" s="5">
        <f>84</f>
        <v>84</v>
      </c>
      <c r="K2324" s="5" t="s">
        <v>292</v>
      </c>
      <c r="L2324" s="5" t="s">
        <v>5970</v>
      </c>
      <c r="M2324" s="5">
        <v>9</v>
      </c>
      <c r="N2324" s="5" t="s">
        <v>81</v>
      </c>
      <c r="Q2324" s="107" t="s">
        <v>6022</v>
      </c>
      <c r="R2324" s="6"/>
      <c r="S2324" s="6"/>
    </row>
    <row r="2325" spans="1:19" x14ac:dyDescent="0.2">
      <c r="A2325" s="5"/>
      <c r="B2325" s="8" t="s">
        <v>6023</v>
      </c>
      <c r="I2325" s="8" t="s">
        <v>6024</v>
      </c>
      <c r="J2325" s="5">
        <f>100-21-22-13-4+5-13-10</f>
        <v>22</v>
      </c>
      <c r="K2325" s="5" t="s">
        <v>292</v>
      </c>
      <c r="L2325" s="5" t="s">
        <v>5970</v>
      </c>
      <c r="M2325" s="5">
        <v>9</v>
      </c>
      <c r="Q2325" s="107"/>
      <c r="R2325" s="6"/>
      <c r="S2325" s="6"/>
    </row>
    <row r="2326" spans="1:19" x14ac:dyDescent="0.2">
      <c r="A2326" s="5"/>
      <c r="B2326" s="8" t="s">
        <v>6025</v>
      </c>
      <c r="H2326" s="8" t="s">
        <v>6026</v>
      </c>
      <c r="I2326" s="8" t="s">
        <v>6026</v>
      </c>
      <c r="J2326" s="5">
        <v>729</v>
      </c>
      <c r="K2326" s="5" t="s">
        <v>292</v>
      </c>
      <c r="L2326" s="5" t="s">
        <v>5970</v>
      </c>
      <c r="M2326" s="5">
        <v>10</v>
      </c>
      <c r="N2326" s="5" t="s">
        <v>81</v>
      </c>
      <c r="Q2326" s="10"/>
      <c r="R2326" s="6"/>
      <c r="S2326" s="6"/>
    </row>
    <row r="2327" spans="1:19" x14ac:dyDescent="0.2">
      <c r="A2327" s="5"/>
      <c r="B2327" s="8" t="s">
        <v>6027</v>
      </c>
      <c r="H2327" s="8" t="s">
        <v>6028</v>
      </c>
      <c r="I2327" s="8" t="s">
        <v>6028</v>
      </c>
      <c r="J2327" s="5">
        <v>7000</v>
      </c>
      <c r="K2327" s="5" t="s">
        <v>292</v>
      </c>
      <c r="L2327" s="5" t="s">
        <v>5970</v>
      </c>
      <c r="M2327" s="5">
        <v>10</v>
      </c>
      <c r="N2327" s="5" t="s">
        <v>81</v>
      </c>
      <c r="Q2327" s="10"/>
      <c r="R2327" s="6"/>
      <c r="S2327" s="6"/>
    </row>
    <row r="2328" spans="1:19" x14ac:dyDescent="0.2">
      <c r="A2328" s="5"/>
      <c r="B2328" s="8" t="s">
        <v>6029</v>
      </c>
      <c r="H2328" s="8" t="s">
        <v>6009</v>
      </c>
      <c r="I2328" s="8" t="s">
        <v>6009</v>
      </c>
      <c r="J2328" s="5">
        <v>81</v>
      </c>
      <c r="K2328" s="5" t="s">
        <v>292</v>
      </c>
      <c r="L2328" s="5" t="s">
        <v>5970</v>
      </c>
      <c r="M2328" s="5">
        <v>10</v>
      </c>
      <c r="N2328" s="5" t="s">
        <v>20</v>
      </c>
      <c r="Q2328" s="10"/>
      <c r="R2328" s="6"/>
      <c r="S2328" s="6"/>
    </row>
    <row r="2329" spans="1:19" x14ac:dyDescent="0.2">
      <c r="A2329" s="5"/>
      <c r="B2329" s="8" t="s">
        <v>6030</v>
      </c>
      <c r="H2329" s="8" t="s">
        <v>5997</v>
      </c>
      <c r="I2329" s="8" t="s">
        <v>5997</v>
      </c>
      <c r="J2329" s="5">
        <v>225</v>
      </c>
      <c r="K2329" s="5" t="s">
        <v>292</v>
      </c>
      <c r="L2329" s="5" t="s">
        <v>5970</v>
      </c>
      <c r="M2329" s="5">
        <v>11</v>
      </c>
      <c r="N2329" s="5" t="s">
        <v>81</v>
      </c>
      <c r="Q2329" s="10"/>
      <c r="R2329" s="6"/>
      <c r="S2329" s="6"/>
    </row>
    <row r="2330" spans="1:19" x14ac:dyDescent="0.2">
      <c r="A2330" s="5"/>
      <c r="B2330" s="8" t="s">
        <v>6031</v>
      </c>
      <c r="H2330" s="8" t="s">
        <v>6032</v>
      </c>
      <c r="I2330" s="8" t="s">
        <v>6032</v>
      </c>
      <c r="J2330" s="5">
        <v>1181</v>
      </c>
      <c r="K2330" s="5" t="s">
        <v>292</v>
      </c>
      <c r="L2330" s="5" t="s">
        <v>5970</v>
      </c>
      <c r="M2330" s="5">
        <v>11</v>
      </c>
      <c r="N2330" s="5" t="s">
        <v>81</v>
      </c>
      <c r="Q2330" s="10"/>
      <c r="R2330" s="6"/>
      <c r="S2330" s="6"/>
    </row>
    <row r="2331" spans="1:19" x14ac:dyDescent="0.2">
      <c r="A2331" s="5"/>
      <c r="B2331" s="8" t="s">
        <v>6033</v>
      </c>
      <c r="H2331" s="8" t="s">
        <v>5981</v>
      </c>
      <c r="I2331" s="8" t="s">
        <v>5981</v>
      </c>
      <c r="J2331" s="5">
        <v>37</v>
      </c>
      <c r="K2331" s="5" t="s">
        <v>292</v>
      </c>
      <c r="L2331" s="5" t="s">
        <v>5970</v>
      </c>
      <c r="M2331" s="5">
        <v>12</v>
      </c>
      <c r="N2331" s="5" t="s">
        <v>81</v>
      </c>
      <c r="Q2331" s="10"/>
      <c r="R2331" s="6"/>
      <c r="S2331" s="6"/>
    </row>
    <row r="2332" spans="1:19" x14ac:dyDescent="0.2">
      <c r="A2332" s="5"/>
      <c r="B2332" s="8" t="s">
        <v>6034</v>
      </c>
      <c r="H2332" s="8" t="s">
        <v>6035</v>
      </c>
      <c r="I2332" s="8" t="s">
        <v>6035</v>
      </c>
      <c r="J2332" s="5">
        <v>400</v>
      </c>
      <c r="K2332" s="5" t="s">
        <v>292</v>
      </c>
      <c r="L2332" s="5" t="s">
        <v>5970</v>
      </c>
      <c r="M2332" s="5">
        <v>12</v>
      </c>
      <c r="N2332" s="5" t="s">
        <v>81</v>
      </c>
      <c r="Q2332" s="10"/>
      <c r="R2332" s="6"/>
      <c r="S2332" s="6"/>
    </row>
    <row r="2333" spans="1:19" x14ac:dyDescent="0.2">
      <c r="A2333" s="5"/>
      <c r="B2333" s="8" t="s">
        <v>6036</v>
      </c>
      <c r="H2333" s="8" t="s">
        <v>6037</v>
      </c>
      <c r="I2333" s="8" t="s">
        <v>6037</v>
      </c>
      <c r="J2333" s="5">
        <f>40+15</f>
        <v>55</v>
      </c>
      <c r="K2333" s="5" t="s">
        <v>292</v>
      </c>
      <c r="L2333" s="5" t="s">
        <v>5970</v>
      </c>
      <c r="M2333" s="5">
        <v>12</v>
      </c>
      <c r="N2333" s="5" t="s">
        <v>81</v>
      </c>
      <c r="Q2333" s="10"/>
      <c r="R2333" s="6"/>
      <c r="S2333" s="6"/>
    </row>
    <row r="2334" spans="1:19" x14ac:dyDescent="0.2">
      <c r="A2334" s="5"/>
      <c r="B2334" s="8" t="s">
        <v>6038</v>
      </c>
      <c r="H2334" s="8" t="s">
        <v>5981</v>
      </c>
      <c r="I2334" s="8" t="s">
        <v>5981</v>
      </c>
      <c r="J2334" s="5">
        <v>100</v>
      </c>
      <c r="K2334" s="5" t="s">
        <v>292</v>
      </c>
      <c r="L2334" s="5" t="s">
        <v>5970</v>
      </c>
      <c r="M2334" s="5">
        <v>12</v>
      </c>
      <c r="N2334" s="5" t="s">
        <v>81</v>
      </c>
      <c r="Q2334" s="10"/>
      <c r="R2334" s="6"/>
      <c r="S2334" s="6"/>
    </row>
    <row r="2335" spans="1:19" x14ac:dyDescent="0.2">
      <c r="A2335" s="5"/>
      <c r="B2335" s="8" t="s">
        <v>6039</v>
      </c>
      <c r="H2335" s="8" t="s">
        <v>5981</v>
      </c>
      <c r="I2335" s="8" t="s">
        <v>5981</v>
      </c>
      <c r="J2335" s="5">
        <v>650</v>
      </c>
      <c r="K2335" s="5" t="s">
        <v>292</v>
      </c>
      <c r="L2335" s="5" t="s">
        <v>5970</v>
      </c>
      <c r="M2335" s="5">
        <v>12</v>
      </c>
      <c r="N2335" s="5" t="s">
        <v>81</v>
      </c>
      <c r="Q2335" s="10"/>
      <c r="R2335" s="6"/>
      <c r="S2335" s="6"/>
    </row>
    <row r="2336" spans="1:19" x14ac:dyDescent="0.2">
      <c r="A2336" s="5"/>
      <c r="B2336" s="8" t="s">
        <v>6040</v>
      </c>
      <c r="H2336" s="8" t="s">
        <v>6041</v>
      </c>
      <c r="I2336" s="8" t="s">
        <v>6041</v>
      </c>
      <c r="J2336" s="5">
        <f>652+5</f>
        <v>657</v>
      </c>
      <c r="K2336" s="5" t="s">
        <v>292</v>
      </c>
      <c r="L2336" s="5" t="s">
        <v>5970</v>
      </c>
      <c r="M2336" s="5">
        <v>12</v>
      </c>
      <c r="N2336" s="5" t="s">
        <v>81</v>
      </c>
      <c r="Q2336" s="10"/>
      <c r="R2336" s="6"/>
      <c r="S2336" s="6"/>
    </row>
    <row r="2337" spans="1:19" x14ac:dyDescent="0.2">
      <c r="A2337" s="5"/>
      <c r="B2337" s="8" t="s">
        <v>6042</v>
      </c>
      <c r="H2337" s="8" t="s">
        <v>6043</v>
      </c>
      <c r="I2337" s="8" t="s">
        <v>6043</v>
      </c>
      <c r="J2337" s="5">
        <v>99</v>
      </c>
      <c r="K2337" s="5" t="s">
        <v>292</v>
      </c>
      <c r="L2337" s="5" t="s">
        <v>5970</v>
      </c>
      <c r="M2337" s="5">
        <v>13</v>
      </c>
      <c r="N2337" s="5" t="s">
        <v>81</v>
      </c>
      <c r="Q2337" s="10"/>
      <c r="R2337" s="6"/>
      <c r="S2337" s="6"/>
    </row>
    <row r="2338" spans="1:19" x14ac:dyDescent="0.2">
      <c r="A2338" s="5"/>
      <c r="B2338" s="8" t="s">
        <v>6044</v>
      </c>
      <c r="H2338" s="8" t="s">
        <v>6044</v>
      </c>
      <c r="I2338" s="8" t="s">
        <v>6044</v>
      </c>
      <c r="J2338" s="5">
        <v>91</v>
      </c>
      <c r="K2338" s="5" t="s">
        <v>292</v>
      </c>
      <c r="L2338" s="5" t="s">
        <v>5970</v>
      </c>
      <c r="M2338" s="5">
        <v>13</v>
      </c>
      <c r="N2338" s="5" t="s">
        <v>81</v>
      </c>
      <c r="Q2338" s="10"/>
      <c r="R2338" s="6"/>
      <c r="S2338" s="6"/>
    </row>
    <row r="2339" spans="1:19" x14ac:dyDescent="0.2">
      <c r="A2339" s="5"/>
      <c r="B2339" s="8" t="s">
        <v>6045</v>
      </c>
      <c r="H2339" s="8" t="s">
        <v>5974</v>
      </c>
      <c r="I2339" s="8" t="s">
        <v>5974</v>
      </c>
      <c r="J2339" s="5">
        <v>97</v>
      </c>
      <c r="K2339" s="5" t="s">
        <v>292</v>
      </c>
      <c r="L2339" s="5" t="s">
        <v>5970</v>
      </c>
      <c r="M2339" s="5">
        <v>14</v>
      </c>
      <c r="N2339" s="5" t="s">
        <v>81</v>
      </c>
      <c r="Q2339" s="10"/>
      <c r="R2339" s="6"/>
      <c r="S2339" s="6"/>
    </row>
    <row r="2340" spans="1:19" x14ac:dyDescent="0.2">
      <c r="A2340" s="5"/>
      <c r="B2340" s="8" t="s">
        <v>6046</v>
      </c>
      <c r="H2340" s="8" t="s">
        <v>6047</v>
      </c>
      <c r="I2340" s="8" t="s">
        <v>6047</v>
      </c>
      <c r="J2340" s="5">
        <v>1759</v>
      </c>
      <c r="K2340" s="5" t="s">
        <v>292</v>
      </c>
      <c r="L2340" s="5" t="s">
        <v>5970</v>
      </c>
      <c r="M2340" s="5">
        <v>14</v>
      </c>
      <c r="N2340" s="5" t="s">
        <v>81</v>
      </c>
      <c r="Q2340" s="10"/>
      <c r="R2340" s="6"/>
      <c r="S2340" s="6"/>
    </row>
    <row r="2341" spans="1:19" x14ac:dyDescent="0.2">
      <c r="A2341" s="5"/>
      <c r="B2341" s="8" t="s">
        <v>6048</v>
      </c>
      <c r="H2341" s="8" t="s">
        <v>6049</v>
      </c>
      <c r="I2341" s="8" t="s">
        <v>6026</v>
      </c>
      <c r="J2341" s="5">
        <v>7888</v>
      </c>
      <c r="K2341" s="5" t="s">
        <v>292</v>
      </c>
      <c r="L2341" s="5" t="s">
        <v>5970</v>
      </c>
      <c r="M2341" s="5">
        <v>15</v>
      </c>
      <c r="N2341" s="5" t="s">
        <v>81</v>
      </c>
      <c r="Q2341" s="10"/>
      <c r="R2341" s="6"/>
      <c r="S2341" s="6"/>
    </row>
    <row r="2342" spans="1:19" x14ac:dyDescent="0.2">
      <c r="A2342" s="5"/>
      <c r="B2342" s="8" t="s">
        <v>6050</v>
      </c>
      <c r="H2342" s="8" t="s">
        <v>6051</v>
      </c>
      <c r="I2342" s="8" t="s">
        <v>6051</v>
      </c>
      <c r="J2342" s="5">
        <v>28</v>
      </c>
      <c r="K2342" s="5" t="s">
        <v>292</v>
      </c>
      <c r="L2342" s="5" t="s">
        <v>5970</v>
      </c>
      <c r="M2342" s="5">
        <v>15</v>
      </c>
      <c r="N2342" s="5" t="s">
        <v>20</v>
      </c>
      <c r="Q2342" s="10"/>
      <c r="R2342" s="6"/>
      <c r="S2342" s="6"/>
    </row>
    <row r="2343" spans="1:19" x14ac:dyDescent="0.2">
      <c r="A2343" s="5"/>
      <c r="B2343" s="8" t="s">
        <v>6052</v>
      </c>
      <c r="H2343" s="8" t="s">
        <v>6053</v>
      </c>
      <c r="I2343" s="8" t="s">
        <v>6053</v>
      </c>
      <c r="J2343" s="5">
        <v>133</v>
      </c>
      <c r="K2343" s="5" t="s">
        <v>292</v>
      </c>
      <c r="L2343" s="5" t="s">
        <v>5970</v>
      </c>
      <c r="M2343" s="5">
        <v>16</v>
      </c>
      <c r="N2343" s="5" t="s">
        <v>81</v>
      </c>
      <c r="Q2343" s="10"/>
      <c r="R2343" s="6"/>
      <c r="S2343" s="6"/>
    </row>
    <row r="2344" spans="1:19" x14ac:dyDescent="0.2">
      <c r="A2344" s="5"/>
      <c r="B2344" s="8" t="s">
        <v>6054</v>
      </c>
      <c r="H2344" s="8" t="s">
        <v>6055</v>
      </c>
      <c r="I2344" s="8" t="s">
        <v>6055</v>
      </c>
      <c r="J2344" s="5">
        <v>459</v>
      </c>
      <c r="K2344" s="5" t="s">
        <v>292</v>
      </c>
      <c r="L2344" s="5" t="s">
        <v>5970</v>
      </c>
      <c r="M2344" s="5">
        <v>17</v>
      </c>
      <c r="N2344" s="5" t="s">
        <v>81</v>
      </c>
      <c r="Q2344" s="10"/>
      <c r="R2344" s="6"/>
      <c r="S2344" s="6"/>
    </row>
    <row r="2345" spans="1:19" x14ac:dyDescent="0.2">
      <c r="A2345" s="5"/>
      <c r="B2345" s="8" t="s">
        <v>6056</v>
      </c>
      <c r="H2345" s="8" t="s">
        <v>6057</v>
      </c>
      <c r="I2345" s="8" t="s">
        <v>6057</v>
      </c>
      <c r="J2345" s="5">
        <v>633</v>
      </c>
      <c r="K2345" s="5" t="s">
        <v>292</v>
      </c>
      <c r="L2345" s="5" t="s">
        <v>5970</v>
      </c>
      <c r="M2345" s="5">
        <v>17</v>
      </c>
      <c r="N2345" s="5" t="s">
        <v>20</v>
      </c>
      <c r="Q2345" s="10"/>
      <c r="R2345" s="6"/>
      <c r="S2345" s="6"/>
    </row>
    <row r="2346" spans="1:19" x14ac:dyDescent="0.2">
      <c r="A2346" s="5"/>
      <c r="B2346" s="8" t="s">
        <v>6058</v>
      </c>
      <c r="H2346" s="8" t="s">
        <v>6057</v>
      </c>
      <c r="I2346" s="8" t="s">
        <v>6057</v>
      </c>
      <c r="J2346" s="5">
        <v>1027</v>
      </c>
      <c r="K2346" s="5" t="s">
        <v>292</v>
      </c>
      <c r="L2346" s="5" t="s">
        <v>5970</v>
      </c>
      <c r="M2346" s="5">
        <v>18</v>
      </c>
      <c r="N2346" s="5" t="s">
        <v>20</v>
      </c>
      <c r="Q2346" s="10"/>
      <c r="R2346" s="6"/>
      <c r="S2346" s="6"/>
    </row>
    <row r="2347" spans="1:19" x14ac:dyDescent="0.2">
      <c r="A2347" s="5"/>
      <c r="B2347" s="8" t="s">
        <v>6059</v>
      </c>
      <c r="H2347" s="8" t="s">
        <v>6057</v>
      </c>
      <c r="I2347" s="8" t="s">
        <v>6057</v>
      </c>
      <c r="J2347" s="5">
        <v>1038</v>
      </c>
      <c r="K2347" s="5" t="s">
        <v>292</v>
      </c>
      <c r="L2347" s="5" t="s">
        <v>5970</v>
      </c>
      <c r="M2347" s="5">
        <v>18</v>
      </c>
      <c r="N2347" s="5" t="s">
        <v>20</v>
      </c>
      <c r="Q2347" s="10"/>
      <c r="R2347" s="6"/>
      <c r="S2347" s="6"/>
    </row>
    <row r="2348" spans="1:19" x14ac:dyDescent="0.2">
      <c r="A2348" s="5"/>
      <c r="B2348" s="8" t="s">
        <v>6060</v>
      </c>
      <c r="H2348" s="8" t="s">
        <v>6057</v>
      </c>
      <c r="I2348" s="8" t="s">
        <v>6057</v>
      </c>
      <c r="J2348" s="5">
        <v>81</v>
      </c>
      <c r="K2348" s="5" t="s">
        <v>292</v>
      </c>
      <c r="L2348" s="5" t="s">
        <v>5970</v>
      </c>
      <c r="M2348" s="5">
        <v>19</v>
      </c>
      <c r="N2348" s="5" t="s">
        <v>20</v>
      </c>
      <c r="Q2348" s="10"/>
      <c r="R2348" s="6"/>
      <c r="S2348" s="6"/>
    </row>
    <row r="2349" spans="1:19" x14ac:dyDescent="0.2">
      <c r="A2349" s="5"/>
      <c r="B2349" s="8" t="s">
        <v>6061</v>
      </c>
      <c r="H2349" s="8" t="s">
        <v>6057</v>
      </c>
      <c r="I2349" s="8" t="s">
        <v>6057</v>
      </c>
      <c r="J2349" s="5">
        <v>193</v>
      </c>
      <c r="K2349" s="5" t="s">
        <v>292</v>
      </c>
      <c r="L2349" s="5" t="s">
        <v>5970</v>
      </c>
      <c r="M2349" s="5">
        <v>19</v>
      </c>
      <c r="N2349" s="5" t="s">
        <v>20</v>
      </c>
      <c r="Q2349" s="10"/>
      <c r="R2349" s="6"/>
      <c r="S2349" s="6"/>
    </row>
    <row r="2350" spans="1:19" x14ac:dyDescent="0.2">
      <c r="A2350" s="5"/>
      <c r="B2350" s="8" t="s">
        <v>6062</v>
      </c>
      <c r="H2350" s="8" t="s">
        <v>20</v>
      </c>
      <c r="I2350" s="8" t="s">
        <v>20</v>
      </c>
      <c r="J2350" s="5">
        <v>419</v>
      </c>
      <c r="K2350" s="5" t="s">
        <v>292</v>
      </c>
      <c r="L2350" s="5" t="s">
        <v>5970</v>
      </c>
      <c r="M2350" s="5">
        <v>20</v>
      </c>
      <c r="N2350" s="5" t="s">
        <v>20</v>
      </c>
      <c r="Q2350" s="10"/>
      <c r="R2350" s="6"/>
      <c r="S2350" s="6"/>
    </row>
    <row r="2351" spans="1:19" x14ac:dyDescent="0.2">
      <c r="A2351" s="5"/>
      <c r="B2351" s="8" t="s">
        <v>6063</v>
      </c>
      <c r="H2351" s="8" t="s">
        <v>6064</v>
      </c>
      <c r="I2351" s="8" t="s">
        <v>6064</v>
      </c>
      <c r="J2351" s="5">
        <v>198</v>
      </c>
      <c r="K2351" s="5" t="s">
        <v>292</v>
      </c>
      <c r="L2351" s="5" t="s">
        <v>5970</v>
      </c>
      <c r="M2351" s="5">
        <v>20</v>
      </c>
      <c r="N2351" s="5" t="s">
        <v>20</v>
      </c>
      <c r="Q2351" s="10"/>
      <c r="R2351" s="6"/>
      <c r="S2351" s="6"/>
    </row>
    <row r="2352" spans="1:19" x14ac:dyDescent="0.2">
      <c r="A2352" s="5"/>
      <c r="B2352" s="8" t="s">
        <v>6065</v>
      </c>
      <c r="H2352" s="8" t="s">
        <v>6066</v>
      </c>
      <c r="I2352" s="8" t="s">
        <v>6066</v>
      </c>
      <c r="J2352" s="5">
        <v>84</v>
      </c>
      <c r="K2352" s="5" t="s">
        <v>292</v>
      </c>
      <c r="L2352" s="5" t="s">
        <v>5970</v>
      </c>
      <c r="M2352" s="5">
        <v>21</v>
      </c>
      <c r="N2352" s="5" t="s">
        <v>20</v>
      </c>
      <c r="Q2352" s="10"/>
      <c r="R2352" s="6"/>
      <c r="S2352" s="6"/>
    </row>
    <row r="2353" spans="1:19" x14ac:dyDescent="0.2">
      <c r="A2353" s="5"/>
      <c r="B2353" s="8" t="s">
        <v>6067</v>
      </c>
      <c r="H2353" s="8" t="s">
        <v>5991</v>
      </c>
      <c r="I2353" s="8" t="s">
        <v>5991</v>
      </c>
      <c r="J2353" s="5">
        <v>258</v>
      </c>
      <c r="K2353" s="5" t="s">
        <v>292</v>
      </c>
      <c r="L2353" s="5" t="s">
        <v>5970</v>
      </c>
      <c r="M2353" s="5">
        <v>21</v>
      </c>
      <c r="N2353" s="5" t="s">
        <v>20</v>
      </c>
      <c r="Q2353" s="10"/>
      <c r="R2353" s="6"/>
      <c r="S2353" s="6"/>
    </row>
    <row r="2354" spans="1:19" x14ac:dyDescent="0.2">
      <c r="A2354" s="5"/>
      <c r="B2354" s="8" t="s">
        <v>19</v>
      </c>
      <c r="H2354" s="8" t="s">
        <v>6068</v>
      </c>
      <c r="I2354" s="8" t="s">
        <v>6068</v>
      </c>
      <c r="J2354" s="5">
        <f>80</f>
        <v>80</v>
      </c>
      <c r="K2354" s="5" t="s">
        <v>292</v>
      </c>
      <c r="L2354" s="5" t="s">
        <v>5970</v>
      </c>
      <c r="M2354" s="5">
        <v>21</v>
      </c>
      <c r="N2354" s="5" t="s">
        <v>20</v>
      </c>
      <c r="Q2354" s="107" t="s">
        <v>6069</v>
      </c>
      <c r="R2354" s="6"/>
      <c r="S2354" s="6"/>
    </row>
    <row r="2355" spans="1:19" x14ac:dyDescent="0.2">
      <c r="A2355" s="5"/>
      <c r="B2355" s="8" t="s">
        <v>28</v>
      </c>
      <c r="H2355" s="8" t="s">
        <v>6070</v>
      </c>
      <c r="I2355" s="8" t="s">
        <v>6070</v>
      </c>
      <c r="J2355" s="5">
        <f>140</f>
        <v>140</v>
      </c>
      <c r="K2355" s="5" t="s">
        <v>292</v>
      </c>
      <c r="L2355" s="5" t="s">
        <v>5970</v>
      </c>
      <c r="M2355" s="5">
        <v>21</v>
      </c>
      <c r="N2355" s="5" t="s">
        <v>20</v>
      </c>
      <c r="Q2355" s="107" t="s">
        <v>6069</v>
      </c>
      <c r="R2355" s="6"/>
      <c r="S2355" s="6"/>
    </row>
    <row r="2356" spans="1:19" x14ac:dyDescent="0.2">
      <c r="A2356" s="5"/>
      <c r="B2356" s="8" t="s">
        <v>6071</v>
      </c>
      <c r="H2356" s="8" t="s">
        <v>5981</v>
      </c>
      <c r="I2356" s="8" t="s">
        <v>5981</v>
      </c>
      <c r="J2356" s="5">
        <v>200</v>
      </c>
      <c r="K2356" s="5" t="s">
        <v>292</v>
      </c>
      <c r="L2356" s="5" t="s">
        <v>5970</v>
      </c>
      <c r="M2356" s="5">
        <v>22</v>
      </c>
      <c r="N2356" s="5" t="s">
        <v>81</v>
      </c>
      <c r="Q2356" s="10"/>
      <c r="R2356" s="6"/>
      <c r="S2356" s="6"/>
    </row>
    <row r="2357" spans="1:19" x14ac:dyDescent="0.2">
      <c r="A2357" s="5"/>
      <c r="B2357" s="8" t="s">
        <v>6072</v>
      </c>
      <c r="H2357" s="8" t="s">
        <v>5981</v>
      </c>
      <c r="I2357" s="8" t="s">
        <v>5979</v>
      </c>
      <c r="J2357" s="5">
        <v>173</v>
      </c>
      <c r="K2357" s="5" t="s">
        <v>6073</v>
      </c>
      <c r="L2357" s="5" t="s">
        <v>5970</v>
      </c>
      <c r="M2357" s="5">
        <v>22</v>
      </c>
      <c r="N2357" s="5" t="s">
        <v>81</v>
      </c>
      <c r="Q2357" s="10"/>
      <c r="R2357" s="6"/>
      <c r="S2357" s="6"/>
    </row>
    <row r="2358" spans="1:19" x14ac:dyDescent="0.2">
      <c r="A2358" s="5"/>
      <c r="B2358" s="8" t="s">
        <v>6074</v>
      </c>
      <c r="H2358" s="8" t="s">
        <v>5991</v>
      </c>
      <c r="I2358" s="8" t="s">
        <v>5991</v>
      </c>
      <c r="J2358" s="5">
        <v>94</v>
      </c>
      <c r="K2358" s="5" t="s">
        <v>292</v>
      </c>
      <c r="L2358" s="5" t="s">
        <v>5970</v>
      </c>
      <c r="M2358" s="5">
        <v>22</v>
      </c>
      <c r="N2358" s="5" t="s">
        <v>20</v>
      </c>
      <c r="Q2358" s="10"/>
    </row>
    <row r="2359" spans="1:19" x14ac:dyDescent="0.2">
      <c r="A2359" s="5">
        <v>350</v>
      </c>
      <c r="B2359" s="8" t="s">
        <v>6075</v>
      </c>
      <c r="H2359" s="8" t="s">
        <v>6076</v>
      </c>
      <c r="I2359" s="8" t="s">
        <v>6076</v>
      </c>
      <c r="J2359" s="5">
        <f>114-1-31+23+100</f>
        <v>205</v>
      </c>
      <c r="K2359" s="5" t="s">
        <v>292</v>
      </c>
      <c r="L2359" s="5" t="s">
        <v>5970</v>
      </c>
      <c r="M2359" s="5">
        <v>23</v>
      </c>
      <c r="N2359" s="5" t="s">
        <v>81</v>
      </c>
      <c r="Q2359" s="5" t="s">
        <v>6077</v>
      </c>
    </row>
    <row r="2360" spans="1:19" x14ac:dyDescent="0.2">
      <c r="A2360" s="5"/>
      <c r="B2360" s="8" t="s">
        <v>6078</v>
      </c>
      <c r="H2360" s="8" t="s">
        <v>6079</v>
      </c>
      <c r="I2360" s="8" t="s">
        <v>6079</v>
      </c>
      <c r="J2360" s="5">
        <v>192</v>
      </c>
      <c r="K2360" s="5" t="s">
        <v>292</v>
      </c>
      <c r="L2360" s="5" t="s">
        <v>5970</v>
      </c>
      <c r="M2360" s="5">
        <v>23</v>
      </c>
      <c r="N2360" s="5" t="s">
        <v>81</v>
      </c>
    </row>
    <row r="2361" spans="1:19" x14ac:dyDescent="0.2">
      <c r="A2361" s="5"/>
      <c r="B2361" s="8" t="s">
        <v>6029</v>
      </c>
      <c r="H2361" s="8" t="s">
        <v>6080</v>
      </c>
      <c r="I2361" s="8" t="s">
        <v>6041</v>
      </c>
      <c r="J2361" s="5">
        <v>44</v>
      </c>
      <c r="K2361" s="5" t="s">
        <v>292</v>
      </c>
      <c r="L2361" s="5" t="s">
        <v>5970</v>
      </c>
      <c r="M2361" s="5">
        <v>24</v>
      </c>
      <c r="N2361" s="5" t="s">
        <v>81</v>
      </c>
    </row>
    <row r="2362" spans="1:19" x14ac:dyDescent="0.2">
      <c r="A2362" s="5"/>
      <c r="B2362" s="8" t="s">
        <v>6081</v>
      </c>
      <c r="H2362" s="8" t="s">
        <v>5974</v>
      </c>
      <c r="I2362" s="8" t="s">
        <v>5974</v>
      </c>
      <c r="J2362" s="5">
        <f>52</f>
        <v>52</v>
      </c>
      <c r="K2362" s="5" t="s">
        <v>292</v>
      </c>
      <c r="L2362" s="5" t="s">
        <v>5970</v>
      </c>
      <c r="M2362" s="5">
        <v>24</v>
      </c>
      <c r="N2362" s="5" t="s">
        <v>81</v>
      </c>
    </row>
    <row r="2363" spans="1:19" x14ac:dyDescent="0.2">
      <c r="A2363" s="5"/>
      <c r="B2363" s="8" t="s">
        <v>6082</v>
      </c>
      <c r="H2363" s="8" t="s">
        <v>6083</v>
      </c>
      <c r="I2363" s="8" t="s">
        <v>6083</v>
      </c>
      <c r="J2363" s="5">
        <v>71</v>
      </c>
      <c r="K2363" s="5" t="s">
        <v>292</v>
      </c>
      <c r="L2363" s="5" t="s">
        <v>5970</v>
      </c>
      <c r="M2363" s="5">
        <v>24</v>
      </c>
      <c r="N2363" s="5" t="s">
        <v>81</v>
      </c>
    </row>
    <row r="2364" spans="1:19" x14ac:dyDescent="0.2">
      <c r="A2364" s="5"/>
      <c r="B2364" s="8" t="s">
        <v>6084</v>
      </c>
      <c r="H2364" s="8" t="s">
        <v>6085</v>
      </c>
      <c r="I2364" s="8" t="s">
        <v>6085</v>
      </c>
      <c r="J2364" s="5">
        <v>54</v>
      </c>
      <c r="K2364" s="5" t="s">
        <v>292</v>
      </c>
      <c r="L2364" s="5" t="s">
        <v>5970</v>
      </c>
      <c r="M2364" s="5">
        <v>24</v>
      </c>
      <c r="N2364" s="5" t="s">
        <v>81</v>
      </c>
    </row>
    <row r="2365" spans="1:19" x14ac:dyDescent="0.2">
      <c r="A2365" s="5"/>
      <c r="B2365" s="8" t="s">
        <v>6086</v>
      </c>
      <c r="H2365" s="8" t="s">
        <v>6087</v>
      </c>
      <c r="I2365" s="8" t="s">
        <v>6087</v>
      </c>
      <c r="J2365" s="5">
        <v>89</v>
      </c>
      <c r="K2365" s="5" t="s">
        <v>292</v>
      </c>
      <c r="L2365" s="5" t="s">
        <v>5970</v>
      </c>
      <c r="M2365" s="5">
        <v>25</v>
      </c>
      <c r="N2365" s="5" t="s">
        <v>81</v>
      </c>
    </row>
    <row r="2366" spans="1:19" x14ac:dyDescent="0.2">
      <c r="A2366" s="5"/>
      <c r="B2366" s="8" t="s">
        <v>6088</v>
      </c>
      <c r="H2366" s="8" t="s">
        <v>20</v>
      </c>
      <c r="I2366" s="8" t="s">
        <v>20</v>
      </c>
      <c r="J2366" s="5">
        <v>103</v>
      </c>
      <c r="K2366" s="5" t="s">
        <v>292</v>
      </c>
      <c r="L2366" s="5" t="s">
        <v>5970</v>
      </c>
      <c r="M2366" s="5">
        <v>25</v>
      </c>
      <c r="N2366" s="5" t="s">
        <v>81</v>
      </c>
    </row>
    <row r="2367" spans="1:19" x14ac:dyDescent="0.2">
      <c r="A2367" s="5">
        <v>274</v>
      </c>
      <c r="B2367" s="8" t="s">
        <v>6089</v>
      </c>
      <c r="H2367" s="8" t="s">
        <v>6090</v>
      </c>
      <c r="I2367" s="8" t="s">
        <v>6090</v>
      </c>
      <c r="J2367" s="5">
        <f>424-14-7-63-56</f>
        <v>284</v>
      </c>
      <c r="K2367" s="5" t="s">
        <v>292</v>
      </c>
      <c r="L2367" s="5" t="s">
        <v>5970</v>
      </c>
      <c r="M2367" s="5">
        <v>26</v>
      </c>
      <c r="N2367" s="5" t="s">
        <v>81</v>
      </c>
      <c r="O2367" s="5" t="s">
        <v>520</v>
      </c>
      <c r="Q2367" s="5" t="s">
        <v>6091</v>
      </c>
    </row>
    <row r="2368" spans="1:19" x14ac:dyDescent="0.2">
      <c r="A2368" s="5"/>
      <c r="B2368" s="8" t="s">
        <v>6092</v>
      </c>
      <c r="H2368" s="8" t="s">
        <v>6090</v>
      </c>
      <c r="I2368" s="8" t="s">
        <v>6090</v>
      </c>
      <c r="J2368" s="5">
        <v>815</v>
      </c>
      <c r="K2368" s="5" t="s">
        <v>21</v>
      </c>
      <c r="L2368" s="5" t="s">
        <v>5970</v>
      </c>
      <c r="M2368" s="5">
        <v>26</v>
      </c>
      <c r="N2368" s="5" t="s">
        <v>81</v>
      </c>
      <c r="Q2368" s="5" t="s">
        <v>6093</v>
      </c>
    </row>
    <row r="2369" spans="1:17" x14ac:dyDescent="0.2">
      <c r="A2369" s="5"/>
      <c r="B2369" s="8" t="s">
        <v>6094</v>
      </c>
      <c r="H2369" s="8" t="s">
        <v>6095</v>
      </c>
      <c r="I2369" s="8" t="s">
        <v>6095</v>
      </c>
      <c r="J2369" s="5">
        <f>43</f>
        <v>43</v>
      </c>
      <c r="K2369" s="5" t="s">
        <v>21</v>
      </c>
      <c r="L2369" s="5" t="s">
        <v>5970</v>
      </c>
      <c r="M2369" s="5">
        <v>26</v>
      </c>
      <c r="N2369" s="5" t="s">
        <v>81</v>
      </c>
      <c r="Q2369" s="131" t="s">
        <v>6096</v>
      </c>
    </row>
    <row r="2370" spans="1:17" x14ac:dyDescent="0.2">
      <c r="A2370" s="5"/>
      <c r="B2370" s="8" t="s">
        <v>6097</v>
      </c>
      <c r="H2370" s="8" t="s">
        <v>20</v>
      </c>
      <c r="I2370" s="8" t="s">
        <v>6098</v>
      </c>
      <c r="J2370" s="5">
        <v>42</v>
      </c>
      <c r="K2370" s="5" t="s">
        <v>21</v>
      </c>
      <c r="L2370" s="5" t="s">
        <v>5970</v>
      </c>
      <c r="M2370" s="5">
        <v>27</v>
      </c>
      <c r="N2370" s="5" t="s">
        <v>81</v>
      </c>
    </row>
    <row r="2371" spans="1:17" x14ac:dyDescent="0.2">
      <c r="A2371" s="5"/>
      <c r="B2371" s="8" t="s">
        <v>6099</v>
      </c>
      <c r="H2371" s="8" t="s">
        <v>6099</v>
      </c>
      <c r="I2371" s="8" t="s">
        <v>6100</v>
      </c>
      <c r="J2371" s="5">
        <v>432</v>
      </c>
      <c r="K2371" s="5" t="s">
        <v>21</v>
      </c>
      <c r="L2371" s="5" t="s">
        <v>5970</v>
      </c>
      <c r="M2371" s="5">
        <v>28</v>
      </c>
      <c r="N2371" s="5" t="s">
        <v>81</v>
      </c>
    </row>
    <row r="2372" spans="1:17" x14ac:dyDescent="0.2">
      <c r="A2372" s="5"/>
      <c r="B2372" s="8" t="s">
        <v>6101</v>
      </c>
      <c r="H2372" s="8" t="s">
        <v>5981</v>
      </c>
      <c r="I2372" s="8" t="s">
        <v>5981</v>
      </c>
      <c r="J2372" s="5">
        <v>761</v>
      </c>
      <c r="K2372" s="5" t="s">
        <v>21</v>
      </c>
      <c r="L2372" s="5" t="s">
        <v>5970</v>
      </c>
      <c r="M2372" s="5">
        <v>29</v>
      </c>
      <c r="N2372" s="5" t="s">
        <v>81</v>
      </c>
    </row>
    <row r="2373" spans="1:17" x14ac:dyDescent="0.2">
      <c r="A2373" s="5">
        <v>253</v>
      </c>
      <c r="B2373" s="8" t="s">
        <v>6102</v>
      </c>
      <c r="H2373" s="8" t="s">
        <v>5981</v>
      </c>
      <c r="I2373" s="8" t="s">
        <v>5981</v>
      </c>
      <c r="J2373" s="5">
        <f>729-50</f>
        <v>679</v>
      </c>
      <c r="K2373" s="5" t="s">
        <v>292</v>
      </c>
      <c r="L2373" s="5" t="s">
        <v>5970</v>
      </c>
      <c r="M2373" s="5">
        <v>30</v>
      </c>
      <c r="N2373" s="5" t="s">
        <v>20</v>
      </c>
      <c r="Q2373" s="5" t="s">
        <v>6103</v>
      </c>
    </row>
    <row r="2374" spans="1:17" x14ac:dyDescent="0.2">
      <c r="A2374" s="5"/>
      <c r="B2374" s="8" t="s">
        <v>6104</v>
      </c>
      <c r="H2374" s="8" t="s">
        <v>6105</v>
      </c>
      <c r="I2374" s="8" t="s">
        <v>6105</v>
      </c>
      <c r="J2374" s="5">
        <v>50</v>
      </c>
      <c r="K2374" s="5" t="s">
        <v>292</v>
      </c>
      <c r="L2374" s="5" t="s">
        <v>5970</v>
      </c>
      <c r="M2374" s="5">
        <v>30</v>
      </c>
      <c r="N2374" s="5" t="s">
        <v>20</v>
      </c>
    </row>
    <row r="2375" spans="1:17" x14ac:dyDescent="0.2">
      <c r="A2375" s="5"/>
      <c r="B2375" s="8" t="s">
        <v>6106</v>
      </c>
      <c r="H2375" s="8" t="s">
        <v>5974</v>
      </c>
      <c r="I2375" s="8" t="s">
        <v>5974</v>
      </c>
      <c r="J2375" s="5">
        <v>371</v>
      </c>
      <c r="K2375" s="5" t="s">
        <v>292</v>
      </c>
      <c r="L2375" s="5" t="s">
        <v>5970</v>
      </c>
      <c r="M2375" s="5">
        <v>31</v>
      </c>
      <c r="N2375" s="5" t="s">
        <v>81</v>
      </c>
    </row>
    <row r="2376" spans="1:17" x14ac:dyDescent="0.2">
      <c r="A2376" s="5"/>
      <c r="B2376" s="8" t="s">
        <v>6107</v>
      </c>
      <c r="H2376" s="8" t="s">
        <v>6108</v>
      </c>
      <c r="I2376" s="8" t="s">
        <v>20</v>
      </c>
      <c r="J2376" s="5">
        <v>353</v>
      </c>
      <c r="K2376" s="5" t="s">
        <v>292</v>
      </c>
      <c r="L2376" s="5" t="s">
        <v>5970</v>
      </c>
      <c r="M2376" s="5">
        <v>31</v>
      </c>
      <c r="N2376" s="5" t="s">
        <v>20</v>
      </c>
    </row>
    <row r="2377" spans="1:17" x14ac:dyDescent="0.2">
      <c r="A2377" s="5"/>
      <c r="B2377" s="8" t="s">
        <v>6109</v>
      </c>
      <c r="H2377" s="8" t="s">
        <v>5981</v>
      </c>
      <c r="I2377" s="8" t="s">
        <v>5981</v>
      </c>
      <c r="J2377" s="5">
        <v>61</v>
      </c>
      <c r="K2377" s="5" t="s">
        <v>292</v>
      </c>
      <c r="L2377" s="5" t="s">
        <v>5970</v>
      </c>
      <c r="M2377" s="5">
        <v>32</v>
      </c>
      <c r="N2377" s="5" t="s">
        <v>81</v>
      </c>
    </row>
    <row r="2378" spans="1:17" x14ac:dyDescent="0.2">
      <c r="A2378" s="5"/>
      <c r="B2378" s="8" t="s">
        <v>6110</v>
      </c>
      <c r="H2378" s="8" t="s">
        <v>5981</v>
      </c>
      <c r="I2378" s="8" t="s">
        <v>5981</v>
      </c>
      <c r="J2378" s="5">
        <v>327</v>
      </c>
      <c r="K2378" s="5" t="s">
        <v>292</v>
      </c>
      <c r="L2378" s="5" t="s">
        <v>5970</v>
      </c>
      <c r="M2378" s="5">
        <v>32</v>
      </c>
      <c r="N2378" s="5" t="s">
        <v>81</v>
      </c>
    </row>
    <row r="2379" spans="1:17" x14ac:dyDescent="0.2">
      <c r="A2379" s="5">
        <v>252</v>
      </c>
      <c r="B2379" s="34" t="s">
        <v>6111</v>
      </c>
      <c r="H2379" s="8" t="s">
        <v>5981</v>
      </c>
      <c r="I2379" s="8" t="s">
        <v>5981</v>
      </c>
      <c r="J2379" s="5">
        <f>2279-70</f>
        <v>2209</v>
      </c>
      <c r="K2379" s="5" t="s">
        <v>292</v>
      </c>
      <c r="L2379" s="5" t="s">
        <v>5970</v>
      </c>
      <c r="M2379" s="5">
        <v>33</v>
      </c>
      <c r="N2379" s="5" t="s">
        <v>20</v>
      </c>
      <c r="Q2379" s="5" t="s">
        <v>6112</v>
      </c>
    </row>
    <row r="2380" spans="1:17" x14ac:dyDescent="0.2">
      <c r="A2380" s="5"/>
      <c r="B2380" s="8" t="s">
        <v>6113</v>
      </c>
      <c r="H2380" s="8" t="s">
        <v>5981</v>
      </c>
      <c r="I2380" s="8" t="s">
        <v>5981</v>
      </c>
      <c r="J2380" s="5">
        <v>55</v>
      </c>
      <c r="K2380" s="5" t="s">
        <v>292</v>
      </c>
      <c r="L2380" s="5" t="s">
        <v>5970</v>
      </c>
      <c r="M2380" s="5">
        <v>33</v>
      </c>
      <c r="N2380" s="5" t="s">
        <v>81</v>
      </c>
    </row>
    <row r="2381" spans="1:17" x14ac:dyDescent="0.2">
      <c r="A2381" s="5"/>
      <c r="B2381" s="8" t="s">
        <v>6114</v>
      </c>
      <c r="H2381" s="8" t="s">
        <v>6115</v>
      </c>
      <c r="I2381" s="8" t="s">
        <v>6115</v>
      </c>
      <c r="J2381" s="5">
        <v>369</v>
      </c>
      <c r="K2381" s="5" t="s">
        <v>292</v>
      </c>
      <c r="L2381" s="5" t="s">
        <v>5970</v>
      </c>
      <c r="M2381" s="5">
        <v>35</v>
      </c>
      <c r="N2381" s="5" t="s">
        <v>81</v>
      </c>
    </row>
    <row r="2382" spans="1:17" x14ac:dyDescent="0.2">
      <c r="A2382" s="5"/>
      <c r="B2382" s="8" t="s">
        <v>6116</v>
      </c>
      <c r="H2382" s="8" t="s">
        <v>6117</v>
      </c>
      <c r="I2382" s="8" t="s">
        <v>6117</v>
      </c>
      <c r="J2382" s="5">
        <f>10+48+6</f>
        <v>64</v>
      </c>
      <c r="K2382" s="5" t="s">
        <v>292</v>
      </c>
      <c r="L2382" s="5" t="s">
        <v>5970</v>
      </c>
      <c r="M2382" s="5">
        <v>35</v>
      </c>
      <c r="N2382" s="5" t="s">
        <v>81</v>
      </c>
      <c r="Q2382" s="5" t="s">
        <v>6118</v>
      </c>
    </row>
    <row r="2383" spans="1:17" x14ac:dyDescent="0.2">
      <c r="A2383" s="5"/>
      <c r="B2383" s="8" t="s">
        <v>6119</v>
      </c>
      <c r="H2383" s="8" t="s">
        <v>6120</v>
      </c>
      <c r="I2383" s="8" t="s">
        <v>6120</v>
      </c>
      <c r="J2383" s="5">
        <f>571-100-100</f>
        <v>371</v>
      </c>
      <c r="K2383" s="5" t="s">
        <v>292</v>
      </c>
      <c r="L2383" s="5" t="s">
        <v>5970</v>
      </c>
      <c r="M2383" s="5">
        <v>36</v>
      </c>
      <c r="N2383" s="5" t="s">
        <v>81</v>
      </c>
    </row>
    <row r="2384" spans="1:17" x14ac:dyDescent="0.2">
      <c r="A2384" s="5"/>
      <c r="B2384" s="8" t="s">
        <v>6121</v>
      </c>
      <c r="H2384" s="8" t="s">
        <v>6122</v>
      </c>
      <c r="I2384" s="8" t="s">
        <v>6122</v>
      </c>
      <c r="J2384" s="5">
        <f>86-9-9-9</f>
        <v>59</v>
      </c>
      <c r="K2384" s="5" t="s">
        <v>292</v>
      </c>
      <c r="L2384" s="5" t="s">
        <v>5970</v>
      </c>
      <c r="M2384" s="5">
        <v>37</v>
      </c>
      <c r="N2384" s="5" t="s">
        <v>81</v>
      </c>
    </row>
    <row r="2385" spans="1:17" x14ac:dyDescent="0.2">
      <c r="A2385" s="5"/>
      <c r="B2385" s="8" t="s">
        <v>6123</v>
      </c>
      <c r="H2385" s="8" t="s">
        <v>6124</v>
      </c>
      <c r="I2385" s="8" t="s">
        <v>6124</v>
      </c>
      <c r="J2385" s="5">
        <f>818-10-4-1+18+10+26-10-52</f>
        <v>795</v>
      </c>
      <c r="K2385" s="5" t="s">
        <v>292</v>
      </c>
      <c r="L2385" s="5" t="s">
        <v>5970</v>
      </c>
      <c r="M2385" s="5">
        <v>37</v>
      </c>
      <c r="N2385" s="5" t="s">
        <v>81</v>
      </c>
      <c r="P2385" s="5" t="s">
        <v>6125</v>
      </c>
    </row>
    <row r="2386" spans="1:17" x14ac:dyDescent="0.2">
      <c r="A2386" s="5"/>
      <c r="B2386" s="8" t="s">
        <v>6126</v>
      </c>
      <c r="H2386" s="8" t="s">
        <v>5981</v>
      </c>
      <c r="I2386" s="8" t="s">
        <v>5981</v>
      </c>
      <c r="J2386" s="5">
        <v>103</v>
      </c>
      <c r="K2386" s="5" t="s">
        <v>292</v>
      </c>
      <c r="L2386" s="5" t="s">
        <v>5970</v>
      </c>
      <c r="M2386" s="5">
        <v>38</v>
      </c>
      <c r="N2386" s="5" t="s">
        <v>81</v>
      </c>
    </row>
    <row r="2387" spans="1:17" x14ac:dyDescent="0.2">
      <c r="A2387" s="5"/>
      <c r="B2387" s="8" t="s">
        <v>6127</v>
      </c>
      <c r="H2387" s="8" t="s">
        <v>6083</v>
      </c>
      <c r="I2387" s="8" t="s">
        <v>6083</v>
      </c>
      <c r="J2387" s="5">
        <v>43</v>
      </c>
      <c r="K2387" s="5" t="s">
        <v>292</v>
      </c>
      <c r="L2387" s="5" t="s">
        <v>5970</v>
      </c>
      <c r="M2387" s="5">
        <v>39</v>
      </c>
      <c r="N2387" s="5" t="s">
        <v>81</v>
      </c>
    </row>
    <row r="2388" spans="1:17" x14ac:dyDescent="0.2">
      <c r="A2388" s="5"/>
      <c r="B2388" s="8" t="s">
        <v>6128</v>
      </c>
      <c r="H2388" s="8" t="s">
        <v>5981</v>
      </c>
      <c r="I2388" s="8" t="s">
        <v>5981</v>
      </c>
      <c r="J2388" s="5">
        <f>64-4</f>
        <v>60</v>
      </c>
      <c r="K2388" s="5" t="s">
        <v>292</v>
      </c>
      <c r="L2388" s="5" t="s">
        <v>5970</v>
      </c>
      <c r="M2388" s="5">
        <v>39</v>
      </c>
      <c r="N2388" s="5" t="s">
        <v>81</v>
      </c>
    </row>
    <row r="2389" spans="1:17" ht="15.75" customHeight="1" x14ac:dyDescent="0.2">
      <c r="A2389" s="5"/>
      <c r="B2389" s="8" t="s">
        <v>6129</v>
      </c>
      <c r="H2389" s="8" t="s">
        <v>6130</v>
      </c>
      <c r="I2389" s="8" t="s">
        <v>6131</v>
      </c>
      <c r="J2389" s="5">
        <v>743</v>
      </c>
      <c r="K2389" s="5" t="s">
        <v>292</v>
      </c>
      <c r="L2389" s="5" t="s">
        <v>5970</v>
      </c>
      <c r="M2389" s="5">
        <v>40</v>
      </c>
      <c r="N2389" s="5" t="s">
        <v>81</v>
      </c>
    </row>
    <row r="2390" spans="1:17" x14ac:dyDescent="0.2">
      <c r="A2390" s="5"/>
      <c r="B2390" s="8" t="s">
        <v>6132</v>
      </c>
      <c r="H2390" s="8" t="s">
        <v>6133</v>
      </c>
      <c r="I2390" s="8" t="s">
        <v>6133</v>
      </c>
      <c r="J2390" s="5">
        <f>277-53</f>
        <v>224</v>
      </c>
      <c r="K2390" s="5" t="s">
        <v>292</v>
      </c>
      <c r="L2390" s="5" t="s">
        <v>5970</v>
      </c>
      <c r="M2390" s="5">
        <v>40</v>
      </c>
      <c r="N2390" s="5" t="s">
        <v>81</v>
      </c>
    </row>
    <row r="2391" spans="1:17" x14ac:dyDescent="0.2">
      <c r="A2391" s="5"/>
      <c r="B2391" s="8" t="s">
        <v>6134</v>
      </c>
      <c r="H2391" s="8" t="s">
        <v>6135</v>
      </c>
      <c r="I2391" s="8" t="s">
        <v>20</v>
      </c>
      <c r="J2391" s="5">
        <f>476-67</f>
        <v>409</v>
      </c>
      <c r="K2391" s="5" t="s">
        <v>292</v>
      </c>
      <c r="L2391" s="5" t="s">
        <v>5970</v>
      </c>
      <c r="M2391" s="5">
        <v>41</v>
      </c>
      <c r="N2391" s="5" t="s">
        <v>81</v>
      </c>
    </row>
    <row r="2392" spans="1:17" x14ac:dyDescent="0.2">
      <c r="A2392" s="5"/>
      <c r="B2392" s="8" t="s">
        <v>6136</v>
      </c>
      <c r="H2392" s="8" t="s">
        <v>20</v>
      </c>
      <c r="I2392" s="8" t="s">
        <v>6137</v>
      </c>
      <c r="J2392" s="5">
        <v>415</v>
      </c>
      <c r="K2392" s="5" t="s">
        <v>292</v>
      </c>
      <c r="L2392" s="5" t="s">
        <v>5970</v>
      </c>
      <c r="M2392" s="5">
        <v>41</v>
      </c>
      <c r="N2392" s="5" t="s">
        <v>81</v>
      </c>
    </row>
    <row r="2393" spans="1:17" x14ac:dyDescent="0.2">
      <c r="A2393" s="5"/>
      <c r="B2393" s="8" t="s">
        <v>6138</v>
      </c>
      <c r="H2393" s="8" t="s">
        <v>5981</v>
      </c>
      <c r="I2393" s="8" t="s">
        <v>5981</v>
      </c>
      <c r="J2393" s="5">
        <f>40-4-1</f>
        <v>35</v>
      </c>
      <c r="K2393" s="5" t="s">
        <v>21</v>
      </c>
      <c r="L2393" s="5" t="s">
        <v>5970</v>
      </c>
      <c r="M2393" s="5">
        <v>42</v>
      </c>
      <c r="N2393" s="5" t="s">
        <v>81</v>
      </c>
      <c r="Q2393" s="5" t="s">
        <v>6139</v>
      </c>
    </row>
    <row r="2394" spans="1:17" x14ac:dyDescent="0.2">
      <c r="A2394" s="5"/>
      <c r="B2394" s="8" t="s">
        <v>6140</v>
      </c>
      <c r="H2394" s="8" t="s">
        <v>5991</v>
      </c>
      <c r="I2394" s="8" t="s">
        <v>6141</v>
      </c>
      <c r="J2394" s="5">
        <v>357</v>
      </c>
      <c r="K2394" s="5" t="s">
        <v>21</v>
      </c>
      <c r="L2394" s="5" t="s">
        <v>5970</v>
      </c>
      <c r="M2394" s="5">
        <v>42</v>
      </c>
      <c r="N2394" s="5" t="s">
        <v>81</v>
      </c>
    </row>
    <row r="2395" spans="1:17" x14ac:dyDescent="0.2">
      <c r="A2395" s="5"/>
      <c r="B2395" s="8" t="s">
        <v>6142</v>
      </c>
      <c r="H2395" s="8" t="s">
        <v>6001</v>
      </c>
      <c r="I2395" s="8" t="s">
        <v>6001</v>
      </c>
      <c r="J2395" s="5">
        <v>298</v>
      </c>
      <c r="K2395" s="5" t="s">
        <v>21</v>
      </c>
      <c r="L2395" s="5" t="s">
        <v>5970</v>
      </c>
      <c r="M2395" s="5">
        <v>43</v>
      </c>
      <c r="N2395" s="5" t="s">
        <v>81</v>
      </c>
    </row>
    <row r="2396" spans="1:17" x14ac:dyDescent="0.2">
      <c r="A2396" s="5"/>
      <c r="B2396" s="8" t="s">
        <v>6143</v>
      </c>
      <c r="H2396" s="8" t="s">
        <v>5997</v>
      </c>
      <c r="I2396" s="8" t="s">
        <v>5997</v>
      </c>
      <c r="J2396" s="5">
        <v>501</v>
      </c>
      <c r="K2396" s="5" t="s">
        <v>21</v>
      </c>
      <c r="L2396" s="5" t="s">
        <v>5970</v>
      </c>
      <c r="M2396" s="5">
        <v>44</v>
      </c>
      <c r="N2396" s="5" t="s">
        <v>81</v>
      </c>
    </row>
    <row r="2397" spans="1:17" x14ac:dyDescent="0.2">
      <c r="A2397" s="5"/>
      <c r="B2397" s="8" t="s">
        <v>6144</v>
      </c>
      <c r="H2397" s="8" t="s">
        <v>6145</v>
      </c>
      <c r="I2397" s="8" t="s">
        <v>6145</v>
      </c>
      <c r="J2397" s="5">
        <v>128</v>
      </c>
      <c r="K2397" s="5" t="s">
        <v>21</v>
      </c>
      <c r="L2397" s="5" t="s">
        <v>5970</v>
      </c>
      <c r="M2397" s="5">
        <v>45</v>
      </c>
      <c r="N2397" s="5" t="s">
        <v>81</v>
      </c>
    </row>
    <row r="2398" spans="1:17" x14ac:dyDescent="0.2">
      <c r="A2398" s="5"/>
      <c r="B2398" s="8" t="s">
        <v>6146</v>
      </c>
      <c r="H2398" s="8" t="s">
        <v>6147</v>
      </c>
      <c r="I2398" s="8" t="s">
        <v>6147</v>
      </c>
      <c r="J2398" s="5">
        <f>4628</f>
        <v>4628</v>
      </c>
      <c r="K2398" s="5" t="s">
        <v>21</v>
      </c>
      <c r="L2398" s="5" t="s">
        <v>5970</v>
      </c>
      <c r="M2398" s="5">
        <v>45</v>
      </c>
      <c r="N2398" s="5" t="s">
        <v>81</v>
      </c>
    </row>
    <row r="2399" spans="1:17" x14ac:dyDescent="0.2">
      <c r="A2399" s="5"/>
      <c r="B2399" s="8" t="s">
        <v>6148</v>
      </c>
      <c r="H2399" s="8" t="s">
        <v>5997</v>
      </c>
      <c r="I2399" s="8" t="s">
        <v>5997</v>
      </c>
      <c r="J2399" s="5">
        <f>21</f>
        <v>21</v>
      </c>
      <c r="K2399" s="5" t="s">
        <v>21</v>
      </c>
      <c r="L2399" s="5" t="s">
        <v>5970</v>
      </c>
      <c r="M2399" s="5">
        <v>46</v>
      </c>
      <c r="N2399" s="5" t="s">
        <v>81</v>
      </c>
    </row>
    <row r="2400" spans="1:17" x14ac:dyDescent="0.2">
      <c r="A2400" s="5"/>
      <c r="B2400" s="8" t="s">
        <v>6149</v>
      </c>
      <c r="H2400" s="8" t="s">
        <v>5997</v>
      </c>
      <c r="I2400" s="8" t="s">
        <v>5997</v>
      </c>
      <c r="J2400" s="5">
        <f>2596</f>
        <v>2596</v>
      </c>
      <c r="K2400" s="5" t="s">
        <v>21</v>
      </c>
      <c r="L2400" s="5" t="s">
        <v>5970</v>
      </c>
      <c r="M2400" s="5">
        <v>46</v>
      </c>
      <c r="N2400" s="5" t="s">
        <v>81</v>
      </c>
    </row>
    <row r="2401" spans="1:17" x14ac:dyDescent="0.2">
      <c r="A2401" s="5"/>
      <c r="B2401" s="8" t="s">
        <v>6150</v>
      </c>
      <c r="H2401" s="8" t="s">
        <v>5997</v>
      </c>
      <c r="I2401" s="8" t="s">
        <v>5997</v>
      </c>
      <c r="J2401" s="5">
        <f>83</f>
        <v>83</v>
      </c>
      <c r="K2401" s="5" t="s">
        <v>21</v>
      </c>
      <c r="L2401" s="5" t="s">
        <v>5970</v>
      </c>
      <c r="M2401" s="5">
        <v>46</v>
      </c>
      <c r="N2401" s="5" t="s">
        <v>81</v>
      </c>
    </row>
    <row r="2402" spans="1:17" x14ac:dyDescent="0.2">
      <c r="A2402" s="5"/>
      <c r="B2402" s="8" t="s">
        <v>6151</v>
      </c>
      <c r="H2402" s="8" t="s">
        <v>6152</v>
      </c>
      <c r="I2402" s="8" t="s">
        <v>6152</v>
      </c>
      <c r="J2402" s="5">
        <v>1690</v>
      </c>
      <c r="K2402" s="5" t="s">
        <v>21</v>
      </c>
      <c r="L2402" s="5" t="s">
        <v>5970</v>
      </c>
      <c r="M2402" s="5">
        <v>47</v>
      </c>
      <c r="N2402" s="5" t="s">
        <v>81</v>
      </c>
    </row>
    <row r="2403" spans="1:17" x14ac:dyDescent="0.2">
      <c r="A2403" s="5"/>
      <c r="B2403" s="8" t="s">
        <v>6153</v>
      </c>
      <c r="H2403" s="8" t="s">
        <v>5997</v>
      </c>
      <c r="I2403" s="8" t="s">
        <v>5997</v>
      </c>
      <c r="J2403" s="5">
        <v>142</v>
      </c>
      <c r="K2403" s="5" t="s">
        <v>21</v>
      </c>
      <c r="L2403" s="5" t="s">
        <v>5970</v>
      </c>
      <c r="M2403" s="5">
        <v>48</v>
      </c>
      <c r="N2403" s="5" t="s">
        <v>81</v>
      </c>
    </row>
    <row r="2404" spans="1:17" x14ac:dyDescent="0.2">
      <c r="A2404" s="5"/>
      <c r="B2404" s="8" t="s">
        <v>6154</v>
      </c>
      <c r="H2404" s="8" t="s">
        <v>5997</v>
      </c>
      <c r="I2404" s="8" t="s">
        <v>5997</v>
      </c>
      <c r="J2404" s="5">
        <v>59</v>
      </c>
      <c r="K2404" s="5" t="s">
        <v>21</v>
      </c>
      <c r="L2404" s="5" t="s">
        <v>5970</v>
      </c>
      <c r="M2404" s="5">
        <v>49</v>
      </c>
      <c r="N2404" s="5" t="s">
        <v>81</v>
      </c>
    </row>
    <row r="2405" spans="1:17" x14ac:dyDescent="0.2">
      <c r="A2405" s="5"/>
      <c r="B2405" s="8" t="s">
        <v>6155</v>
      </c>
      <c r="H2405" s="8" t="s">
        <v>6156</v>
      </c>
      <c r="I2405" s="8" t="s">
        <v>6156</v>
      </c>
      <c r="J2405" s="5">
        <f>1</f>
        <v>1</v>
      </c>
      <c r="K2405" s="5" t="s">
        <v>21</v>
      </c>
      <c r="L2405" s="5" t="s">
        <v>5970</v>
      </c>
      <c r="M2405" s="5">
        <v>49</v>
      </c>
      <c r="N2405" s="5" t="s">
        <v>81</v>
      </c>
      <c r="Q2405" s="107" t="s">
        <v>6157</v>
      </c>
    </row>
    <row r="2406" spans="1:17" x14ac:dyDescent="0.2">
      <c r="A2406" s="5"/>
      <c r="B2406" s="8" t="s">
        <v>6158</v>
      </c>
      <c r="H2406" s="8" t="s">
        <v>6159</v>
      </c>
      <c r="I2406" s="8" t="s">
        <v>6159</v>
      </c>
      <c r="J2406" s="5">
        <f>1</f>
        <v>1</v>
      </c>
      <c r="K2406" s="5" t="s">
        <v>21</v>
      </c>
      <c r="L2406" s="5" t="s">
        <v>5970</v>
      </c>
      <c r="M2406" s="5">
        <v>49</v>
      </c>
      <c r="N2406" s="5" t="s">
        <v>81</v>
      </c>
      <c r="Q2406" s="107" t="s">
        <v>6157</v>
      </c>
    </row>
    <row r="2407" spans="1:17" x14ac:dyDescent="0.2">
      <c r="A2407" s="5"/>
      <c r="B2407" s="8" t="s">
        <v>6160</v>
      </c>
      <c r="H2407" s="8" t="s">
        <v>5997</v>
      </c>
      <c r="I2407" s="8" t="s">
        <v>5997</v>
      </c>
      <c r="J2407" s="5">
        <v>200</v>
      </c>
      <c r="K2407" s="5" t="s">
        <v>21</v>
      </c>
      <c r="L2407" s="5" t="s">
        <v>5970</v>
      </c>
      <c r="M2407" s="5">
        <v>50</v>
      </c>
      <c r="N2407" s="5" t="s">
        <v>81</v>
      </c>
    </row>
    <row r="2408" spans="1:17" x14ac:dyDescent="0.2">
      <c r="A2408" s="5"/>
      <c r="B2408" s="8" t="s">
        <v>6161</v>
      </c>
      <c r="H2408" s="8" t="s">
        <v>6162</v>
      </c>
      <c r="I2408" s="8" t="s">
        <v>6162</v>
      </c>
      <c r="J2408" s="5">
        <v>90</v>
      </c>
      <c r="K2408" s="5" t="s">
        <v>21</v>
      </c>
      <c r="L2408" s="5" t="s">
        <v>5970</v>
      </c>
      <c r="M2408" s="5">
        <v>50</v>
      </c>
      <c r="N2408" s="5" t="s">
        <v>81</v>
      </c>
    </row>
    <row r="2409" spans="1:17" x14ac:dyDescent="0.2">
      <c r="A2409" s="5"/>
      <c r="B2409" s="8" t="s">
        <v>6163</v>
      </c>
      <c r="H2409" s="8" t="s">
        <v>6001</v>
      </c>
      <c r="I2409" s="8" t="s">
        <v>6001</v>
      </c>
      <c r="J2409" s="5">
        <v>587</v>
      </c>
      <c r="K2409" s="5" t="s">
        <v>21</v>
      </c>
      <c r="L2409" s="5" t="s">
        <v>5970</v>
      </c>
      <c r="M2409" s="5">
        <v>50</v>
      </c>
      <c r="N2409" s="5" t="s">
        <v>81</v>
      </c>
    </row>
    <row r="2410" spans="1:17" x14ac:dyDescent="0.2">
      <c r="A2410" s="5"/>
      <c r="B2410" s="8" t="s">
        <v>6164</v>
      </c>
      <c r="H2410" s="8" t="s">
        <v>5997</v>
      </c>
      <c r="I2410" s="8" t="s">
        <v>5997</v>
      </c>
      <c r="J2410" s="5">
        <v>418</v>
      </c>
      <c r="K2410" s="5" t="s">
        <v>21</v>
      </c>
      <c r="L2410" s="5" t="s">
        <v>5970</v>
      </c>
      <c r="M2410" s="5">
        <v>51</v>
      </c>
      <c r="N2410" s="5" t="s">
        <v>81</v>
      </c>
    </row>
    <row r="2411" spans="1:17" x14ac:dyDescent="0.2">
      <c r="A2411" s="5"/>
      <c r="B2411" s="8" t="s">
        <v>6165</v>
      </c>
      <c r="H2411" s="8" t="s">
        <v>6166</v>
      </c>
      <c r="I2411" s="8" t="s">
        <v>6166</v>
      </c>
      <c r="J2411" s="5">
        <v>78</v>
      </c>
      <c r="K2411" s="5" t="s">
        <v>21</v>
      </c>
      <c r="L2411" s="5" t="s">
        <v>5970</v>
      </c>
      <c r="M2411" s="5">
        <v>51</v>
      </c>
      <c r="N2411" s="5" t="s">
        <v>81</v>
      </c>
    </row>
    <row r="2412" spans="1:17" x14ac:dyDescent="0.2">
      <c r="A2412" s="5"/>
      <c r="B2412" s="108" t="s">
        <v>6167</v>
      </c>
      <c r="H2412" s="8" t="s">
        <v>5997</v>
      </c>
      <c r="I2412" s="8" t="s">
        <v>5997</v>
      </c>
      <c r="J2412" s="5">
        <v>5</v>
      </c>
      <c r="K2412" s="5" t="s">
        <v>21</v>
      </c>
      <c r="L2412" s="5" t="s">
        <v>5970</v>
      </c>
      <c r="M2412" s="5">
        <v>51</v>
      </c>
      <c r="N2412" s="5" t="s">
        <v>81</v>
      </c>
      <c r="Q2412" s="107" t="s">
        <v>6168</v>
      </c>
    </row>
    <row r="2413" spans="1:17" x14ac:dyDescent="0.2">
      <c r="A2413" s="5"/>
      <c r="B2413" s="8" t="s">
        <v>6169</v>
      </c>
      <c r="H2413" s="8" t="s">
        <v>5997</v>
      </c>
      <c r="I2413" s="8" t="s">
        <v>5997</v>
      </c>
      <c r="J2413" s="5">
        <v>32</v>
      </c>
      <c r="K2413" s="5" t="s">
        <v>21</v>
      </c>
      <c r="L2413" s="5" t="s">
        <v>5970</v>
      </c>
      <c r="M2413" s="5">
        <v>52</v>
      </c>
      <c r="N2413" s="5" t="s">
        <v>81</v>
      </c>
    </row>
    <row r="2414" spans="1:17" x14ac:dyDescent="0.2">
      <c r="A2414" s="5"/>
      <c r="B2414" s="8" t="s">
        <v>6170</v>
      </c>
      <c r="H2414" s="8" t="s">
        <v>5997</v>
      </c>
      <c r="I2414" s="8" t="s">
        <v>5997</v>
      </c>
      <c r="J2414" s="5">
        <v>996</v>
      </c>
      <c r="K2414" s="5" t="s">
        <v>21</v>
      </c>
      <c r="L2414" s="5" t="s">
        <v>5970</v>
      </c>
      <c r="M2414" s="5">
        <v>53</v>
      </c>
      <c r="N2414" s="5" t="s">
        <v>81</v>
      </c>
    </row>
    <row r="2415" spans="1:17" x14ac:dyDescent="0.2">
      <c r="A2415" s="5"/>
      <c r="B2415" s="8" t="s">
        <v>6171</v>
      </c>
      <c r="H2415" s="8" t="s">
        <v>5997</v>
      </c>
      <c r="I2415" s="8" t="s">
        <v>5997</v>
      </c>
      <c r="J2415" s="5">
        <v>9</v>
      </c>
      <c r="K2415" s="5" t="s">
        <v>21</v>
      </c>
      <c r="L2415" s="5" t="s">
        <v>5970</v>
      </c>
      <c r="M2415" s="5">
        <v>53</v>
      </c>
      <c r="N2415" s="5" t="s">
        <v>81</v>
      </c>
    </row>
    <row r="2416" spans="1:17" x14ac:dyDescent="0.2">
      <c r="A2416" s="5"/>
      <c r="B2416" s="8" t="s">
        <v>6172</v>
      </c>
      <c r="H2416" s="8" t="s">
        <v>6173</v>
      </c>
      <c r="I2416" s="8" t="s">
        <v>5997</v>
      </c>
      <c r="J2416" s="5">
        <v>0</v>
      </c>
      <c r="K2416" s="5" t="s">
        <v>21</v>
      </c>
      <c r="L2416" s="5" t="s">
        <v>5970</v>
      </c>
      <c r="M2416" s="5">
        <v>54</v>
      </c>
      <c r="N2416" s="5" t="s">
        <v>81</v>
      </c>
    </row>
    <row r="2417" spans="1:17" x14ac:dyDescent="0.2">
      <c r="A2417" s="5"/>
      <c r="B2417" s="8" t="s">
        <v>6174</v>
      </c>
      <c r="H2417" s="8" t="s">
        <v>5997</v>
      </c>
      <c r="I2417" s="8" t="s">
        <v>5997</v>
      </c>
      <c r="J2417" s="5">
        <v>62</v>
      </c>
      <c r="K2417" s="5" t="s">
        <v>21</v>
      </c>
      <c r="L2417" s="5" t="s">
        <v>5970</v>
      </c>
      <c r="M2417" s="5">
        <v>54</v>
      </c>
      <c r="N2417" s="5" t="s">
        <v>81</v>
      </c>
    </row>
    <row r="2418" spans="1:17" x14ac:dyDescent="0.2">
      <c r="A2418" s="5"/>
      <c r="B2418" s="8" t="s">
        <v>6175</v>
      </c>
      <c r="H2418" s="8" t="s">
        <v>5997</v>
      </c>
      <c r="I2418" s="8" t="s">
        <v>6166</v>
      </c>
      <c r="J2418" s="5">
        <v>9</v>
      </c>
      <c r="K2418" s="5" t="s">
        <v>21</v>
      </c>
      <c r="L2418" s="5" t="s">
        <v>5970</v>
      </c>
      <c r="M2418" s="5">
        <v>55</v>
      </c>
      <c r="N2418" s="5" t="s">
        <v>81</v>
      </c>
    </row>
    <row r="2419" spans="1:17" x14ac:dyDescent="0.2">
      <c r="A2419" s="5"/>
      <c r="B2419" s="8" t="s">
        <v>6176</v>
      </c>
      <c r="H2419" s="8" t="s">
        <v>5997</v>
      </c>
      <c r="I2419" s="8" t="s">
        <v>5997</v>
      </c>
      <c r="J2419" s="5">
        <f>749-44</f>
        <v>705</v>
      </c>
      <c r="K2419" s="5" t="s">
        <v>21</v>
      </c>
      <c r="L2419" s="5" t="s">
        <v>5970</v>
      </c>
      <c r="M2419" s="5">
        <v>55</v>
      </c>
      <c r="N2419" s="5" t="s">
        <v>81</v>
      </c>
    </row>
    <row r="2420" spans="1:17" x14ac:dyDescent="0.2">
      <c r="A2420" s="5"/>
      <c r="B2420" s="8" t="s">
        <v>6177</v>
      </c>
      <c r="H2420" s="8" t="s">
        <v>6178</v>
      </c>
      <c r="I2420" s="8" t="s">
        <v>6178</v>
      </c>
      <c r="J2420" s="5">
        <v>893</v>
      </c>
      <c r="K2420" s="5" t="s">
        <v>21</v>
      </c>
      <c r="L2420" s="5" t="s">
        <v>5970</v>
      </c>
      <c r="M2420" s="5">
        <v>55</v>
      </c>
      <c r="N2420" s="5" t="s">
        <v>81</v>
      </c>
      <c r="Q2420" s="107" t="s">
        <v>6179</v>
      </c>
    </row>
    <row r="2421" spans="1:17" x14ac:dyDescent="0.2">
      <c r="A2421" s="5"/>
      <c r="B2421" s="8" t="s">
        <v>6180</v>
      </c>
      <c r="H2421" s="8" t="s">
        <v>5997</v>
      </c>
      <c r="I2421" s="8" t="s">
        <v>5997</v>
      </c>
      <c r="J2421" s="5">
        <f>1594+220+9-39-100-100-50</f>
        <v>1534</v>
      </c>
      <c r="K2421" s="5" t="s">
        <v>21</v>
      </c>
      <c r="L2421" s="5" t="s">
        <v>5970</v>
      </c>
      <c r="M2421" s="5">
        <v>56</v>
      </c>
      <c r="N2421" s="5" t="s">
        <v>81</v>
      </c>
      <c r="Q2421" s="5" t="s">
        <v>6181</v>
      </c>
    </row>
    <row r="2422" spans="1:17" x14ac:dyDescent="0.2">
      <c r="A2422" s="5"/>
      <c r="B2422" s="8" t="s">
        <v>6182</v>
      </c>
      <c r="H2422" s="8" t="s">
        <v>5997</v>
      </c>
      <c r="I2422" s="8" t="s">
        <v>5997</v>
      </c>
      <c r="J2422" s="5">
        <f>283-100-14</f>
        <v>169</v>
      </c>
      <c r="K2422" s="5" t="s">
        <v>21</v>
      </c>
      <c r="L2422" s="5" t="s">
        <v>5970</v>
      </c>
      <c r="M2422" s="5">
        <v>56</v>
      </c>
      <c r="N2422" s="5" t="s">
        <v>81</v>
      </c>
      <c r="Q2422" s="5" t="s">
        <v>6183</v>
      </c>
    </row>
    <row r="2423" spans="1:17" x14ac:dyDescent="0.2">
      <c r="A2423" s="5">
        <v>457</v>
      </c>
      <c r="B2423" s="8" t="s">
        <v>6184</v>
      </c>
      <c r="H2423" s="8" t="s">
        <v>6185</v>
      </c>
      <c r="I2423" s="8" t="s">
        <v>6185</v>
      </c>
      <c r="J2423" s="5">
        <f>457-9-164-14</f>
        <v>270</v>
      </c>
      <c r="K2423" s="5" t="s">
        <v>21</v>
      </c>
      <c r="L2423" s="5" t="s">
        <v>5970</v>
      </c>
      <c r="M2423" s="5">
        <v>57</v>
      </c>
      <c r="N2423" s="5" t="s">
        <v>81</v>
      </c>
    </row>
    <row r="2424" spans="1:17" x14ac:dyDescent="0.2">
      <c r="A2424" s="5"/>
      <c r="B2424" s="8" t="s">
        <v>6186</v>
      </c>
      <c r="H2424" s="8" t="s">
        <v>5997</v>
      </c>
      <c r="I2424" s="8" t="s">
        <v>5997</v>
      </c>
      <c r="J2424" s="5">
        <f>20-1-4</f>
        <v>15</v>
      </c>
      <c r="K2424" s="5" t="s">
        <v>21</v>
      </c>
      <c r="L2424" s="5" t="s">
        <v>5970</v>
      </c>
      <c r="M2424" s="5">
        <v>57</v>
      </c>
      <c r="N2424" s="5" t="s">
        <v>81</v>
      </c>
    </row>
    <row r="2425" spans="1:17" x14ac:dyDescent="0.2">
      <c r="A2425" s="5"/>
      <c r="B2425" s="8" t="s">
        <v>6187</v>
      </c>
      <c r="H2425" s="8" t="s">
        <v>6001</v>
      </c>
      <c r="I2425" s="8" t="s">
        <v>6001</v>
      </c>
      <c r="J2425" s="5">
        <f>338-4-9</f>
        <v>325</v>
      </c>
      <c r="K2425" s="5" t="s">
        <v>21</v>
      </c>
      <c r="L2425" s="5" t="s">
        <v>5970</v>
      </c>
      <c r="M2425" s="5">
        <v>57</v>
      </c>
      <c r="N2425" s="5" t="s">
        <v>81</v>
      </c>
    </row>
    <row r="2426" spans="1:17" x14ac:dyDescent="0.2">
      <c r="A2426" s="5">
        <v>349</v>
      </c>
      <c r="B2426" s="8" t="s">
        <v>6188</v>
      </c>
      <c r="H2426" s="8" t="s">
        <v>6189</v>
      </c>
      <c r="I2426" s="8" t="s">
        <v>6189</v>
      </c>
      <c r="J2426" s="5">
        <f>3+91+101+28</f>
        <v>223</v>
      </c>
      <c r="K2426" s="5" t="s">
        <v>21</v>
      </c>
      <c r="L2426" s="5" t="s">
        <v>5970</v>
      </c>
      <c r="M2426" s="5">
        <v>58</v>
      </c>
      <c r="N2426" s="5" t="s">
        <v>81</v>
      </c>
      <c r="Q2426" s="5" t="s">
        <v>6190</v>
      </c>
    </row>
    <row r="2427" spans="1:17" x14ac:dyDescent="0.2">
      <c r="A2427" s="5"/>
      <c r="B2427" s="8" t="s">
        <v>6191</v>
      </c>
      <c r="H2427" s="8" t="s">
        <v>5997</v>
      </c>
      <c r="I2427" s="8" t="s">
        <v>5997</v>
      </c>
      <c r="J2427" s="5">
        <f>20-1-18</f>
        <v>1</v>
      </c>
      <c r="K2427" s="5" t="s">
        <v>21</v>
      </c>
      <c r="L2427" s="5" t="s">
        <v>5970</v>
      </c>
      <c r="M2427" s="5">
        <v>58</v>
      </c>
      <c r="N2427" s="5" t="s">
        <v>81</v>
      </c>
    </row>
    <row r="2428" spans="1:17" x14ac:dyDescent="0.2">
      <c r="A2428" s="5"/>
      <c r="B2428" s="8" t="s">
        <v>6192</v>
      </c>
      <c r="H2428" s="8" t="s">
        <v>5997</v>
      </c>
      <c r="I2428" s="8" t="s">
        <v>5997</v>
      </c>
      <c r="J2428" s="5">
        <f>56-4</f>
        <v>52</v>
      </c>
      <c r="K2428" s="5" t="s">
        <v>21</v>
      </c>
      <c r="L2428" s="5" t="s">
        <v>5970</v>
      </c>
      <c r="M2428" s="5">
        <v>59</v>
      </c>
      <c r="N2428" s="5" t="s">
        <v>81</v>
      </c>
    </row>
    <row r="2429" spans="1:17" x14ac:dyDescent="0.2">
      <c r="A2429" s="5"/>
      <c r="B2429" s="8" t="s">
        <v>6193</v>
      </c>
      <c r="H2429" s="8" t="s">
        <v>5997</v>
      </c>
      <c r="I2429" s="8" t="s">
        <v>5997</v>
      </c>
      <c r="J2429" s="5">
        <f>1195-85-5</f>
        <v>1105</v>
      </c>
      <c r="K2429" s="5" t="s">
        <v>21</v>
      </c>
      <c r="L2429" s="5" t="s">
        <v>5970</v>
      </c>
      <c r="M2429" s="5">
        <v>59</v>
      </c>
      <c r="N2429" s="5" t="s">
        <v>81</v>
      </c>
    </row>
    <row r="2430" spans="1:17" x14ac:dyDescent="0.2">
      <c r="A2430" s="5"/>
      <c r="B2430" s="8" t="s">
        <v>6194</v>
      </c>
      <c r="H2430" s="8" t="s">
        <v>6166</v>
      </c>
      <c r="I2430" s="8" t="s">
        <v>5997</v>
      </c>
      <c r="J2430" s="5">
        <v>1242</v>
      </c>
      <c r="K2430" s="5" t="s">
        <v>21</v>
      </c>
      <c r="L2430" s="5" t="s">
        <v>5970</v>
      </c>
      <c r="M2430" s="5">
        <v>60</v>
      </c>
      <c r="N2430" s="5" t="s">
        <v>81</v>
      </c>
    </row>
    <row r="2431" spans="1:17" x14ac:dyDescent="0.2">
      <c r="A2431" s="5"/>
      <c r="B2431" s="8" t="s">
        <v>6195</v>
      </c>
      <c r="H2431" s="8" t="s">
        <v>6196</v>
      </c>
      <c r="I2431" s="8" t="s">
        <v>5997</v>
      </c>
      <c r="J2431" s="5">
        <f>185-3</f>
        <v>182</v>
      </c>
      <c r="K2431" s="5" t="s">
        <v>21</v>
      </c>
      <c r="L2431" s="5" t="s">
        <v>5970</v>
      </c>
      <c r="M2431" s="5">
        <v>60</v>
      </c>
      <c r="N2431" s="5" t="s">
        <v>81</v>
      </c>
    </row>
    <row r="2432" spans="1:17" x14ac:dyDescent="0.2">
      <c r="A2432" s="5"/>
      <c r="B2432" s="8" t="s">
        <v>6197</v>
      </c>
      <c r="H2432" s="8" t="s">
        <v>5997</v>
      </c>
      <c r="I2432" s="8" t="s">
        <v>5997</v>
      </c>
      <c r="J2432" s="5">
        <v>90</v>
      </c>
      <c r="K2432" s="5" t="s">
        <v>21</v>
      </c>
      <c r="L2432" s="5" t="s">
        <v>5970</v>
      </c>
      <c r="M2432" s="5">
        <v>61</v>
      </c>
      <c r="N2432" s="5" t="s">
        <v>81</v>
      </c>
    </row>
    <row r="2433" spans="1:21" x14ac:dyDescent="0.2">
      <c r="A2433" s="5"/>
      <c r="B2433" s="8" t="s">
        <v>6172</v>
      </c>
      <c r="H2433" s="8" t="s">
        <v>6173</v>
      </c>
      <c r="I2433" s="8" t="s">
        <v>5997</v>
      </c>
      <c r="J2433" s="5">
        <v>338</v>
      </c>
      <c r="K2433" s="5" t="s">
        <v>21</v>
      </c>
      <c r="L2433" s="5" t="s">
        <v>5970</v>
      </c>
      <c r="M2433" s="5">
        <v>62</v>
      </c>
      <c r="N2433" s="5" t="s">
        <v>81</v>
      </c>
    </row>
    <row r="2434" spans="1:21" x14ac:dyDescent="0.2">
      <c r="A2434" s="5"/>
      <c r="B2434" s="8" t="s">
        <v>6198</v>
      </c>
      <c r="H2434" s="8" t="s">
        <v>6199</v>
      </c>
      <c r="I2434" s="8" t="s">
        <v>6199</v>
      </c>
      <c r="J2434" s="5">
        <v>52</v>
      </c>
      <c r="K2434" s="5" t="s">
        <v>21</v>
      </c>
      <c r="L2434" s="5" t="s">
        <v>5970</v>
      </c>
      <c r="M2434" s="5">
        <v>62</v>
      </c>
      <c r="N2434" s="5" t="s">
        <v>81</v>
      </c>
    </row>
    <row r="2435" spans="1:21" x14ac:dyDescent="0.2">
      <c r="A2435" s="5">
        <v>254</v>
      </c>
      <c r="B2435" s="8" t="s">
        <v>6200</v>
      </c>
      <c r="H2435" s="8" t="s">
        <v>5997</v>
      </c>
      <c r="I2435" s="8" t="s">
        <v>5997</v>
      </c>
      <c r="J2435" s="5">
        <f>815+55-30-570-119</f>
        <v>151</v>
      </c>
      <c r="K2435" s="5" t="s">
        <v>21</v>
      </c>
      <c r="L2435" s="5" t="s">
        <v>5970</v>
      </c>
      <c r="M2435" s="5">
        <v>63</v>
      </c>
      <c r="N2435" s="5" t="s">
        <v>5997</v>
      </c>
      <c r="Q2435" s="5" t="s">
        <v>6201</v>
      </c>
    </row>
    <row r="2436" spans="1:21" x14ac:dyDescent="0.2">
      <c r="A2436" s="5"/>
      <c r="B2436" s="8" t="s">
        <v>6202</v>
      </c>
      <c r="H2436" s="8" t="s">
        <v>5997</v>
      </c>
      <c r="I2436" s="8" t="s">
        <v>5997</v>
      </c>
      <c r="J2436" s="5">
        <v>111</v>
      </c>
      <c r="K2436" s="5" t="s">
        <v>21</v>
      </c>
      <c r="L2436" s="5" t="s">
        <v>5970</v>
      </c>
      <c r="M2436" s="5">
        <v>63</v>
      </c>
      <c r="N2436" s="5" t="s">
        <v>81</v>
      </c>
    </row>
    <row r="2437" spans="1:21" x14ac:dyDescent="0.2">
      <c r="A2437" s="5"/>
      <c r="B2437" s="8" t="s">
        <v>6203</v>
      </c>
      <c r="H2437" s="8" t="s">
        <v>6203</v>
      </c>
      <c r="I2437" s="8" t="s">
        <v>6203</v>
      </c>
      <c r="J2437" s="5">
        <v>3</v>
      </c>
      <c r="K2437" s="5" t="s">
        <v>21</v>
      </c>
      <c r="L2437" s="5" t="s">
        <v>5970</v>
      </c>
      <c r="M2437" s="5">
        <v>63</v>
      </c>
      <c r="N2437" s="5" t="s">
        <v>81</v>
      </c>
    </row>
    <row r="2438" spans="1:21" s="151" customFormat="1" x14ac:dyDescent="0.2">
      <c r="A2438" s="162" t="s">
        <v>6204</v>
      </c>
      <c r="B2438" s="163" t="s">
        <v>6205</v>
      </c>
      <c r="C2438" s="140"/>
      <c r="D2438" s="140"/>
      <c r="E2438" s="164"/>
      <c r="F2438" s="140"/>
      <c r="G2438" s="140"/>
      <c r="H2438" s="163" t="s">
        <v>6206</v>
      </c>
      <c r="I2438" s="8"/>
      <c r="J2438" s="150"/>
      <c r="K2438" s="150"/>
      <c r="L2438" s="150"/>
      <c r="M2438" s="150"/>
      <c r="N2438" s="150"/>
      <c r="O2438" s="150"/>
      <c r="P2438" s="150"/>
      <c r="Q2438" s="150"/>
      <c r="R2438" s="150"/>
      <c r="S2438" s="150"/>
      <c r="T2438" s="150"/>
    </row>
    <row r="2439" spans="1:21" x14ac:dyDescent="0.2">
      <c r="A2439" s="5">
        <v>1</v>
      </c>
      <c r="B2439" s="8" t="s">
        <v>2668</v>
      </c>
      <c r="H2439" s="8" t="s">
        <v>6207</v>
      </c>
      <c r="I2439" s="8" t="s">
        <v>6207</v>
      </c>
      <c r="J2439" s="5">
        <f>59-48-4+1-4+259-64-32-64-16+1-88+200-28-83-16-1-24-4</f>
        <v>44</v>
      </c>
      <c r="K2439" s="5" t="s">
        <v>21</v>
      </c>
      <c r="L2439" s="5" t="s">
        <v>5970</v>
      </c>
      <c r="M2439" s="5">
        <v>65</v>
      </c>
      <c r="N2439" s="5" t="s">
        <v>6206</v>
      </c>
      <c r="Q2439" s="5" t="s">
        <v>6208</v>
      </c>
    </row>
    <row r="2440" spans="1:21" x14ac:dyDescent="0.2">
      <c r="A2440" s="5">
        <v>2</v>
      </c>
      <c r="B2440" s="8" t="s">
        <v>6209</v>
      </c>
      <c r="H2440" s="8" t="s">
        <v>6207</v>
      </c>
      <c r="I2440" s="8" t="s">
        <v>6207</v>
      </c>
      <c r="J2440" s="5">
        <f>137-18-18-12-89+200+157-157+48</f>
        <v>248</v>
      </c>
      <c r="K2440" s="5" t="s">
        <v>21</v>
      </c>
      <c r="L2440" s="5" t="s">
        <v>5970</v>
      </c>
      <c r="M2440" s="5">
        <v>65</v>
      </c>
      <c r="N2440" s="5" t="s">
        <v>6206</v>
      </c>
      <c r="Q2440" s="5" t="s">
        <v>6210</v>
      </c>
    </row>
    <row r="2441" spans="1:21" x14ac:dyDescent="0.2">
      <c r="A2441" s="5">
        <v>3</v>
      </c>
      <c r="B2441" s="8" t="s">
        <v>6211</v>
      </c>
      <c r="H2441" s="8" t="s">
        <v>6207</v>
      </c>
      <c r="I2441" s="8" t="s">
        <v>6207</v>
      </c>
      <c r="J2441" s="5">
        <v>398</v>
      </c>
      <c r="K2441" s="5" t="s">
        <v>21</v>
      </c>
      <c r="L2441" s="5" t="s">
        <v>5970</v>
      </c>
      <c r="M2441" s="5">
        <v>65</v>
      </c>
      <c r="N2441" s="5" t="s">
        <v>6206</v>
      </c>
      <c r="Q2441" s="5" t="s">
        <v>553</v>
      </c>
    </row>
    <row r="2442" spans="1:21" x14ac:dyDescent="0.2">
      <c r="A2442" s="5">
        <v>4</v>
      </c>
      <c r="B2442" s="8" t="s">
        <v>6212</v>
      </c>
      <c r="H2442" s="8" t="s">
        <v>6207</v>
      </c>
      <c r="I2442" s="8" t="s">
        <v>6207</v>
      </c>
      <c r="J2442" s="5">
        <v>99</v>
      </c>
      <c r="K2442" s="5" t="s">
        <v>21</v>
      </c>
      <c r="L2442" s="5" t="s">
        <v>5970</v>
      </c>
      <c r="M2442" s="5">
        <v>65</v>
      </c>
      <c r="N2442" s="5" t="s">
        <v>6206</v>
      </c>
      <c r="Q2442" s="5" t="s">
        <v>6213</v>
      </c>
    </row>
    <row r="2443" spans="1:21" x14ac:dyDescent="0.2">
      <c r="A2443" s="5">
        <v>5</v>
      </c>
      <c r="B2443" s="8" t="s">
        <v>6214</v>
      </c>
      <c r="H2443" s="8" t="s">
        <v>6215</v>
      </c>
      <c r="I2443" s="8" t="s">
        <v>6215</v>
      </c>
      <c r="J2443" s="5">
        <f>65</f>
        <v>65</v>
      </c>
      <c r="K2443" s="5" t="s">
        <v>21</v>
      </c>
      <c r="L2443" s="5" t="s">
        <v>5970</v>
      </c>
      <c r="M2443" s="5">
        <v>65</v>
      </c>
      <c r="N2443" s="5" t="s">
        <v>6206</v>
      </c>
      <c r="Q2443" s="5" t="s">
        <v>6216</v>
      </c>
    </row>
    <row r="2444" spans="1:21" x14ac:dyDescent="0.2">
      <c r="A2444" s="5">
        <v>6</v>
      </c>
      <c r="B2444" s="8" t="s">
        <v>6217</v>
      </c>
      <c r="H2444" s="8" t="s">
        <v>6215</v>
      </c>
      <c r="I2444" s="8" t="s">
        <v>6215</v>
      </c>
      <c r="J2444" s="5">
        <f>63</f>
        <v>63</v>
      </c>
      <c r="K2444" s="5" t="s">
        <v>21</v>
      </c>
      <c r="L2444" s="5" t="s">
        <v>5970</v>
      </c>
      <c r="M2444" s="5">
        <v>65</v>
      </c>
      <c r="N2444" s="5" t="s">
        <v>6206</v>
      </c>
      <c r="Q2444" s="5" t="s">
        <v>6216</v>
      </c>
    </row>
    <row r="2445" spans="1:21" x14ac:dyDescent="0.2">
      <c r="A2445" s="5">
        <v>7</v>
      </c>
      <c r="B2445" s="8" t="s">
        <v>6218</v>
      </c>
      <c r="H2445" s="8" t="s">
        <v>6215</v>
      </c>
      <c r="I2445" s="8" t="s">
        <v>6215</v>
      </c>
      <c r="J2445" s="5">
        <f>30</f>
        <v>30</v>
      </c>
      <c r="K2445" s="5" t="s">
        <v>21</v>
      </c>
      <c r="L2445" s="5" t="s">
        <v>5970</v>
      </c>
      <c r="M2445" s="5">
        <v>65</v>
      </c>
      <c r="N2445" s="5" t="s">
        <v>6206</v>
      </c>
      <c r="Q2445" s="5" t="s">
        <v>6216</v>
      </c>
    </row>
    <row r="2446" spans="1:21" x14ac:dyDescent="0.2">
      <c r="A2446" s="5">
        <v>8</v>
      </c>
      <c r="B2446" s="8" t="s">
        <v>6212</v>
      </c>
      <c r="H2446" s="8" t="s">
        <v>6219</v>
      </c>
      <c r="I2446" s="8" t="s">
        <v>6219</v>
      </c>
      <c r="J2446" s="5">
        <f>52-1</f>
        <v>51</v>
      </c>
      <c r="K2446" s="5" t="s">
        <v>21</v>
      </c>
      <c r="L2446" s="5" t="s">
        <v>5970</v>
      </c>
      <c r="M2446" s="5">
        <v>65</v>
      </c>
      <c r="N2446" s="5" t="s">
        <v>6206</v>
      </c>
      <c r="U2446" t="s">
        <v>321</v>
      </c>
    </row>
    <row r="2447" spans="1:21" x14ac:dyDescent="0.2">
      <c r="A2447" s="5">
        <v>9</v>
      </c>
      <c r="B2447" s="8" t="s">
        <v>6220</v>
      </c>
      <c r="H2447" s="8" t="s">
        <v>6219</v>
      </c>
      <c r="I2447" s="8" t="s">
        <v>6219</v>
      </c>
      <c r="J2447" s="5">
        <v>200</v>
      </c>
      <c r="K2447" s="5" t="s">
        <v>21</v>
      </c>
      <c r="L2447" s="5" t="s">
        <v>5970</v>
      </c>
      <c r="M2447" s="5">
        <v>65</v>
      </c>
      <c r="N2447" s="5" t="s">
        <v>6206</v>
      </c>
    </row>
    <row r="2448" spans="1:21" x14ac:dyDescent="0.2">
      <c r="A2448" s="5">
        <v>10</v>
      </c>
      <c r="B2448" s="8" t="s">
        <v>6221</v>
      </c>
      <c r="H2448" s="8" t="s">
        <v>6219</v>
      </c>
      <c r="I2448" s="8" t="s">
        <v>6219</v>
      </c>
      <c r="J2448" s="5">
        <f>54</f>
        <v>54</v>
      </c>
      <c r="K2448" s="5" t="s">
        <v>21</v>
      </c>
      <c r="L2448" s="5" t="s">
        <v>5970</v>
      </c>
      <c r="M2448" s="5">
        <v>65</v>
      </c>
      <c r="N2448" s="5" t="s">
        <v>6206</v>
      </c>
      <c r="Q2448" s="131" t="s">
        <v>6222</v>
      </c>
      <c r="U2448" t="s">
        <v>321</v>
      </c>
    </row>
    <row r="2449" spans="1:20" x14ac:dyDescent="0.2">
      <c r="A2449" s="5">
        <v>11</v>
      </c>
      <c r="B2449" s="8" t="s">
        <v>6223</v>
      </c>
      <c r="H2449" s="8" t="s">
        <v>6219</v>
      </c>
      <c r="I2449" s="8" t="s">
        <v>6219</v>
      </c>
      <c r="J2449" s="5">
        <f>135+28</f>
        <v>163</v>
      </c>
      <c r="K2449" s="5" t="s">
        <v>21</v>
      </c>
      <c r="L2449" s="5" t="s">
        <v>5970</v>
      </c>
      <c r="M2449" s="5">
        <v>65</v>
      </c>
      <c r="N2449" s="5" t="s">
        <v>6206</v>
      </c>
    </row>
    <row r="2450" spans="1:20" x14ac:dyDescent="0.2">
      <c r="A2450" s="5">
        <v>12</v>
      </c>
      <c r="B2450" s="8" t="s">
        <v>6224</v>
      </c>
      <c r="H2450" s="8" t="s">
        <v>6219</v>
      </c>
      <c r="I2450" s="8" t="s">
        <v>6219</v>
      </c>
      <c r="J2450" s="5">
        <v>147</v>
      </c>
      <c r="K2450" s="5" t="s">
        <v>21</v>
      </c>
      <c r="L2450" s="5" t="s">
        <v>5970</v>
      </c>
      <c r="M2450" s="5">
        <v>65</v>
      </c>
      <c r="N2450" s="5" t="s">
        <v>6206</v>
      </c>
    </row>
    <row r="2451" spans="1:20" x14ac:dyDescent="0.2">
      <c r="A2451" s="5">
        <v>13</v>
      </c>
      <c r="B2451" s="8" t="s">
        <v>6225</v>
      </c>
      <c r="H2451" s="8" t="s">
        <v>6219</v>
      </c>
      <c r="I2451" s="8" t="s">
        <v>6219</v>
      </c>
      <c r="J2451" s="5">
        <v>199</v>
      </c>
      <c r="K2451" s="5" t="s">
        <v>21</v>
      </c>
      <c r="L2451" s="5" t="s">
        <v>5970</v>
      </c>
      <c r="M2451" s="5">
        <v>65</v>
      </c>
      <c r="N2451" s="5" t="s">
        <v>6206</v>
      </c>
    </row>
    <row r="2452" spans="1:20" x14ac:dyDescent="0.2">
      <c r="A2452" s="5">
        <v>15</v>
      </c>
      <c r="B2452" s="8" t="s">
        <v>6226</v>
      </c>
      <c r="H2452" s="108" t="s">
        <v>6227</v>
      </c>
      <c r="I2452" s="108" t="s">
        <v>6227</v>
      </c>
      <c r="J2452" s="5">
        <f>8</f>
        <v>8</v>
      </c>
      <c r="K2452" s="5" t="s">
        <v>21</v>
      </c>
      <c r="L2452" s="5" t="s">
        <v>5970</v>
      </c>
      <c r="M2452" s="5">
        <v>65</v>
      </c>
      <c r="N2452" s="5" t="s">
        <v>6206</v>
      </c>
      <c r="Q2452" s="107" t="s">
        <v>6228</v>
      </c>
    </row>
    <row r="2453" spans="1:20" x14ac:dyDescent="0.2">
      <c r="A2453" s="5">
        <v>16</v>
      </c>
      <c r="B2453" s="8" t="s">
        <v>6229</v>
      </c>
      <c r="H2453" s="8" t="s">
        <v>6230</v>
      </c>
      <c r="I2453" s="8" t="s">
        <v>6230</v>
      </c>
      <c r="J2453" s="5">
        <f>2</f>
        <v>2</v>
      </c>
      <c r="K2453" s="5" t="s">
        <v>21</v>
      </c>
      <c r="L2453" s="5" t="s">
        <v>5970</v>
      </c>
      <c r="M2453" s="5">
        <v>65</v>
      </c>
      <c r="N2453" s="5" t="s">
        <v>6206</v>
      </c>
      <c r="Q2453" s="107" t="s">
        <v>3146</v>
      </c>
    </row>
    <row r="2454" spans="1:20" s="166" customFormat="1" x14ac:dyDescent="0.2">
      <c r="A2454" s="162" t="s">
        <v>6231</v>
      </c>
      <c r="B2454" s="163" t="s">
        <v>6232</v>
      </c>
      <c r="C2454" s="140"/>
      <c r="D2454" s="140"/>
      <c r="E2454" s="164"/>
      <c r="F2454" s="140"/>
      <c r="G2454" s="140"/>
      <c r="H2454" s="163" t="s">
        <v>6206</v>
      </c>
      <c r="I2454" s="163"/>
      <c r="J2454" s="162"/>
      <c r="K2454" s="162"/>
      <c r="L2454" s="162"/>
      <c r="M2454" s="162"/>
      <c r="N2454" s="162"/>
      <c r="O2454" s="162"/>
      <c r="P2454" s="162"/>
      <c r="Q2454" s="165"/>
      <c r="R2454" s="162"/>
      <c r="S2454" s="162"/>
      <c r="T2454" s="162"/>
    </row>
    <row r="2455" spans="1:20" x14ac:dyDescent="0.2">
      <c r="A2455" s="5">
        <v>1</v>
      </c>
      <c r="B2455" s="8" t="s">
        <v>6233</v>
      </c>
      <c r="H2455" s="8" t="s">
        <v>6234</v>
      </c>
      <c r="I2455" s="8" t="s">
        <v>6235</v>
      </c>
      <c r="J2455" s="5">
        <f>2242+40-8</f>
        <v>2274</v>
      </c>
      <c r="K2455" s="5" t="s">
        <v>21</v>
      </c>
      <c r="L2455" s="5" t="s">
        <v>5970</v>
      </c>
      <c r="M2455" s="5">
        <v>66</v>
      </c>
      <c r="N2455" s="5" t="s">
        <v>6206</v>
      </c>
    </row>
    <row r="2456" spans="1:20" x14ac:dyDescent="0.2">
      <c r="A2456" s="5">
        <v>2</v>
      </c>
      <c r="B2456" s="8" t="s">
        <v>6236</v>
      </c>
      <c r="H2456" s="8" t="s">
        <v>6237</v>
      </c>
      <c r="I2456" s="8" t="s">
        <v>6235</v>
      </c>
      <c r="J2456" s="5">
        <f>104-64-15+500-56-208</f>
        <v>261</v>
      </c>
      <c r="K2456" s="5" t="s">
        <v>21</v>
      </c>
      <c r="L2456" s="5" t="s">
        <v>5970</v>
      </c>
      <c r="M2456" s="5">
        <v>66</v>
      </c>
      <c r="N2456" s="5" t="s">
        <v>6206</v>
      </c>
      <c r="Q2456" s="99" t="s">
        <v>6238</v>
      </c>
    </row>
    <row r="2457" spans="1:20" x14ac:dyDescent="0.2">
      <c r="A2457" s="5">
        <v>3</v>
      </c>
      <c r="B2457" s="8" t="s">
        <v>6239</v>
      </c>
      <c r="H2457" s="8" t="s">
        <v>6240</v>
      </c>
      <c r="I2457" s="8" t="s">
        <v>6235</v>
      </c>
      <c r="J2457" s="5">
        <f>90-6</f>
        <v>84</v>
      </c>
      <c r="K2457" s="5" t="s">
        <v>21</v>
      </c>
      <c r="L2457" s="5" t="s">
        <v>5970</v>
      </c>
      <c r="M2457" s="5">
        <v>66</v>
      </c>
      <c r="N2457" s="5" t="s">
        <v>6206</v>
      </c>
    </row>
    <row r="2458" spans="1:20" x14ac:dyDescent="0.2">
      <c r="A2458" s="5">
        <v>4</v>
      </c>
      <c r="B2458" s="8" t="s">
        <v>2668</v>
      </c>
      <c r="H2458" s="8" t="s">
        <v>6241</v>
      </c>
      <c r="I2458" s="8" t="s">
        <v>6235</v>
      </c>
      <c r="J2458" s="5">
        <f>7500-390-234-970-970-92-16-16-16-2+4000+660-8-9-9-18-16-4-4</f>
        <v>9386</v>
      </c>
      <c r="K2458" s="5" t="s">
        <v>21</v>
      </c>
      <c r="L2458" s="5" t="s">
        <v>5970</v>
      </c>
      <c r="M2458" s="5">
        <v>66</v>
      </c>
      <c r="N2458" s="5" t="s">
        <v>6206</v>
      </c>
    </row>
    <row r="2459" spans="1:20" x14ac:dyDescent="0.2">
      <c r="A2459" s="5">
        <v>5</v>
      </c>
      <c r="B2459" s="8" t="s">
        <v>6209</v>
      </c>
      <c r="H2459" s="8" t="s">
        <v>6242</v>
      </c>
      <c r="I2459" s="8" t="s">
        <v>6235</v>
      </c>
      <c r="J2459" s="5">
        <f>135+3200-1320-840-840-136+1-16-32-2+4000-1605-1605-230+1480</f>
        <v>2190</v>
      </c>
      <c r="K2459" s="5" t="s">
        <v>21</v>
      </c>
      <c r="L2459" s="5" t="s">
        <v>5970</v>
      </c>
      <c r="M2459" s="5">
        <v>66</v>
      </c>
      <c r="N2459" s="5" t="s">
        <v>6206</v>
      </c>
      <c r="Q2459" s="5" t="s">
        <v>6243</v>
      </c>
    </row>
    <row r="2460" spans="1:20" x14ac:dyDescent="0.2">
      <c r="A2460" s="5">
        <v>6</v>
      </c>
      <c r="B2460" s="8" t="s">
        <v>6211</v>
      </c>
      <c r="H2460" s="8" t="s">
        <v>6244</v>
      </c>
      <c r="I2460" s="8" t="s">
        <v>6235</v>
      </c>
      <c r="J2460" s="5">
        <f>634-30-10-8-40-48-2-9-96-9+244-96-4-12-32+1-8-6-24-27-96+445-32-6-20-10-10-9-9-4-4-16-22-30-9-8-32-6-4-32-4+32+32-60-50-28-2-88-16-28-134+171-8-67-8-27-96+1000-804-64+52-134+500-267-47-16-58-8-192+985+274-11-30-33-1071+40+1100-1-40-8-2-30-512-746+173-12-3-40+1000-536-32-335-201+873-30-32-30-60+7000-2948-1876-1876-8+2000-445-445-67-201-201+536</f>
        <v>2204</v>
      </c>
      <c r="K2460" s="5" t="s">
        <v>21</v>
      </c>
      <c r="L2460" s="5" t="s">
        <v>5970</v>
      </c>
      <c r="M2460" s="5">
        <v>66</v>
      </c>
      <c r="N2460" s="5" t="s">
        <v>6206</v>
      </c>
    </row>
    <row r="2461" spans="1:20" s="166" customFormat="1" x14ac:dyDescent="0.2">
      <c r="A2461" s="162" t="s">
        <v>6245</v>
      </c>
      <c r="B2461" s="163" t="s">
        <v>6246</v>
      </c>
      <c r="C2461" s="140"/>
      <c r="D2461" s="140"/>
      <c r="E2461" s="164"/>
      <c r="F2461" s="140"/>
      <c r="G2461" s="140"/>
      <c r="H2461" s="163" t="s">
        <v>6206</v>
      </c>
      <c r="I2461" s="140"/>
      <c r="J2461" s="162"/>
      <c r="K2461" s="162"/>
      <c r="L2461" s="162"/>
      <c r="M2461" s="162"/>
      <c r="N2461" s="162"/>
      <c r="O2461" s="162"/>
      <c r="P2461" s="162"/>
      <c r="Q2461" s="165"/>
      <c r="R2461" s="162"/>
      <c r="S2461" s="162"/>
      <c r="T2461" s="162"/>
    </row>
    <row r="2462" spans="1:20" x14ac:dyDescent="0.2">
      <c r="A2462" s="5">
        <v>7</v>
      </c>
      <c r="B2462" s="8" t="s">
        <v>6212</v>
      </c>
      <c r="H2462" s="8" t="s">
        <v>6247</v>
      </c>
      <c r="I2462" s="8" t="s">
        <v>6235</v>
      </c>
      <c r="J2462" s="5">
        <f>89-2+115-18-64+2000-348-32-32-348-100-22-106+704-22-256-320-24-16-7-2-110-16-8-18-72-16-1-188-220-16-8-220-18-110-44-18+2000-204-8-32-8-16-72-14-72-450-236-16+2000-1000-472-72-72-1200+48+1000-650-20-36-16-24+135-18-272-4-117+300-272-12+514-220-4-20-50-32-339-51+250-112-23+300-136-6-6-36-36-42-38-72+24+2000-748-476-476-106-24+18+1051</f>
        <v>1308</v>
      </c>
      <c r="K2462" s="5" t="s">
        <v>21</v>
      </c>
      <c r="L2462" s="5" t="s">
        <v>5970</v>
      </c>
      <c r="M2462" s="5">
        <v>67</v>
      </c>
      <c r="N2462" s="5" t="s">
        <v>6206</v>
      </c>
      <c r="Q2462" s="107" t="s">
        <v>6248</v>
      </c>
    </row>
    <row r="2463" spans="1:20" x14ac:dyDescent="0.2">
      <c r="A2463" s="5">
        <v>8</v>
      </c>
      <c r="B2463" s="8" t="s">
        <v>6249</v>
      </c>
      <c r="H2463" s="8" t="s">
        <v>6250</v>
      </c>
      <c r="I2463" s="8" t="s">
        <v>6235</v>
      </c>
      <c r="J2463" s="5">
        <f>1994-16-12-8-20-80-20-101-60-60-110-110-62+241-2-2-12-372+110-12-16-4-372+109+30+39-123-16-16-4-4-8-48-8-40-12-32-128-24-423-50+45+21-32-25-84-32+1000+2000-4-16-4-4-8-141-58-24-4-4-4-4-278+150-112-4-42-50-50-430-168-8-308-196-88-145-87+1000-196-36-58+1000-235-235-29-87-87</f>
        <v>1975</v>
      </c>
      <c r="K2463" s="5" t="s">
        <v>21</v>
      </c>
      <c r="L2463" s="5" t="s">
        <v>5970</v>
      </c>
      <c r="M2463" s="5">
        <v>67</v>
      </c>
      <c r="N2463" s="5" t="s">
        <v>6206</v>
      </c>
    </row>
    <row r="2464" spans="1:20" x14ac:dyDescent="0.2">
      <c r="A2464" s="5">
        <v>9</v>
      </c>
      <c r="B2464" s="8" t="s">
        <v>6251</v>
      </c>
      <c r="H2464" s="8" t="s">
        <v>6252</v>
      </c>
      <c r="I2464" s="8" t="s">
        <v>6235</v>
      </c>
      <c r="J2464" s="5">
        <f>138+1500-616-392-392</f>
        <v>238</v>
      </c>
      <c r="K2464" s="5" t="s">
        <v>21</v>
      </c>
      <c r="L2464" s="5" t="s">
        <v>5970</v>
      </c>
      <c r="M2464" s="5">
        <v>67</v>
      </c>
      <c r="N2464" s="5" t="s">
        <v>6206</v>
      </c>
    </row>
    <row r="2465" spans="1:20" x14ac:dyDescent="0.2">
      <c r="A2465" s="5">
        <v>10</v>
      </c>
      <c r="B2465" s="8" t="s">
        <v>6253</v>
      </c>
      <c r="H2465" s="8" t="s">
        <v>6254</v>
      </c>
      <c r="I2465" s="8" t="s">
        <v>6235</v>
      </c>
      <c r="J2465" s="5">
        <f>66-3-9-49-1+200-9-1+2-6</f>
        <v>190</v>
      </c>
      <c r="K2465" s="5" t="s">
        <v>21</v>
      </c>
      <c r="L2465" s="5" t="s">
        <v>5970</v>
      </c>
      <c r="M2465" s="5">
        <v>67</v>
      </c>
      <c r="N2465" s="5" t="s">
        <v>6206</v>
      </c>
      <c r="Q2465" s="107" t="s">
        <v>6255</v>
      </c>
    </row>
    <row r="2466" spans="1:20" s="169" customFormat="1" x14ac:dyDescent="0.2">
      <c r="A2466" s="167" t="s">
        <v>6256</v>
      </c>
      <c r="B2466" s="140" t="s">
        <v>6257</v>
      </c>
      <c r="C2466" s="140"/>
      <c r="D2466" s="140"/>
      <c r="E2466" s="164"/>
      <c r="F2466" s="140"/>
      <c r="G2466" s="140"/>
      <c r="H2466" s="140" t="s">
        <v>5971</v>
      </c>
      <c r="I2466" s="140"/>
      <c r="J2466" s="167"/>
      <c r="K2466" s="167"/>
      <c r="L2466" s="167"/>
      <c r="M2466" s="167"/>
      <c r="N2466" s="167"/>
      <c r="O2466" s="167"/>
      <c r="P2466" s="167"/>
      <c r="Q2466" s="168"/>
      <c r="R2466" s="167"/>
      <c r="S2466" s="167"/>
      <c r="T2466" s="167"/>
    </row>
    <row r="2467" spans="1:20" x14ac:dyDescent="0.2">
      <c r="A2467" s="5">
        <v>1</v>
      </c>
      <c r="B2467" s="8" t="s">
        <v>6233</v>
      </c>
      <c r="H2467" s="8" t="s">
        <v>6258</v>
      </c>
      <c r="I2467" s="8" t="s">
        <v>6259</v>
      </c>
      <c r="J2467" s="5">
        <f>217-10-8-2+169-20-20-20-39-24-8-120-5+1-12-40-1-6-40+1+300-12-8-1-88-10-196+500-40+88-9-12-40-158-40-3-17</f>
        <v>267</v>
      </c>
      <c r="K2467" s="5" t="s">
        <v>21</v>
      </c>
      <c r="L2467" s="5" t="s">
        <v>5970</v>
      </c>
      <c r="M2467" s="77">
        <v>68</v>
      </c>
      <c r="N2467" s="5" t="s">
        <v>5971</v>
      </c>
    </row>
    <row r="2468" spans="1:20" x14ac:dyDescent="0.2">
      <c r="A2468" s="5">
        <v>2</v>
      </c>
      <c r="B2468" s="8" t="s">
        <v>6236</v>
      </c>
      <c r="H2468" s="8" t="s">
        <v>6260</v>
      </c>
      <c r="I2468" s="8" t="s">
        <v>6259</v>
      </c>
      <c r="J2468" s="5">
        <v>24</v>
      </c>
      <c r="K2468" s="5" t="s">
        <v>21</v>
      </c>
      <c r="L2468" s="5" t="s">
        <v>5970</v>
      </c>
      <c r="M2468" s="77">
        <v>68</v>
      </c>
      <c r="N2468" s="5" t="s">
        <v>5971</v>
      </c>
    </row>
    <row r="2469" spans="1:20" x14ac:dyDescent="0.2">
      <c r="A2469" s="5">
        <v>3</v>
      </c>
      <c r="B2469" s="8" t="s">
        <v>6261</v>
      </c>
      <c r="H2469" s="8" t="s">
        <v>6262</v>
      </c>
      <c r="I2469" s="8" t="s">
        <v>6259</v>
      </c>
      <c r="J2469" s="5">
        <f>39-1-K232748+500-5-8-24-1-4-110-6-8-16-102-3+338-354+136-16-152-16-19-2-16</f>
        <v>150</v>
      </c>
      <c r="K2469" s="5" t="s">
        <v>21</v>
      </c>
      <c r="L2469" s="5" t="s">
        <v>5970</v>
      </c>
      <c r="M2469" s="77">
        <v>68</v>
      </c>
      <c r="N2469" s="5" t="s">
        <v>5971</v>
      </c>
      <c r="Q2469" s="107" t="s">
        <v>6263</v>
      </c>
    </row>
    <row r="2470" spans="1:20" s="169" customFormat="1" x14ac:dyDescent="0.2">
      <c r="A2470" s="167" t="s">
        <v>6264</v>
      </c>
      <c r="B2470" s="140" t="s">
        <v>6265</v>
      </c>
      <c r="C2470" s="140"/>
      <c r="D2470" s="140"/>
      <c r="E2470" s="164"/>
      <c r="F2470" s="140"/>
      <c r="G2470" s="140"/>
      <c r="H2470" s="140" t="s">
        <v>5971</v>
      </c>
      <c r="I2470" s="140"/>
      <c r="J2470" s="167"/>
      <c r="K2470" s="167"/>
      <c r="L2470" s="167"/>
      <c r="M2470" s="194"/>
      <c r="N2470" s="167"/>
      <c r="O2470" s="167"/>
      <c r="P2470" s="167"/>
      <c r="Q2470" s="167"/>
      <c r="R2470" s="167"/>
      <c r="S2470" s="167"/>
      <c r="T2470" s="167"/>
    </row>
    <row r="2471" spans="1:20" x14ac:dyDescent="0.2">
      <c r="A2471" s="5">
        <v>5</v>
      </c>
      <c r="B2471" s="8" t="s">
        <v>6209</v>
      </c>
      <c r="H2471" s="8" t="s">
        <v>6266</v>
      </c>
      <c r="I2471" s="8" t="s">
        <v>6259</v>
      </c>
      <c r="J2471" s="5">
        <f>0</f>
        <v>0</v>
      </c>
      <c r="K2471" s="5" t="s">
        <v>21</v>
      </c>
      <c r="L2471" s="5" t="s">
        <v>5970</v>
      </c>
      <c r="M2471" s="77">
        <v>69</v>
      </c>
      <c r="N2471" s="5" t="s">
        <v>5971</v>
      </c>
    </row>
    <row r="2472" spans="1:20" x14ac:dyDescent="0.2">
      <c r="A2472" s="5">
        <v>6</v>
      </c>
      <c r="B2472" s="8" t="s">
        <v>6267</v>
      </c>
      <c r="H2472" s="8" t="s">
        <v>6268</v>
      </c>
      <c r="I2472" s="8" t="s">
        <v>6259</v>
      </c>
      <c r="J2472" s="5">
        <f>1910-20-32-12-1-2-1-2-8-4-16-40-16-2-4-12-8-8-4-160-8-2-160-16-24+14-4-48-24-192-19-96-5-48-16-4-30+3-8-192-5+2-5-4-4-8-16-10-10-48-1-3-1-2-1-88-5-28-6-24+28-24-8-25-8-13-3-2-2-14-16-10-12-16-14</f>
        <v>273</v>
      </c>
      <c r="K2472" s="5" t="s">
        <v>21</v>
      </c>
      <c r="L2472" s="5" t="s">
        <v>5970</v>
      </c>
      <c r="M2472" s="77">
        <v>69</v>
      </c>
      <c r="N2472" s="5" t="s">
        <v>5971</v>
      </c>
    </row>
    <row r="2473" spans="1:20" x14ac:dyDescent="0.2">
      <c r="A2473" s="5">
        <v>7</v>
      </c>
      <c r="B2473" s="8" t="s">
        <v>6269</v>
      </c>
      <c r="H2473" s="8" t="s">
        <v>6270</v>
      </c>
      <c r="I2473" s="8" t="s">
        <v>6271</v>
      </c>
      <c r="J2473" s="5">
        <f>526-72+72</f>
        <v>526</v>
      </c>
      <c r="K2473" s="5" t="s">
        <v>21</v>
      </c>
      <c r="L2473" s="5" t="s">
        <v>5970</v>
      </c>
      <c r="M2473" s="77">
        <v>68</v>
      </c>
      <c r="N2473" s="5" t="s">
        <v>5971</v>
      </c>
    </row>
    <row r="2474" spans="1:20" x14ac:dyDescent="0.2">
      <c r="A2474" s="5">
        <v>8</v>
      </c>
      <c r="B2474" s="8" t="s">
        <v>6211</v>
      </c>
      <c r="H2474" s="8" t="s">
        <v>6272</v>
      </c>
      <c r="I2474" s="8" t="s">
        <v>6273</v>
      </c>
      <c r="J2474" s="5">
        <f>1555-40-1-2-4-4-18-18+19-28-16+16-16+1-28+16-4-2-14-20+2+2-24-12-4-4-4-8-2+16-1-6-12-6-12-12-4-4-29-8-16-12-24-300-4-12-1-18-2-22-4-18-162-76-18-38-34-81-81-38-7-32-134-8-16-32-4-16</f>
        <v>50</v>
      </c>
      <c r="K2474" s="5" t="s">
        <v>21</v>
      </c>
      <c r="L2474" s="5" t="s">
        <v>5970</v>
      </c>
      <c r="M2474" s="77">
        <v>69</v>
      </c>
      <c r="N2474" s="5" t="s">
        <v>5971</v>
      </c>
    </row>
    <row r="2475" spans="1:20" x14ac:dyDescent="0.2">
      <c r="A2475" s="5"/>
      <c r="B2475" s="8" t="s">
        <v>6211</v>
      </c>
      <c r="I2475" s="8" t="s">
        <v>6274</v>
      </c>
      <c r="J2475" s="5">
        <f>50</f>
        <v>50</v>
      </c>
      <c r="K2475" s="5" t="s">
        <v>21</v>
      </c>
      <c r="L2475" s="5" t="s">
        <v>5970</v>
      </c>
      <c r="M2475" s="77">
        <v>69</v>
      </c>
      <c r="N2475" s="5" t="s">
        <v>5971</v>
      </c>
    </row>
    <row r="2476" spans="1:20" x14ac:dyDescent="0.2">
      <c r="A2476" s="5">
        <v>9</v>
      </c>
      <c r="B2476" s="8" t="s">
        <v>6275</v>
      </c>
      <c r="H2476" s="8" t="s">
        <v>6276</v>
      </c>
      <c r="I2476" s="8" t="s">
        <v>6277</v>
      </c>
      <c r="J2476" s="5">
        <f>367-64-10</f>
        <v>293</v>
      </c>
      <c r="K2476" s="5" t="s">
        <v>21</v>
      </c>
      <c r="L2476" s="5" t="s">
        <v>5970</v>
      </c>
      <c r="M2476" s="77">
        <v>69</v>
      </c>
      <c r="N2476" s="5" t="s">
        <v>5971</v>
      </c>
      <c r="Q2476" s="107"/>
    </row>
    <row r="2477" spans="1:20" x14ac:dyDescent="0.2">
      <c r="A2477" s="5"/>
      <c r="B2477" s="8" t="s">
        <v>6278</v>
      </c>
      <c r="I2477" s="8" t="s">
        <v>6279</v>
      </c>
      <c r="M2477" s="77"/>
      <c r="Q2477" s="107"/>
    </row>
    <row r="2478" spans="1:20" s="169" customFormat="1" x14ac:dyDescent="0.2">
      <c r="A2478" s="167" t="s">
        <v>6280</v>
      </c>
      <c r="B2478" s="162" t="s">
        <v>6281</v>
      </c>
      <c r="C2478" s="140"/>
      <c r="D2478" s="140"/>
      <c r="E2478" s="164"/>
      <c r="F2478" s="140"/>
      <c r="G2478" s="140"/>
      <c r="H2478" s="140" t="s">
        <v>5971</v>
      </c>
      <c r="I2478" s="140"/>
      <c r="J2478" s="41">
        <f>500</f>
        <v>500</v>
      </c>
      <c r="K2478" s="41" t="s">
        <v>21</v>
      </c>
      <c r="L2478" s="41" t="s">
        <v>5970</v>
      </c>
      <c r="M2478" s="77">
        <v>69</v>
      </c>
      <c r="N2478" s="167"/>
      <c r="O2478" s="167"/>
      <c r="P2478" s="167"/>
      <c r="Q2478" s="168"/>
      <c r="R2478" s="167"/>
      <c r="S2478" s="167"/>
      <c r="T2478" s="167"/>
    </row>
    <row r="2479" spans="1:20" x14ac:dyDescent="0.2">
      <c r="A2479" s="5">
        <v>10</v>
      </c>
      <c r="B2479" s="8" t="s">
        <v>6249</v>
      </c>
      <c r="H2479" s="8" t="s">
        <v>6282</v>
      </c>
      <c r="I2479" s="8" t="s">
        <v>6283</v>
      </c>
      <c r="J2479" s="5">
        <f>987-4-4-4-24-16-192-2-16-24-38-56-24-8-24-28-44-28-40-18-30+40</f>
        <v>403</v>
      </c>
      <c r="K2479" s="5" t="s">
        <v>21</v>
      </c>
      <c r="L2479" s="5" t="s">
        <v>5970</v>
      </c>
      <c r="M2479" s="77">
        <v>69</v>
      </c>
      <c r="N2479" s="5" t="s">
        <v>5971</v>
      </c>
    </row>
    <row r="2480" spans="1:20" x14ac:dyDescent="0.2">
      <c r="A2480" s="5"/>
      <c r="B2480" s="8" t="s">
        <v>6284</v>
      </c>
      <c r="H2480" s="8" t="s">
        <v>6285</v>
      </c>
      <c r="I2480" s="8" t="s">
        <v>6285</v>
      </c>
      <c r="J2480" s="5">
        <f>253+2-40-40-4+124-40</f>
        <v>255</v>
      </c>
      <c r="K2480" s="5" t="s">
        <v>21</v>
      </c>
      <c r="L2480" s="5" t="s">
        <v>5970</v>
      </c>
      <c r="M2480" s="77">
        <v>69</v>
      </c>
      <c r="N2480" s="5" t="s">
        <v>5971</v>
      </c>
      <c r="Q2480" s="107" t="s">
        <v>6286</v>
      </c>
    </row>
    <row r="2481" spans="1:21" x14ac:dyDescent="0.2">
      <c r="A2481" s="5">
        <v>11</v>
      </c>
      <c r="B2481" s="8" t="s">
        <v>6251</v>
      </c>
      <c r="H2481" s="8" t="s">
        <v>6287</v>
      </c>
      <c r="I2481" s="8" t="s">
        <v>6288</v>
      </c>
      <c r="J2481" s="5">
        <f>439-6-4+16-52-26-60-16-32+77</f>
        <v>336</v>
      </c>
      <c r="K2481" s="5" t="s">
        <v>21</v>
      </c>
      <c r="L2481" s="5" t="s">
        <v>5970</v>
      </c>
      <c r="M2481" s="77">
        <v>69</v>
      </c>
      <c r="N2481" s="5" t="s">
        <v>5971</v>
      </c>
      <c r="Q2481" s="107"/>
    </row>
    <row r="2482" spans="1:21" x14ac:dyDescent="0.2">
      <c r="A2482" s="5">
        <v>12</v>
      </c>
      <c r="B2482" s="8" t="s">
        <v>6289</v>
      </c>
      <c r="H2482" s="8" t="s">
        <v>6290</v>
      </c>
      <c r="I2482" s="8" t="s">
        <v>6291</v>
      </c>
      <c r="J2482" s="5">
        <f>94</f>
        <v>94</v>
      </c>
      <c r="K2482" s="5" t="s">
        <v>21</v>
      </c>
      <c r="L2482" s="5" t="s">
        <v>5970</v>
      </c>
      <c r="M2482" s="77">
        <v>69</v>
      </c>
      <c r="N2482" s="5" t="s">
        <v>5971</v>
      </c>
      <c r="Q2482" s="107"/>
    </row>
    <row r="2483" spans="1:21" s="169" customFormat="1" x14ac:dyDescent="0.2">
      <c r="A2483" s="167"/>
      <c r="B2483" s="140" t="s">
        <v>6292</v>
      </c>
      <c r="C2483" s="140"/>
      <c r="D2483" s="140"/>
      <c r="E2483" s="164"/>
      <c r="F2483" s="140"/>
      <c r="G2483" s="140"/>
      <c r="H2483" s="140" t="s">
        <v>5971</v>
      </c>
      <c r="I2483" s="140"/>
      <c r="J2483" s="167"/>
      <c r="K2483" s="167"/>
      <c r="L2483" s="167"/>
      <c r="M2483" s="194"/>
      <c r="N2483" s="167"/>
      <c r="O2483" s="167"/>
      <c r="P2483" s="167"/>
      <c r="Q2483" s="167"/>
      <c r="R2483" s="167"/>
      <c r="S2483" s="167"/>
      <c r="T2483" s="167"/>
    </row>
    <row r="2484" spans="1:21" x14ac:dyDescent="0.2">
      <c r="A2484" s="5">
        <v>1</v>
      </c>
      <c r="B2484" s="8" t="s">
        <v>2668</v>
      </c>
      <c r="H2484" s="8" t="s">
        <v>6293</v>
      </c>
      <c r="I2484" s="8" t="s">
        <v>6293</v>
      </c>
      <c r="J2484" s="5">
        <f>240-210+500</f>
        <v>530</v>
      </c>
      <c r="K2484" s="5" t="s">
        <v>21</v>
      </c>
      <c r="L2484" s="5" t="s">
        <v>5970</v>
      </c>
      <c r="M2484" s="77">
        <v>70</v>
      </c>
      <c r="N2484" s="5" t="s">
        <v>5971</v>
      </c>
      <c r="Q2484" s="107" t="s">
        <v>6294</v>
      </c>
    </row>
    <row r="2485" spans="1:21" x14ac:dyDescent="0.2">
      <c r="A2485" s="5">
        <v>2</v>
      </c>
      <c r="B2485" s="8" t="s">
        <v>6209</v>
      </c>
      <c r="H2485" s="8" t="s">
        <v>6293</v>
      </c>
      <c r="I2485" s="8" t="s">
        <v>6293</v>
      </c>
      <c r="J2485" s="5">
        <f>100</f>
        <v>100</v>
      </c>
      <c r="K2485" s="5" t="s">
        <v>21</v>
      </c>
      <c r="L2485" s="5" t="s">
        <v>5970</v>
      </c>
      <c r="M2485" s="77">
        <v>70</v>
      </c>
      <c r="N2485" s="5" t="s">
        <v>5971</v>
      </c>
      <c r="Q2485" s="107"/>
    </row>
    <row r="2486" spans="1:21" x14ac:dyDescent="0.2">
      <c r="A2486" s="5">
        <v>3</v>
      </c>
      <c r="B2486" s="8" t="s">
        <v>6211</v>
      </c>
      <c r="H2486" s="8" t="s">
        <v>6293</v>
      </c>
      <c r="I2486" s="8" t="s">
        <v>6293</v>
      </c>
      <c r="J2486" s="5">
        <f>100</f>
        <v>100</v>
      </c>
      <c r="K2486" s="5" t="s">
        <v>21</v>
      </c>
      <c r="L2486" s="5" t="s">
        <v>5970</v>
      </c>
      <c r="M2486" s="77">
        <v>70</v>
      </c>
      <c r="N2486" s="5" t="s">
        <v>5971</v>
      </c>
      <c r="Q2486" s="107"/>
    </row>
    <row r="2487" spans="1:21" x14ac:dyDescent="0.2">
      <c r="A2487" s="5">
        <v>4</v>
      </c>
      <c r="B2487" s="8" t="s">
        <v>6212</v>
      </c>
      <c r="H2487" s="8" t="s">
        <v>6293</v>
      </c>
      <c r="I2487" s="8" t="s">
        <v>6293</v>
      </c>
      <c r="J2487" s="5">
        <f>100</f>
        <v>100</v>
      </c>
      <c r="K2487" s="5" t="s">
        <v>21</v>
      </c>
      <c r="L2487" s="5" t="s">
        <v>5970</v>
      </c>
      <c r="M2487" s="77">
        <v>70</v>
      </c>
      <c r="N2487" s="5" t="s">
        <v>5971</v>
      </c>
      <c r="Q2487" s="107" t="s">
        <v>6294</v>
      </c>
    </row>
    <row r="2488" spans="1:21" x14ac:dyDescent="0.2">
      <c r="A2488" s="5">
        <v>13</v>
      </c>
      <c r="B2488" s="8" t="s">
        <v>4115</v>
      </c>
      <c r="H2488" s="8" t="s">
        <v>6295</v>
      </c>
      <c r="I2488" s="8" t="s">
        <v>6296</v>
      </c>
      <c r="J2488" s="5">
        <f>668-4-1-2-4-4</f>
        <v>653</v>
      </c>
      <c r="K2488" s="5" t="s">
        <v>21</v>
      </c>
      <c r="L2488" s="5" t="s">
        <v>5970</v>
      </c>
      <c r="M2488" s="77">
        <v>70</v>
      </c>
      <c r="N2488" s="5" t="s">
        <v>5971</v>
      </c>
    </row>
    <row r="2489" spans="1:21" x14ac:dyDescent="0.2">
      <c r="A2489" s="5"/>
      <c r="B2489" s="8" t="s">
        <v>6209</v>
      </c>
      <c r="I2489" s="8" t="s">
        <v>6297</v>
      </c>
      <c r="J2489" s="5">
        <f>88</f>
        <v>88</v>
      </c>
      <c r="K2489" s="5" t="s">
        <v>21</v>
      </c>
      <c r="L2489" s="5" t="s">
        <v>5970</v>
      </c>
      <c r="M2489" s="77">
        <v>70</v>
      </c>
      <c r="N2489" s="5" t="s">
        <v>5971</v>
      </c>
      <c r="Q2489" s="198" t="s">
        <v>6298</v>
      </c>
    </row>
    <row r="2490" spans="1:21" x14ac:dyDescent="0.2">
      <c r="A2490" s="5"/>
      <c r="B2490" s="8" t="s">
        <v>6212</v>
      </c>
      <c r="I2490" s="8" t="s">
        <v>6297</v>
      </c>
      <c r="J2490" s="5">
        <f>76</f>
        <v>76</v>
      </c>
      <c r="K2490" s="5" t="s">
        <v>21</v>
      </c>
      <c r="L2490" s="5" t="s">
        <v>5970</v>
      </c>
      <c r="M2490" s="77">
        <v>70</v>
      </c>
      <c r="N2490" s="5" t="s">
        <v>5971</v>
      </c>
      <c r="Q2490" s="198" t="s">
        <v>6298</v>
      </c>
    </row>
    <row r="2491" spans="1:21" s="169" customFormat="1" x14ac:dyDescent="0.2">
      <c r="A2491" s="5" t="s">
        <v>6299</v>
      </c>
      <c r="B2491" s="140" t="s">
        <v>6300</v>
      </c>
      <c r="C2491" s="140"/>
      <c r="D2491" s="140"/>
      <c r="E2491" s="164"/>
      <c r="F2491" s="140"/>
      <c r="G2491" s="140"/>
      <c r="H2491" s="140"/>
      <c r="I2491" s="140"/>
      <c r="J2491" s="167"/>
      <c r="K2491" s="167"/>
      <c r="L2491" s="167"/>
      <c r="M2491" s="194"/>
      <c r="N2491" s="167"/>
      <c r="O2491" s="167"/>
      <c r="P2491" s="167"/>
      <c r="Q2491" s="168"/>
      <c r="R2491" s="167"/>
      <c r="S2491" s="167"/>
      <c r="T2491" s="167"/>
      <c r="U2491"/>
    </row>
    <row r="2492" spans="1:21" x14ac:dyDescent="0.2">
      <c r="A2492" s="5">
        <v>14</v>
      </c>
      <c r="B2492" s="8" t="s">
        <v>6301</v>
      </c>
      <c r="H2492" s="8" t="s">
        <v>6295</v>
      </c>
      <c r="I2492" s="8" t="s">
        <v>6302</v>
      </c>
      <c r="J2492" s="5">
        <f>16</f>
        <v>16</v>
      </c>
      <c r="K2492" s="5" t="s">
        <v>21</v>
      </c>
      <c r="L2492" s="5" t="s">
        <v>5970</v>
      </c>
      <c r="M2492" s="77">
        <v>71</v>
      </c>
      <c r="N2492" s="5" t="s">
        <v>5971</v>
      </c>
      <c r="U2492" t="s">
        <v>321</v>
      </c>
    </row>
    <row r="2493" spans="1:21" s="169" customFormat="1" x14ac:dyDescent="0.2">
      <c r="A2493" s="162" t="s">
        <v>6303</v>
      </c>
      <c r="B2493" s="163" t="s">
        <v>6304</v>
      </c>
      <c r="C2493" s="140"/>
      <c r="D2493" s="140"/>
      <c r="E2493" s="164"/>
      <c r="F2493" s="140"/>
      <c r="G2493" s="140"/>
      <c r="H2493" s="140" t="s">
        <v>6206</v>
      </c>
      <c r="I2493" s="140"/>
      <c r="J2493" s="167"/>
      <c r="K2493" s="167"/>
      <c r="L2493" s="167"/>
      <c r="M2493" s="167"/>
      <c r="N2493" s="167"/>
      <c r="O2493" s="167"/>
      <c r="P2493" s="167"/>
      <c r="Q2493" s="168"/>
      <c r="R2493" s="167"/>
      <c r="S2493" s="167"/>
      <c r="T2493" s="167"/>
    </row>
    <row r="2494" spans="1:21" x14ac:dyDescent="0.2">
      <c r="A2494" s="5">
        <v>1</v>
      </c>
      <c r="B2494" s="8" t="s">
        <v>6236</v>
      </c>
      <c r="H2494" s="8" t="s">
        <v>6305</v>
      </c>
      <c r="I2494" s="8" t="s">
        <v>6306</v>
      </c>
      <c r="J2494" s="5">
        <f>957-6-4-15-2</f>
        <v>930</v>
      </c>
      <c r="K2494" s="5" t="s">
        <v>21</v>
      </c>
      <c r="L2494" s="5" t="s">
        <v>5970</v>
      </c>
      <c r="M2494" s="5">
        <v>73</v>
      </c>
      <c r="N2494" s="5" t="s">
        <v>6206</v>
      </c>
    </row>
    <row r="2495" spans="1:21" x14ac:dyDescent="0.2">
      <c r="A2495" s="5">
        <v>2</v>
      </c>
      <c r="B2495" s="8" t="s">
        <v>6307</v>
      </c>
      <c r="H2495" s="8" t="s">
        <v>6308</v>
      </c>
      <c r="I2495" s="8" t="s">
        <v>6306</v>
      </c>
      <c r="J2495" s="5">
        <f>596-2-12-12-2-2-10-2-2-2-2-3-6-8-2-12-2-2-2-4-10-4-2-17-8-32-18-16+22-32-4-2</f>
        <v>384</v>
      </c>
      <c r="K2495" s="5" t="s">
        <v>21</v>
      </c>
      <c r="L2495" s="5" t="s">
        <v>5970</v>
      </c>
      <c r="M2495" s="5">
        <v>73</v>
      </c>
      <c r="N2495" s="5" t="s">
        <v>6206</v>
      </c>
    </row>
    <row r="2496" spans="1:21" x14ac:dyDescent="0.2">
      <c r="A2496" s="5">
        <v>3</v>
      </c>
      <c r="B2496" s="8" t="s">
        <v>2668</v>
      </c>
      <c r="H2496" s="8" t="s">
        <v>6309</v>
      </c>
      <c r="I2496" s="8" t="s">
        <v>6306</v>
      </c>
      <c r="J2496" s="5">
        <f>12795-234-340-14-462-294-294-390-234-970-970+2-92-16-32-16-16-2-1005+1200+3454-8-8-4-4</f>
        <v>12046</v>
      </c>
      <c r="K2496" s="5" t="s">
        <v>21</v>
      </c>
      <c r="L2496" s="5" t="s">
        <v>5970</v>
      </c>
      <c r="M2496" s="5">
        <v>73</v>
      </c>
      <c r="N2496" s="5" t="s">
        <v>6206</v>
      </c>
    </row>
    <row r="2497" spans="1:20" x14ac:dyDescent="0.2">
      <c r="A2497" s="5">
        <v>4</v>
      </c>
      <c r="B2497" s="8" t="s">
        <v>6310</v>
      </c>
      <c r="H2497" s="8" t="s">
        <v>6311</v>
      </c>
      <c r="I2497" s="8" t="s">
        <v>6306</v>
      </c>
      <c r="J2497" s="5">
        <f>38-4-4-22-7+200</f>
        <v>201</v>
      </c>
      <c r="K2497" s="5" t="s">
        <v>21</v>
      </c>
      <c r="L2497" s="5" t="s">
        <v>5970</v>
      </c>
      <c r="M2497" s="5">
        <v>73</v>
      </c>
      <c r="N2497" s="5" t="s">
        <v>6206</v>
      </c>
    </row>
    <row r="2498" spans="1:20" x14ac:dyDescent="0.2">
      <c r="A2498" s="5">
        <v>5</v>
      </c>
      <c r="B2498" s="8" t="s">
        <v>6209</v>
      </c>
      <c r="H2498" s="8" t="s">
        <v>6312</v>
      </c>
      <c r="I2498" s="8" t="s">
        <v>6306</v>
      </c>
      <c r="J2498" s="5">
        <f>348+3200-1320-840-840-136-14-16-32-2+466+14+1450-8-18</f>
        <v>2252</v>
      </c>
      <c r="K2498" s="5" t="s">
        <v>21</v>
      </c>
      <c r="L2498" s="5" t="s">
        <v>5970</v>
      </c>
      <c r="M2498" s="5">
        <v>73</v>
      </c>
      <c r="N2498" s="5" t="s">
        <v>6206</v>
      </c>
      <c r="Q2498" s="107" t="s">
        <v>6255</v>
      </c>
    </row>
    <row r="2499" spans="1:20" x14ac:dyDescent="0.2">
      <c r="A2499" s="5"/>
      <c r="B2499" s="8" t="s">
        <v>6211</v>
      </c>
      <c r="H2499" s="8" t="s">
        <v>6313</v>
      </c>
      <c r="I2499" s="8" t="s">
        <v>6306</v>
      </c>
      <c r="J2499" s="5">
        <f>3000-1608-445-67-201-402-277+1000-536+584+780-335-201-65+7000-2948-1876-1876-8+575</f>
        <v>2094</v>
      </c>
      <c r="K2499" s="5" t="s">
        <v>21</v>
      </c>
      <c r="L2499" s="5" t="s">
        <v>5970</v>
      </c>
      <c r="M2499" s="5">
        <v>73</v>
      </c>
      <c r="N2499" s="5" t="s">
        <v>6206</v>
      </c>
      <c r="Q2499" s="107" t="s">
        <v>6255</v>
      </c>
    </row>
    <row r="2500" spans="1:20" x14ac:dyDescent="0.2">
      <c r="A2500" s="5">
        <v>7</v>
      </c>
      <c r="B2500" s="8" t="s">
        <v>6212</v>
      </c>
      <c r="H2500" s="8" t="s">
        <v>6314</v>
      </c>
      <c r="I2500" s="8" t="s">
        <v>6306</v>
      </c>
      <c r="J2500" s="5">
        <f>300-12+113-268-2-8-6+4+2000-348+1-32-348+19+252+28-3-28-6-4-3-2-100-30-2-4-20-16-110-18-72-188-110-220-4+2-22-16-8-220-7-2-18-67-15-204-3-18-20-7+2000-8-32-8-16-72-72-13+650-450-236-16-72-72-1279+1000-420-1+482-354-20+300-272-357-64-50-32-114-3-408-27-6-6+268-348+2000-748-476-476-106+250+883</f>
        <v>1327</v>
      </c>
      <c r="K2500" s="5" t="s">
        <v>21</v>
      </c>
      <c r="L2500" s="5" t="s">
        <v>5970</v>
      </c>
      <c r="M2500" s="5">
        <v>73</v>
      </c>
      <c r="N2500" s="5" t="s">
        <v>6206</v>
      </c>
      <c r="Q2500" s="99" t="s">
        <v>6238</v>
      </c>
    </row>
    <row r="2501" spans="1:20" s="166" customFormat="1" x14ac:dyDescent="0.2">
      <c r="A2501" s="162" t="s">
        <v>6315</v>
      </c>
      <c r="B2501" s="163" t="s">
        <v>6316</v>
      </c>
      <c r="C2501" s="140"/>
      <c r="D2501" s="140"/>
      <c r="E2501" s="164"/>
      <c r="F2501" s="140"/>
      <c r="G2501" s="140"/>
      <c r="H2501" s="163" t="s">
        <v>6206</v>
      </c>
      <c r="I2501" s="140"/>
      <c r="J2501" s="162"/>
      <c r="K2501" s="162"/>
      <c r="L2501" s="162"/>
      <c r="M2501" s="162"/>
      <c r="N2501" s="162"/>
      <c r="O2501" s="162"/>
      <c r="P2501" s="162"/>
      <c r="Q2501" s="165"/>
      <c r="R2501" s="162"/>
      <c r="S2501" s="162"/>
      <c r="T2501" s="162"/>
    </row>
    <row r="2502" spans="1:20" x14ac:dyDescent="0.2">
      <c r="A2502" s="5">
        <v>8</v>
      </c>
      <c r="B2502" s="8" t="s">
        <v>6249</v>
      </c>
      <c r="H2502" s="8" t="s">
        <v>6317</v>
      </c>
      <c r="I2502" s="8" t="s">
        <v>6306</v>
      </c>
      <c r="J2502" s="5">
        <f>268-62+22-2-2+15-64+2000-372-30-12-16-12-372+30-6-1-272+748-340-136-126-16-16-4-4-8+1-48-8-40-32-128-24+45-423-50+90-32-25-84-32-100-4-16-4-4-8-141-58-24-2-4-4-4-14-18+7-18+200+956+150-112-5-8-84-14-16-50-40-30-200-28-50-585-8+1000-308-196-196-36-100-20-200+64+30-4</f>
        <v>114</v>
      </c>
      <c r="K2502" s="5" t="s">
        <v>21</v>
      </c>
      <c r="L2502" s="5" t="s">
        <v>5970</v>
      </c>
      <c r="M2502" s="5">
        <v>74</v>
      </c>
      <c r="N2502" s="5" t="s">
        <v>6206</v>
      </c>
      <c r="Q2502" s="107" t="s">
        <v>6248</v>
      </c>
    </row>
    <row r="2503" spans="1:20" x14ac:dyDescent="0.2">
      <c r="A2503" s="5">
        <v>9</v>
      </c>
      <c r="B2503" s="8" t="s">
        <v>6251</v>
      </c>
      <c r="H2503" s="8" t="s">
        <v>6318</v>
      </c>
      <c r="I2503" s="8" t="s">
        <v>6306</v>
      </c>
      <c r="J2503" s="5">
        <f>195-16-21-1-10-3+197-3-28+77-35-14-28+77-35-14-10-3-28-7-168-4-21-6-32+250-224+12-68+250-112</f>
        <v>167</v>
      </c>
      <c r="K2503" s="5" t="s">
        <v>21</v>
      </c>
      <c r="L2503" s="5" t="s">
        <v>5970</v>
      </c>
      <c r="M2503" s="5">
        <v>74</v>
      </c>
      <c r="N2503" s="5" t="s">
        <v>6206</v>
      </c>
    </row>
    <row r="2504" spans="1:20" x14ac:dyDescent="0.2">
      <c r="A2504" s="5">
        <v>10</v>
      </c>
      <c r="B2504" s="8" t="s">
        <v>6253</v>
      </c>
      <c r="H2504" s="8" t="s">
        <v>6319</v>
      </c>
      <c r="I2504" s="8" t="s">
        <v>6306</v>
      </c>
      <c r="J2504" s="5">
        <f>199-28-9-9-1-2</f>
        <v>150</v>
      </c>
      <c r="K2504" s="5" t="s">
        <v>21</v>
      </c>
      <c r="L2504" s="5" t="s">
        <v>5970</v>
      </c>
      <c r="M2504" s="5">
        <v>74</v>
      </c>
      <c r="N2504" s="5" t="s">
        <v>6206</v>
      </c>
      <c r="Q2504" s="107" t="s">
        <v>6320</v>
      </c>
    </row>
    <row r="2505" spans="1:20" s="173" customFormat="1" x14ac:dyDescent="0.2">
      <c r="A2505" s="170" t="s">
        <v>6321</v>
      </c>
      <c r="B2505" s="171" t="s">
        <v>6322</v>
      </c>
      <c r="C2505" s="140"/>
      <c r="D2505" s="140"/>
      <c r="E2505" s="164"/>
      <c r="F2505" s="140"/>
      <c r="G2505" s="140"/>
      <c r="H2505" s="171" t="s">
        <v>6323</v>
      </c>
      <c r="I2505" s="140"/>
      <c r="J2505" s="170"/>
      <c r="K2505" s="170"/>
      <c r="L2505" s="170"/>
      <c r="M2505" s="170"/>
      <c r="N2505" s="170"/>
      <c r="O2505" s="170"/>
      <c r="P2505" s="170"/>
      <c r="Q2505" s="172"/>
      <c r="R2505" s="170"/>
      <c r="S2505" s="170"/>
      <c r="T2505" s="170"/>
    </row>
    <row r="2506" spans="1:20" x14ac:dyDescent="0.2">
      <c r="A2506" s="5">
        <v>1</v>
      </c>
      <c r="B2506" s="8" t="s">
        <v>6324</v>
      </c>
      <c r="H2506" s="8" t="s">
        <v>6325</v>
      </c>
      <c r="I2506" s="8" t="s">
        <v>6326</v>
      </c>
      <c r="J2506" s="5">
        <f>20-2</f>
        <v>18</v>
      </c>
      <c r="K2506" s="5" t="s">
        <v>21</v>
      </c>
      <c r="L2506" s="5" t="s">
        <v>5970</v>
      </c>
      <c r="M2506" s="5">
        <v>75</v>
      </c>
      <c r="N2506" s="5" t="s">
        <v>34</v>
      </c>
    </row>
    <row r="2507" spans="1:20" x14ac:dyDescent="0.2">
      <c r="A2507" s="5">
        <v>2</v>
      </c>
      <c r="B2507" s="8" t="s">
        <v>6327</v>
      </c>
      <c r="H2507" s="8" t="s">
        <v>6328</v>
      </c>
      <c r="I2507" s="8" t="s">
        <v>6326</v>
      </c>
      <c r="J2507" s="5">
        <f>92-8-4-2-8-4+383-8+16-40-4-8-8-8-8-20-2-5-2-5-2-5+20-12-32-68-24-14+16-8-4-8-24-24-6-8-16-72-4+100</f>
        <v>152</v>
      </c>
      <c r="K2507" s="5" t="s">
        <v>21</v>
      </c>
      <c r="L2507" s="5" t="s">
        <v>5970</v>
      </c>
      <c r="M2507" s="5">
        <v>75</v>
      </c>
      <c r="N2507" s="5" t="s">
        <v>34</v>
      </c>
      <c r="Q2507" s="107" t="s">
        <v>6329</v>
      </c>
      <c r="R2507" s="6"/>
      <c r="S2507" s="6"/>
    </row>
    <row r="2508" spans="1:20" x14ac:dyDescent="0.2">
      <c r="A2508" s="5">
        <v>3</v>
      </c>
      <c r="B2508" s="8" t="s">
        <v>6330</v>
      </c>
      <c r="H2508" s="8" t="s">
        <v>6331</v>
      </c>
      <c r="I2508" s="8" t="s">
        <v>6326</v>
      </c>
      <c r="J2508" s="5">
        <f>180-4-80-4-2-20+307-162</f>
        <v>215</v>
      </c>
      <c r="K2508" s="5" t="s">
        <v>21</v>
      </c>
      <c r="L2508" s="5" t="s">
        <v>5970</v>
      </c>
      <c r="M2508" s="5">
        <v>75</v>
      </c>
      <c r="N2508" s="5" t="s">
        <v>34</v>
      </c>
      <c r="Q2508" s="5" t="s">
        <v>6332</v>
      </c>
      <c r="R2508" s="6"/>
      <c r="S2508" s="6"/>
    </row>
    <row r="2509" spans="1:20" x14ac:dyDescent="0.2">
      <c r="A2509" s="5"/>
      <c r="B2509" s="8" t="s">
        <v>6333</v>
      </c>
      <c r="H2509" s="8" t="s">
        <v>6334</v>
      </c>
      <c r="I2509" s="8" t="s">
        <v>6326</v>
      </c>
      <c r="J2509" s="5">
        <f>429-24-24-1-16-5-16-8+3-12-16-20+15-40-48</f>
        <v>217</v>
      </c>
      <c r="K2509" s="5" t="s">
        <v>21</v>
      </c>
      <c r="L2509" s="5" t="s">
        <v>5970</v>
      </c>
      <c r="M2509" s="5">
        <v>75</v>
      </c>
      <c r="N2509" s="5" t="s">
        <v>34</v>
      </c>
      <c r="Q2509" s="5" t="s">
        <v>6335</v>
      </c>
      <c r="R2509" s="6"/>
      <c r="S2509" s="6"/>
    </row>
    <row r="2510" spans="1:20" x14ac:dyDescent="0.2">
      <c r="A2510" s="5">
        <v>4</v>
      </c>
      <c r="B2510" s="8" t="s">
        <v>6336</v>
      </c>
      <c r="H2510" s="8" t="s">
        <v>6334</v>
      </c>
      <c r="I2510" s="8" t="s">
        <v>6326</v>
      </c>
      <c r="J2510" s="5">
        <f>50-15-21-12+50</f>
        <v>52</v>
      </c>
      <c r="K2510" s="5" t="s">
        <v>21</v>
      </c>
      <c r="L2510" s="5" t="s">
        <v>5970</v>
      </c>
      <c r="M2510" s="5">
        <v>75</v>
      </c>
      <c r="N2510" s="5" t="s">
        <v>34</v>
      </c>
      <c r="Q2510" s="5" t="s">
        <v>6335</v>
      </c>
      <c r="R2510" s="6"/>
      <c r="S2510" s="6"/>
    </row>
    <row r="2511" spans="1:20" x14ac:dyDescent="0.2">
      <c r="A2511" s="5">
        <v>5</v>
      </c>
      <c r="B2511" s="8" t="s">
        <v>6337</v>
      </c>
      <c r="H2511" s="8" t="s">
        <v>6338</v>
      </c>
      <c r="I2511" s="8" t="s">
        <v>6326</v>
      </c>
      <c r="J2511" s="5">
        <f>8</f>
        <v>8</v>
      </c>
      <c r="K2511" s="5" t="s">
        <v>21</v>
      </c>
      <c r="L2511" s="5" t="s">
        <v>5970</v>
      </c>
      <c r="M2511" s="5">
        <v>75</v>
      </c>
      <c r="N2511" s="5" t="s">
        <v>34</v>
      </c>
    </row>
    <row r="2512" spans="1:20" x14ac:dyDescent="0.2">
      <c r="A2512" s="5">
        <v>6</v>
      </c>
      <c r="B2512" s="8" t="s">
        <v>6339</v>
      </c>
      <c r="H2512" s="8" t="s">
        <v>6340</v>
      </c>
      <c r="I2512" s="8" t="s">
        <v>6326</v>
      </c>
      <c r="J2512" s="5">
        <f>10</f>
        <v>10</v>
      </c>
      <c r="K2512" s="5" t="s">
        <v>21</v>
      </c>
      <c r="L2512" s="5" t="s">
        <v>5970</v>
      </c>
      <c r="M2512" s="5">
        <v>75</v>
      </c>
      <c r="N2512" s="5" t="s">
        <v>34</v>
      </c>
    </row>
    <row r="2513" spans="1:20" x14ac:dyDescent="0.2">
      <c r="A2513" s="5">
        <v>7</v>
      </c>
      <c r="B2513" s="8" t="s">
        <v>6341</v>
      </c>
      <c r="H2513" s="8" t="s">
        <v>6342</v>
      </c>
      <c r="I2513" s="8" t="s">
        <v>6326</v>
      </c>
      <c r="J2513" s="5">
        <f>46</f>
        <v>46</v>
      </c>
      <c r="K2513" s="5" t="s">
        <v>21</v>
      </c>
      <c r="L2513" s="5" t="s">
        <v>5970</v>
      </c>
      <c r="M2513" s="5">
        <v>75</v>
      </c>
      <c r="N2513" s="5" t="s">
        <v>34</v>
      </c>
    </row>
    <row r="2514" spans="1:20" x14ac:dyDescent="0.2">
      <c r="A2514" s="5">
        <v>8</v>
      </c>
      <c r="B2514" s="8" t="s">
        <v>6343</v>
      </c>
      <c r="H2514" s="8" t="s">
        <v>6344</v>
      </c>
      <c r="I2514" s="8" t="s">
        <v>6326</v>
      </c>
      <c r="J2514" s="5">
        <f>11</f>
        <v>11</v>
      </c>
      <c r="K2514" s="5" t="s">
        <v>21</v>
      </c>
      <c r="L2514" s="5" t="s">
        <v>5970</v>
      </c>
      <c r="M2514" s="5">
        <v>75</v>
      </c>
      <c r="N2514" s="5" t="s">
        <v>34</v>
      </c>
    </row>
    <row r="2515" spans="1:20" x14ac:dyDescent="0.2">
      <c r="A2515" s="5">
        <v>9</v>
      </c>
      <c r="B2515" s="8" t="s">
        <v>6345</v>
      </c>
      <c r="H2515" s="8" t="s">
        <v>6346</v>
      </c>
      <c r="I2515" s="8" t="s">
        <v>6326</v>
      </c>
      <c r="J2515" s="5">
        <f>4</f>
        <v>4</v>
      </c>
      <c r="K2515" s="5" t="s">
        <v>21</v>
      </c>
      <c r="L2515" s="5" t="s">
        <v>5970</v>
      </c>
      <c r="M2515" s="5">
        <v>75</v>
      </c>
      <c r="N2515" s="5" t="s">
        <v>34</v>
      </c>
    </row>
    <row r="2516" spans="1:20" x14ac:dyDescent="0.2">
      <c r="A2516" s="5">
        <v>10</v>
      </c>
      <c r="B2516" s="8" t="s">
        <v>6347</v>
      </c>
      <c r="H2516" s="8" t="s">
        <v>6348</v>
      </c>
      <c r="I2516" s="8" t="s">
        <v>6326</v>
      </c>
      <c r="J2516" s="5">
        <f>6</f>
        <v>6</v>
      </c>
      <c r="K2516" s="5" t="s">
        <v>21</v>
      </c>
      <c r="L2516" s="5" t="s">
        <v>5970</v>
      </c>
      <c r="M2516" s="5">
        <v>75</v>
      </c>
      <c r="N2516" s="5" t="s">
        <v>34</v>
      </c>
    </row>
    <row r="2517" spans="1:20" x14ac:dyDescent="0.2">
      <c r="A2517" s="5">
        <v>11</v>
      </c>
      <c r="B2517" s="8" t="s">
        <v>6349</v>
      </c>
      <c r="H2517" s="8" t="s">
        <v>6350</v>
      </c>
      <c r="I2517" s="8" t="s">
        <v>6326</v>
      </c>
      <c r="J2517" s="5">
        <f>10-6+56</f>
        <v>60</v>
      </c>
      <c r="K2517" s="5" t="s">
        <v>21</v>
      </c>
      <c r="L2517" s="5" t="s">
        <v>5970</v>
      </c>
      <c r="M2517" s="5">
        <v>75</v>
      </c>
      <c r="N2517" s="5" t="s">
        <v>34</v>
      </c>
      <c r="Q2517" s="5" t="s">
        <v>6243</v>
      </c>
    </row>
    <row r="2518" spans="1:20" x14ac:dyDescent="0.2">
      <c r="A2518" s="5"/>
      <c r="B2518" s="8" t="s">
        <v>6351</v>
      </c>
      <c r="H2518" s="8" t="s">
        <v>6326</v>
      </c>
      <c r="I2518" s="8" t="s">
        <v>6326</v>
      </c>
      <c r="J2518" s="5">
        <f>100-60</f>
        <v>40</v>
      </c>
      <c r="K2518" s="5" t="s">
        <v>21</v>
      </c>
      <c r="L2518" s="5" t="s">
        <v>5970</v>
      </c>
      <c r="M2518" s="5">
        <v>75</v>
      </c>
      <c r="N2518" s="5" t="s">
        <v>34</v>
      </c>
      <c r="Q2518" s="5" t="s">
        <v>6352</v>
      </c>
    </row>
    <row r="2519" spans="1:20" x14ac:dyDescent="0.2">
      <c r="A2519" s="5">
        <v>12</v>
      </c>
      <c r="B2519" s="8" t="s">
        <v>6353</v>
      </c>
      <c r="H2519" s="8" t="s">
        <v>6354</v>
      </c>
      <c r="I2519" s="8" t="s">
        <v>6326</v>
      </c>
      <c r="J2519" s="5">
        <f>4</f>
        <v>4</v>
      </c>
      <c r="K2519" s="5" t="s">
        <v>21</v>
      </c>
      <c r="L2519" s="5" t="s">
        <v>5970</v>
      </c>
      <c r="M2519" s="5">
        <v>75</v>
      </c>
      <c r="N2519" s="5" t="s">
        <v>34</v>
      </c>
    </row>
    <row r="2520" spans="1:20" x14ac:dyDescent="0.2">
      <c r="A2520" s="5"/>
      <c r="B2520" s="8" t="s">
        <v>6353</v>
      </c>
      <c r="I2520" s="8" t="s">
        <v>6355</v>
      </c>
      <c r="J2520" s="5">
        <f>50-32</f>
        <v>18</v>
      </c>
      <c r="K2520" s="5" t="s">
        <v>21</v>
      </c>
      <c r="L2520" s="5" t="s">
        <v>5970</v>
      </c>
      <c r="M2520" s="5">
        <v>75</v>
      </c>
    </row>
    <row r="2521" spans="1:20" x14ac:dyDescent="0.2">
      <c r="A2521" s="5">
        <v>13</v>
      </c>
      <c r="B2521" s="8" t="s">
        <v>6356</v>
      </c>
      <c r="H2521" s="8" t="s">
        <v>6357</v>
      </c>
      <c r="I2521" s="8" t="s">
        <v>6326</v>
      </c>
      <c r="J2521" s="5">
        <f>100+138</f>
        <v>238</v>
      </c>
      <c r="K2521" s="5" t="s">
        <v>21</v>
      </c>
      <c r="L2521" s="5" t="s">
        <v>5970</v>
      </c>
      <c r="M2521" s="5">
        <v>75</v>
      </c>
      <c r="N2521" s="5" t="s">
        <v>34</v>
      </c>
    </row>
    <row r="2522" spans="1:20" s="169" customFormat="1" x14ac:dyDescent="0.2">
      <c r="A2522" s="167" t="s">
        <v>6358</v>
      </c>
      <c r="B2522" s="140" t="s">
        <v>6359</v>
      </c>
      <c r="C2522" s="140"/>
      <c r="D2522" s="140"/>
      <c r="E2522" s="164"/>
      <c r="F2522" s="140"/>
      <c r="G2522" s="140"/>
      <c r="H2522" s="140" t="s">
        <v>5971</v>
      </c>
      <c r="I2522" s="140"/>
      <c r="J2522" s="167"/>
      <c r="K2522" s="167"/>
      <c r="L2522" s="167"/>
      <c r="M2522" s="167"/>
      <c r="N2522" s="167"/>
      <c r="O2522" s="167"/>
      <c r="P2522" s="167"/>
      <c r="Q2522" s="167"/>
      <c r="R2522" s="167"/>
      <c r="S2522" s="167"/>
      <c r="T2522" s="167"/>
    </row>
    <row r="2523" spans="1:20" x14ac:dyDescent="0.2">
      <c r="A2523" s="5">
        <v>1</v>
      </c>
      <c r="B2523" s="8" t="s">
        <v>6236</v>
      </c>
      <c r="H2523" s="8" t="s">
        <v>6360</v>
      </c>
      <c r="I2523" s="8" t="s">
        <v>6360</v>
      </c>
      <c r="J2523" s="5">
        <f>150-26</f>
        <v>124</v>
      </c>
      <c r="K2523" s="5" t="s">
        <v>21</v>
      </c>
      <c r="L2523" s="5" t="s">
        <v>5970</v>
      </c>
      <c r="M2523" s="5">
        <v>76</v>
      </c>
      <c r="N2523" s="5" t="s">
        <v>5971</v>
      </c>
    </row>
    <row r="2524" spans="1:20" x14ac:dyDescent="0.2">
      <c r="A2524" s="5">
        <v>2</v>
      </c>
      <c r="B2524" s="8" t="s">
        <v>6361</v>
      </c>
      <c r="H2524" s="8" t="s">
        <v>6360</v>
      </c>
      <c r="I2524" s="8" t="s">
        <v>6360</v>
      </c>
      <c r="J2524" s="5">
        <f>1416-2+20-100-6+130-64</f>
        <v>1394</v>
      </c>
      <c r="K2524" s="5" t="s">
        <v>21</v>
      </c>
      <c r="L2524" s="5" t="s">
        <v>5970</v>
      </c>
      <c r="M2524" s="5">
        <v>76</v>
      </c>
      <c r="N2524" s="5" t="s">
        <v>5971</v>
      </c>
    </row>
    <row r="2525" spans="1:20" x14ac:dyDescent="0.2">
      <c r="A2525" s="5"/>
      <c r="B2525" s="8" t="s">
        <v>2668</v>
      </c>
      <c r="I2525" s="8" t="s">
        <v>6362</v>
      </c>
      <c r="J2525" s="5">
        <f>1259-64-8</f>
        <v>1187</v>
      </c>
      <c r="K2525" s="5" t="s">
        <v>21</v>
      </c>
      <c r="L2525" s="5" t="s">
        <v>5970</v>
      </c>
      <c r="M2525" s="5">
        <v>76</v>
      </c>
    </row>
    <row r="2526" spans="1:20" x14ac:dyDescent="0.2">
      <c r="A2526" s="5">
        <v>3</v>
      </c>
      <c r="B2526" s="8" t="s">
        <v>6209</v>
      </c>
      <c r="H2526" s="8" t="s">
        <v>6360</v>
      </c>
      <c r="I2526" s="8" t="s">
        <v>6360</v>
      </c>
      <c r="J2526" s="5">
        <f>8+500-128-64-2-174-112+498-112</f>
        <v>414</v>
      </c>
      <c r="K2526" s="5" t="s">
        <v>21</v>
      </c>
      <c r="L2526" s="5" t="s">
        <v>5970</v>
      </c>
      <c r="M2526" s="5">
        <v>76</v>
      </c>
      <c r="N2526" s="5" t="s">
        <v>5971</v>
      </c>
      <c r="Q2526" s="107" t="s">
        <v>6238</v>
      </c>
    </row>
    <row r="2527" spans="1:20" x14ac:dyDescent="0.2">
      <c r="A2527" s="5">
        <v>5</v>
      </c>
      <c r="B2527" s="8" t="s">
        <v>2668</v>
      </c>
      <c r="H2527" s="8" t="s">
        <v>6363</v>
      </c>
      <c r="I2527" s="8" t="s">
        <v>6363</v>
      </c>
      <c r="J2527" s="5">
        <f>210-4-2-8-16-8-4-24-4-4-4+38-4-24-16</f>
        <v>126</v>
      </c>
      <c r="K2527" s="5" t="s">
        <v>21</v>
      </c>
      <c r="L2527" s="5" t="s">
        <v>5970</v>
      </c>
      <c r="M2527" s="5">
        <v>76</v>
      </c>
      <c r="N2527" s="5" t="s">
        <v>5971</v>
      </c>
    </row>
    <row r="2528" spans="1:20" x14ac:dyDescent="0.2">
      <c r="A2528" s="5">
        <v>6</v>
      </c>
      <c r="B2528" s="8" t="s">
        <v>6364</v>
      </c>
      <c r="H2528" s="8" t="s">
        <v>6365</v>
      </c>
      <c r="I2528" s="8" t="s">
        <v>6365</v>
      </c>
      <c r="J2528" s="5">
        <f>18-18+150+32+58+1-1-48</f>
        <v>192</v>
      </c>
      <c r="K2528" s="5" t="s">
        <v>21</v>
      </c>
      <c r="L2528" s="5" t="s">
        <v>5970</v>
      </c>
      <c r="M2528" s="5">
        <v>76</v>
      </c>
      <c r="N2528" s="5" t="s">
        <v>34</v>
      </c>
      <c r="Q2528" s="107" t="s">
        <v>6210</v>
      </c>
    </row>
    <row r="2529" spans="1:26" x14ac:dyDescent="0.2">
      <c r="A2529" s="5">
        <v>7</v>
      </c>
      <c r="B2529" s="8" t="s">
        <v>6366</v>
      </c>
      <c r="H2529" s="8" t="s">
        <v>6367</v>
      </c>
      <c r="I2529" s="8" t="s">
        <v>6367</v>
      </c>
      <c r="J2529" s="5">
        <v>6</v>
      </c>
      <c r="K2529" s="5" t="s">
        <v>21</v>
      </c>
      <c r="L2529" s="5" t="s">
        <v>5970</v>
      </c>
      <c r="M2529" s="5">
        <v>76</v>
      </c>
      <c r="Q2529" s="5">
        <v>76</v>
      </c>
      <c r="U2529" s="5"/>
      <c r="V2529" s="5"/>
      <c r="W2529" s="5"/>
      <c r="X2529" s="5"/>
      <c r="Y2529" s="5"/>
      <c r="Z2529" s="5"/>
    </row>
    <row r="2530" spans="1:26" x14ac:dyDescent="0.2">
      <c r="A2530" s="5">
        <v>8</v>
      </c>
      <c r="B2530" s="8" t="s">
        <v>6368</v>
      </c>
      <c r="H2530" s="8" t="s">
        <v>6369</v>
      </c>
      <c r="I2530" s="8" t="s">
        <v>6369</v>
      </c>
      <c r="J2530" s="5">
        <f>10-4-4+50-8-12+100-32-12-8-30+32-2-5-32+272-12-26-12-4-20-20+300-40-40-32-4-12-12+6-30</f>
        <v>357</v>
      </c>
      <c r="K2530" s="5" t="s">
        <v>21</v>
      </c>
      <c r="L2530" s="5" t="s">
        <v>5970</v>
      </c>
      <c r="M2530" s="5">
        <v>76</v>
      </c>
      <c r="N2530" s="5" t="s">
        <v>5971</v>
      </c>
      <c r="Q2530" s="5" t="s">
        <v>6370</v>
      </c>
    </row>
    <row r="2531" spans="1:26" x14ac:dyDescent="0.2">
      <c r="A2531" s="5"/>
      <c r="B2531" s="8" t="s">
        <v>6371</v>
      </c>
      <c r="I2531" s="8" t="s">
        <v>6372</v>
      </c>
      <c r="J2531" s="5">
        <f>50+8</f>
        <v>58</v>
      </c>
      <c r="K2531" s="5" t="s">
        <v>21</v>
      </c>
      <c r="L2531" s="5" t="s">
        <v>5970</v>
      </c>
      <c r="M2531" s="5">
        <v>76</v>
      </c>
    </row>
    <row r="2532" spans="1:26" x14ac:dyDescent="0.2">
      <c r="A2532" s="5">
        <v>9</v>
      </c>
      <c r="B2532" s="8" t="s">
        <v>6373</v>
      </c>
      <c r="H2532" s="8" t="s">
        <v>6369</v>
      </c>
      <c r="I2532" s="8" t="s">
        <v>6369</v>
      </c>
      <c r="J2532" s="5">
        <f>200-79-79+55+1000-158-234-624+1000-237-156-4-60-624+31-15+72+1000-234-390+447+147-12+54-395-237+1000-79-237-237+12+68</f>
        <v>995</v>
      </c>
      <c r="K2532" s="5" t="s">
        <v>21</v>
      </c>
      <c r="L2532" s="5" t="s">
        <v>5970</v>
      </c>
      <c r="M2532" s="5">
        <v>76</v>
      </c>
      <c r="N2532" s="5" t="s">
        <v>5971</v>
      </c>
      <c r="Q2532" s="5" t="s">
        <v>6374</v>
      </c>
    </row>
    <row r="2533" spans="1:26" x14ac:dyDescent="0.2">
      <c r="A2533" s="5">
        <v>10</v>
      </c>
      <c r="B2533" s="8" t="s">
        <v>6375</v>
      </c>
      <c r="H2533" s="8" t="s">
        <v>6369</v>
      </c>
      <c r="I2533" s="8" t="s">
        <v>6369</v>
      </c>
      <c r="J2533" s="5">
        <f>14-14</f>
        <v>0</v>
      </c>
      <c r="K2533" s="5" t="s">
        <v>21</v>
      </c>
      <c r="L2533" s="5" t="s">
        <v>5970</v>
      </c>
      <c r="M2533" s="5">
        <v>76</v>
      </c>
      <c r="N2533" s="5" t="s">
        <v>5971</v>
      </c>
    </row>
    <row r="2534" spans="1:26" x14ac:dyDescent="0.2">
      <c r="A2534" s="5">
        <v>11</v>
      </c>
      <c r="B2534" s="8" t="s">
        <v>6376</v>
      </c>
      <c r="H2534" s="8" t="s">
        <v>6369</v>
      </c>
      <c r="I2534" s="8" t="s">
        <v>6369</v>
      </c>
      <c r="J2534" s="5">
        <f>52</f>
        <v>52</v>
      </c>
      <c r="K2534" s="5" t="s">
        <v>21</v>
      </c>
      <c r="L2534" s="5" t="s">
        <v>5970</v>
      </c>
      <c r="M2534" s="5">
        <v>76</v>
      </c>
      <c r="N2534" s="5" t="s">
        <v>5971</v>
      </c>
    </row>
    <row r="2535" spans="1:26" s="169" customFormat="1" x14ac:dyDescent="0.2">
      <c r="A2535" s="167" t="s">
        <v>6377</v>
      </c>
      <c r="B2535" s="140" t="s">
        <v>6378</v>
      </c>
      <c r="C2535" s="140"/>
      <c r="D2535" s="140"/>
      <c r="E2535" s="164"/>
      <c r="F2535" s="140"/>
      <c r="G2535" s="140"/>
      <c r="H2535" s="140" t="s">
        <v>5971</v>
      </c>
      <c r="I2535" s="140"/>
      <c r="J2535" s="167"/>
      <c r="K2535" s="167"/>
      <c r="L2535" s="167"/>
      <c r="M2535" s="167"/>
      <c r="N2535" s="167"/>
      <c r="O2535" s="167"/>
      <c r="P2535" s="167"/>
      <c r="Q2535" s="168"/>
      <c r="R2535" s="167"/>
      <c r="S2535" s="167"/>
      <c r="T2535" s="167"/>
    </row>
    <row r="2536" spans="1:26" x14ac:dyDescent="0.2">
      <c r="A2536" s="5">
        <v>1</v>
      </c>
      <c r="B2536" s="8" t="s">
        <v>6211</v>
      </c>
      <c r="H2536" s="8" t="s">
        <v>6379</v>
      </c>
      <c r="I2536" s="8" t="s">
        <v>6379</v>
      </c>
      <c r="J2536" s="5">
        <f>500-179-24-3</f>
        <v>294</v>
      </c>
      <c r="K2536" s="5" t="s">
        <v>21</v>
      </c>
      <c r="L2536" s="5" t="s">
        <v>5970</v>
      </c>
      <c r="M2536" s="5">
        <v>77</v>
      </c>
      <c r="N2536" s="5" t="s">
        <v>5971</v>
      </c>
    </row>
    <row r="2537" spans="1:26" x14ac:dyDescent="0.2">
      <c r="A2537" s="5">
        <v>2</v>
      </c>
      <c r="B2537" s="8" t="s">
        <v>6380</v>
      </c>
      <c r="H2537" s="8" t="s">
        <v>6381</v>
      </c>
      <c r="I2537" s="8" t="s">
        <v>6381</v>
      </c>
      <c r="J2537" s="5">
        <f>236</f>
        <v>236</v>
      </c>
      <c r="K2537" s="5" t="s">
        <v>21</v>
      </c>
      <c r="L2537" s="5" t="s">
        <v>5970</v>
      </c>
      <c r="M2537" s="5">
        <v>77</v>
      </c>
      <c r="N2537" s="5" t="s">
        <v>5971</v>
      </c>
    </row>
    <row r="2538" spans="1:26" x14ac:dyDescent="0.2">
      <c r="A2538" s="5">
        <v>3</v>
      </c>
      <c r="B2538" s="8" t="s">
        <v>6212</v>
      </c>
      <c r="H2538" s="8" t="s">
        <v>6379</v>
      </c>
      <c r="I2538" s="8" t="s">
        <v>6379</v>
      </c>
      <c r="J2538" s="5">
        <v>243</v>
      </c>
      <c r="K2538" s="5" t="s">
        <v>21</v>
      </c>
      <c r="L2538" s="5" t="s">
        <v>5970</v>
      </c>
      <c r="M2538" s="5">
        <v>77</v>
      </c>
      <c r="N2538" s="5" t="s">
        <v>5971</v>
      </c>
    </row>
    <row r="2539" spans="1:26" x14ac:dyDescent="0.2">
      <c r="A2539" s="5">
        <v>4</v>
      </c>
      <c r="B2539" s="8" t="s">
        <v>6249</v>
      </c>
      <c r="H2539" s="8" t="s">
        <v>6382</v>
      </c>
      <c r="I2539" s="8" t="s">
        <v>6382</v>
      </c>
      <c r="J2539" s="5">
        <f>4891-8-20-100-210-28-64-12-12-12-8-24-4</f>
        <v>4389</v>
      </c>
      <c r="K2539" s="5" t="s">
        <v>21</v>
      </c>
      <c r="L2539" s="5" t="s">
        <v>6383</v>
      </c>
      <c r="M2539" s="5">
        <v>18</v>
      </c>
      <c r="N2539" s="5" t="s">
        <v>5971</v>
      </c>
    </row>
    <row r="2540" spans="1:26" s="169" customFormat="1" x14ac:dyDescent="0.2">
      <c r="A2540" s="167" t="s">
        <v>6377</v>
      </c>
      <c r="B2540" s="140" t="s">
        <v>6384</v>
      </c>
      <c r="C2540" s="140"/>
      <c r="D2540" s="140"/>
      <c r="E2540" s="164"/>
      <c r="F2540" s="140"/>
      <c r="G2540" s="140"/>
      <c r="H2540" s="140" t="s">
        <v>5971</v>
      </c>
      <c r="I2540" s="140"/>
      <c r="J2540" s="167"/>
      <c r="K2540" s="167"/>
      <c r="L2540" s="167"/>
      <c r="M2540" s="167"/>
      <c r="N2540" s="167"/>
      <c r="O2540" s="167"/>
      <c r="P2540" s="167"/>
      <c r="Q2540" s="167"/>
      <c r="R2540" s="167"/>
      <c r="S2540" s="167"/>
      <c r="T2540" s="167"/>
    </row>
    <row r="2541" spans="1:26" x14ac:dyDescent="0.2">
      <c r="A2541" s="5">
        <v>1</v>
      </c>
      <c r="B2541" s="8" t="s">
        <v>6385</v>
      </c>
      <c r="H2541" s="8" t="s">
        <v>6386</v>
      </c>
      <c r="I2541" s="8" t="s">
        <v>6386</v>
      </c>
      <c r="J2541" s="5">
        <f>18+238-6+6-2-1</f>
        <v>253</v>
      </c>
      <c r="K2541" s="5" t="s">
        <v>21</v>
      </c>
      <c r="L2541" s="5" t="s">
        <v>5970</v>
      </c>
      <c r="M2541" s="5">
        <v>77</v>
      </c>
      <c r="N2541" s="5" t="s">
        <v>5971</v>
      </c>
      <c r="Q2541" s="107" t="s">
        <v>6248</v>
      </c>
    </row>
    <row r="2542" spans="1:26" x14ac:dyDescent="0.2">
      <c r="A2542" s="5">
        <v>2</v>
      </c>
      <c r="B2542" s="8" t="s">
        <v>6387</v>
      </c>
      <c r="H2542" s="8" t="s">
        <v>6388</v>
      </c>
      <c r="I2542" s="8" t="s">
        <v>6386</v>
      </c>
      <c r="J2542" s="5">
        <f>25+60-3-4-32+6-6-2</f>
        <v>44</v>
      </c>
      <c r="K2542" s="5" t="s">
        <v>21</v>
      </c>
      <c r="L2542" s="5" t="s">
        <v>5970</v>
      </c>
      <c r="M2542" s="5">
        <v>77</v>
      </c>
      <c r="N2542" s="5" t="s">
        <v>5971</v>
      </c>
      <c r="Q2542" s="107"/>
    </row>
    <row r="2543" spans="1:26" x14ac:dyDescent="0.2">
      <c r="A2543" s="5">
        <v>3</v>
      </c>
      <c r="B2543" s="8" t="s">
        <v>6389</v>
      </c>
      <c r="H2543" s="8" t="s">
        <v>6388</v>
      </c>
      <c r="I2543" s="8" t="s">
        <v>6386</v>
      </c>
      <c r="J2543" s="5">
        <f>200-168-8-24+8-7-1+48-48+50-2-3-4-6-35+2</f>
        <v>2</v>
      </c>
      <c r="K2543" s="5" t="s">
        <v>21</v>
      </c>
      <c r="L2543" s="5" t="s">
        <v>5970</v>
      </c>
      <c r="M2543" s="5">
        <v>77</v>
      </c>
      <c r="N2543" s="5" t="s">
        <v>5971</v>
      </c>
      <c r="Q2543" s="107" t="s">
        <v>6390</v>
      </c>
    </row>
    <row r="2544" spans="1:26" x14ac:dyDescent="0.2">
      <c r="A2544" s="5">
        <v>4</v>
      </c>
      <c r="B2544" s="8" t="s">
        <v>6391</v>
      </c>
      <c r="H2544" s="8" t="s">
        <v>6388</v>
      </c>
      <c r="I2544" s="8" t="s">
        <v>6386</v>
      </c>
      <c r="J2544" s="5">
        <f>32+2+9+10+12-6-6-4-2-14-30+14-6-7+6+7-8</f>
        <v>9</v>
      </c>
      <c r="K2544" s="5" t="s">
        <v>21</v>
      </c>
      <c r="L2544" s="5" t="s">
        <v>5970</v>
      </c>
      <c r="M2544" s="5">
        <v>77</v>
      </c>
      <c r="N2544" s="5" t="s">
        <v>5971</v>
      </c>
      <c r="Q2544" s="107"/>
    </row>
    <row r="2545" spans="1:20" x14ac:dyDescent="0.2">
      <c r="A2545" s="5">
        <v>5</v>
      </c>
      <c r="B2545" s="8" t="s">
        <v>6392</v>
      </c>
      <c r="H2545" s="8" t="s">
        <v>6388</v>
      </c>
      <c r="I2545" s="8" t="s">
        <v>6386</v>
      </c>
      <c r="J2545" s="5">
        <f>25</f>
        <v>25</v>
      </c>
      <c r="K2545" s="5" t="s">
        <v>21</v>
      </c>
      <c r="L2545" s="5" t="s">
        <v>5970</v>
      </c>
      <c r="M2545" s="5">
        <v>77</v>
      </c>
      <c r="N2545" s="5" t="s">
        <v>5971</v>
      </c>
      <c r="Q2545" s="107"/>
    </row>
    <row r="2546" spans="1:20" x14ac:dyDescent="0.2">
      <c r="A2546" s="5">
        <v>6</v>
      </c>
      <c r="B2546" s="8" t="s">
        <v>6393</v>
      </c>
      <c r="H2546" s="8" t="s">
        <v>6394</v>
      </c>
      <c r="I2546" s="8" t="s">
        <v>6394</v>
      </c>
      <c r="J2546" s="5">
        <f>9</f>
        <v>9</v>
      </c>
      <c r="K2546" s="5" t="s">
        <v>21</v>
      </c>
      <c r="L2546" s="5" t="s">
        <v>5970</v>
      </c>
      <c r="M2546" s="5">
        <v>77</v>
      </c>
      <c r="N2546" s="5" t="s">
        <v>5971</v>
      </c>
      <c r="Q2546" s="107" t="s">
        <v>6395</v>
      </c>
    </row>
    <row r="2547" spans="1:20" s="173" customFormat="1" x14ac:dyDescent="0.2">
      <c r="A2547" s="170" t="s">
        <v>6396</v>
      </c>
      <c r="B2547" s="171" t="s">
        <v>6249</v>
      </c>
      <c r="C2547" s="140"/>
      <c r="D2547" s="140"/>
      <c r="E2547" s="164"/>
      <c r="F2547" s="140"/>
      <c r="G2547" s="140"/>
      <c r="H2547" s="171" t="s">
        <v>6397</v>
      </c>
      <c r="I2547" s="140"/>
      <c r="J2547" s="170"/>
      <c r="K2547" s="170"/>
      <c r="L2547" s="170"/>
      <c r="M2547" s="170"/>
      <c r="N2547" s="170"/>
      <c r="O2547" s="170"/>
      <c r="P2547" s="170"/>
      <c r="Q2547" s="170"/>
      <c r="R2547" s="170"/>
      <c r="S2547" s="170"/>
      <c r="T2547" s="170"/>
    </row>
    <row r="2548" spans="1:20" s="173" customFormat="1" x14ac:dyDescent="0.2">
      <c r="A2548" s="170"/>
      <c r="B2548" s="8" t="s">
        <v>6398</v>
      </c>
      <c r="C2548" s="140"/>
      <c r="D2548" s="140"/>
      <c r="E2548" s="164"/>
      <c r="F2548" s="140"/>
      <c r="G2548" s="140"/>
      <c r="H2548" s="171"/>
      <c r="I2548" s="97" t="s">
        <v>6399</v>
      </c>
      <c r="J2548" s="170"/>
      <c r="K2548" s="170"/>
      <c r="L2548" s="170"/>
      <c r="M2548" s="170"/>
      <c r="N2548" s="170"/>
      <c r="O2548" s="170"/>
      <c r="P2548" s="170"/>
      <c r="Q2548" s="170"/>
      <c r="R2548" s="170"/>
      <c r="S2548" s="170"/>
      <c r="T2548" s="170"/>
    </row>
    <row r="2549" spans="1:20" s="73" customFormat="1" x14ac:dyDescent="0.2">
      <c r="A2549" s="73">
        <v>1</v>
      </c>
      <c r="B2549" s="97" t="s">
        <v>6400</v>
      </c>
      <c r="C2549" s="97"/>
      <c r="D2549" s="97"/>
      <c r="E2549" s="183"/>
      <c r="F2549" s="97"/>
      <c r="G2549" s="97"/>
      <c r="H2549" s="97" t="s">
        <v>6399</v>
      </c>
      <c r="I2549" s="97" t="s">
        <v>6399</v>
      </c>
      <c r="J2549" s="70">
        <f>76+48-2-9+217</f>
        <v>330</v>
      </c>
      <c r="K2549" s="70" t="s">
        <v>292</v>
      </c>
      <c r="L2549" s="70" t="s">
        <v>5970</v>
      </c>
      <c r="M2549" s="70">
        <v>78</v>
      </c>
      <c r="N2549" s="70" t="s">
        <v>6401</v>
      </c>
      <c r="O2549" s="70"/>
      <c r="P2549" s="70"/>
      <c r="Q2549" s="193"/>
      <c r="R2549" s="70"/>
      <c r="S2549" s="70"/>
      <c r="T2549" s="70"/>
    </row>
    <row r="2550" spans="1:20" x14ac:dyDescent="0.2">
      <c r="A2550">
        <v>2</v>
      </c>
      <c r="B2550" s="8" t="s">
        <v>6402</v>
      </c>
      <c r="H2550" s="8" t="s">
        <v>6399</v>
      </c>
      <c r="I2550" s="8" t="s">
        <v>6399</v>
      </c>
      <c r="J2550" s="5">
        <f>741-16-44-22-20-15-44-136-16</f>
        <v>428</v>
      </c>
      <c r="K2550" s="5" t="s">
        <v>292</v>
      </c>
      <c r="L2550" s="5" t="s">
        <v>5970</v>
      </c>
      <c r="M2550" s="5">
        <v>78</v>
      </c>
      <c r="N2550" s="5" t="s">
        <v>6401</v>
      </c>
      <c r="Q2550" s="107"/>
    </row>
    <row r="2551" spans="1:20" x14ac:dyDescent="0.2">
      <c r="B2551" s="8" t="s">
        <v>6403</v>
      </c>
      <c r="H2551" s="8" t="s">
        <v>6399</v>
      </c>
      <c r="I2551" s="8" t="s">
        <v>6399</v>
      </c>
      <c r="J2551" s="5">
        <f>500+144</f>
        <v>644</v>
      </c>
      <c r="K2551" s="5" t="s">
        <v>292</v>
      </c>
      <c r="L2551" s="5" t="s">
        <v>5970</v>
      </c>
      <c r="M2551" s="5">
        <v>78</v>
      </c>
      <c r="N2551" s="5" t="s">
        <v>6401</v>
      </c>
      <c r="Q2551" s="107" t="s">
        <v>6404</v>
      </c>
    </row>
    <row r="2552" spans="1:20" x14ac:dyDescent="0.2">
      <c r="B2552" s="8" t="s">
        <v>6405</v>
      </c>
      <c r="H2552" s="8" t="s">
        <v>6399</v>
      </c>
      <c r="I2552" s="8" t="s">
        <v>6399</v>
      </c>
      <c r="J2552" s="5">
        <f>150-144+500+1-4-4-76+2-28-397+24+37-27+100-72-32-20+100</f>
        <v>110</v>
      </c>
      <c r="K2552" s="5" t="s">
        <v>292</v>
      </c>
      <c r="L2552" s="5" t="s">
        <v>6383</v>
      </c>
      <c r="M2552" s="5">
        <v>18</v>
      </c>
      <c r="Q2552" s="107" t="s">
        <v>6406</v>
      </c>
    </row>
    <row r="2553" spans="1:20" x14ac:dyDescent="0.2">
      <c r="A2553">
        <v>4</v>
      </c>
      <c r="B2553" s="8" t="s">
        <v>6407</v>
      </c>
      <c r="H2553" s="8" t="s">
        <v>6399</v>
      </c>
      <c r="I2553" s="8" t="s">
        <v>6399</v>
      </c>
      <c r="J2553" s="5">
        <f>13+70-20-1-6-56+56-3+31+840-16-22-88-2+50-6-167-15-9-55-55-20+200+279</f>
        <v>998</v>
      </c>
      <c r="K2553" s="5" t="s">
        <v>292</v>
      </c>
      <c r="L2553" s="5" t="s">
        <v>5970</v>
      </c>
      <c r="M2553" s="5">
        <v>78</v>
      </c>
      <c r="N2553" s="5" t="s">
        <v>6401</v>
      </c>
      <c r="Q2553" s="107"/>
    </row>
    <row r="2554" spans="1:20" x14ac:dyDescent="0.2">
      <c r="A2554">
        <v>5</v>
      </c>
      <c r="B2554" s="8" t="s">
        <v>6408</v>
      </c>
      <c r="H2554" s="8" t="s">
        <v>6399</v>
      </c>
      <c r="I2554" s="8" t="s">
        <v>6399</v>
      </c>
      <c r="J2554" s="5">
        <f>53+55</f>
        <v>108</v>
      </c>
      <c r="K2554" s="5" t="s">
        <v>292</v>
      </c>
      <c r="L2554" s="5" t="s">
        <v>5970</v>
      </c>
      <c r="M2554" s="5">
        <v>78</v>
      </c>
      <c r="N2554" s="5" t="s">
        <v>6401</v>
      </c>
      <c r="Q2554" s="107" t="s">
        <v>6409</v>
      </c>
    </row>
    <row r="2555" spans="1:20" x14ac:dyDescent="0.2">
      <c r="A2555">
        <v>6</v>
      </c>
      <c r="B2555" s="8" t="s">
        <v>6410</v>
      </c>
      <c r="H2555" s="8" t="s">
        <v>6399</v>
      </c>
      <c r="I2555" s="8" t="s">
        <v>6399</v>
      </c>
      <c r="J2555" s="5">
        <f>72+21+91-4-4-12+4-72-12-36-8+2000-4-16-10-4-8-36+148+50-4-425+10-20-24-48-60-4-4+4+200+300-10</f>
        <v>2075</v>
      </c>
      <c r="K2555" s="5" t="s">
        <v>292</v>
      </c>
      <c r="L2555" s="5" t="s">
        <v>6383</v>
      </c>
      <c r="M2555" s="5">
        <v>18</v>
      </c>
      <c r="N2555" s="5" t="s">
        <v>6401</v>
      </c>
      <c r="Q2555" s="107"/>
    </row>
    <row r="2556" spans="1:20" x14ac:dyDescent="0.2">
      <c r="A2556">
        <v>7</v>
      </c>
      <c r="B2556" s="8" t="s">
        <v>6411</v>
      </c>
      <c r="H2556" s="8" t="s">
        <v>6399</v>
      </c>
      <c r="I2556" s="8" t="s">
        <v>6399</v>
      </c>
      <c r="J2556" s="5">
        <f>58+56+75-10-8-8-15-8</f>
        <v>140</v>
      </c>
      <c r="K2556" s="5" t="s">
        <v>292</v>
      </c>
      <c r="L2556" s="5" t="s">
        <v>5970</v>
      </c>
      <c r="M2556" s="5">
        <v>78</v>
      </c>
      <c r="N2556" s="5" t="s">
        <v>6401</v>
      </c>
      <c r="Q2556" s="107" t="s">
        <v>6412</v>
      </c>
    </row>
    <row r="2557" spans="1:20" s="73" customFormat="1" x14ac:dyDescent="0.2">
      <c r="A2557" s="73">
        <v>8</v>
      </c>
      <c r="B2557" s="97" t="s">
        <v>6413</v>
      </c>
      <c r="C2557" s="97"/>
      <c r="D2557" s="97"/>
      <c r="E2557" s="183"/>
      <c r="F2557" s="97"/>
      <c r="G2557" s="97"/>
      <c r="H2557" s="97" t="s">
        <v>6399</v>
      </c>
      <c r="I2557" s="97" t="s">
        <v>6399</v>
      </c>
      <c r="J2557" s="70">
        <f>200-16</f>
        <v>184</v>
      </c>
      <c r="K2557" s="70" t="s">
        <v>292</v>
      </c>
      <c r="L2557" s="70" t="s">
        <v>5970</v>
      </c>
      <c r="M2557" s="70">
        <v>78</v>
      </c>
      <c r="N2557" s="70" t="s">
        <v>6401</v>
      </c>
      <c r="O2557" s="70"/>
      <c r="P2557" s="70"/>
      <c r="Q2557" s="193" t="s">
        <v>6414</v>
      </c>
      <c r="R2557" s="70"/>
      <c r="S2557" s="70"/>
      <c r="T2557" s="70"/>
    </row>
    <row r="2558" spans="1:20" x14ac:dyDescent="0.2">
      <c r="A2558">
        <v>9</v>
      </c>
      <c r="B2558" s="8" t="s">
        <v>6415</v>
      </c>
      <c r="H2558" s="8" t="s">
        <v>6399</v>
      </c>
      <c r="I2558" s="8" t="s">
        <v>6399</v>
      </c>
      <c r="J2558" s="5">
        <f>15-4-4+136</f>
        <v>143</v>
      </c>
      <c r="K2558" s="5" t="s">
        <v>292</v>
      </c>
      <c r="L2558" s="5" t="s">
        <v>5970</v>
      </c>
      <c r="M2558" s="5">
        <v>78</v>
      </c>
      <c r="N2558" s="5" t="s">
        <v>6401</v>
      </c>
      <c r="Q2558" s="107" t="s">
        <v>6416</v>
      </c>
    </row>
    <row r="2559" spans="1:20" x14ac:dyDescent="0.2">
      <c r="A2559">
        <v>10</v>
      </c>
      <c r="B2559" s="8" t="s">
        <v>6417</v>
      </c>
      <c r="H2559" s="8" t="s">
        <v>6399</v>
      </c>
      <c r="I2559" s="8" t="s">
        <v>6399</v>
      </c>
      <c r="J2559" s="5">
        <f>6+9+78</f>
        <v>93</v>
      </c>
      <c r="K2559" s="5" t="s">
        <v>292</v>
      </c>
      <c r="L2559" s="5" t="s">
        <v>5970</v>
      </c>
      <c r="M2559" s="5">
        <v>78</v>
      </c>
      <c r="N2559" s="5" t="s">
        <v>6401</v>
      </c>
      <c r="Q2559" s="107" t="s">
        <v>6416</v>
      </c>
    </row>
    <row r="2560" spans="1:20" x14ac:dyDescent="0.2">
      <c r="A2560">
        <v>11</v>
      </c>
      <c r="B2560" s="8" t="s">
        <v>6418</v>
      </c>
      <c r="H2560" s="8" t="s">
        <v>6399</v>
      </c>
      <c r="I2560" s="8" t="s">
        <v>6399</v>
      </c>
      <c r="J2560" s="5">
        <f>200-6</f>
        <v>194</v>
      </c>
      <c r="K2560" s="5" t="s">
        <v>292</v>
      </c>
      <c r="L2560" s="5" t="s">
        <v>5970</v>
      </c>
      <c r="M2560" s="5">
        <v>78</v>
      </c>
      <c r="N2560" s="5" t="s">
        <v>6401</v>
      </c>
      <c r="Q2560" s="107" t="s">
        <v>6416</v>
      </c>
    </row>
    <row r="2561" spans="1:21" x14ac:dyDescent="0.2">
      <c r="A2561">
        <v>12</v>
      </c>
      <c r="B2561" s="8" t="s">
        <v>6419</v>
      </c>
      <c r="H2561" s="8" t="s">
        <v>6399</v>
      </c>
      <c r="I2561" s="8" t="s">
        <v>6399</v>
      </c>
      <c r="J2561" s="5">
        <f>100-16-16+5</f>
        <v>73</v>
      </c>
      <c r="K2561" s="5" t="s">
        <v>292</v>
      </c>
      <c r="L2561" s="5" t="s">
        <v>5970</v>
      </c>
      <c r="M2561" s="5">
        <v>78</v>
      </c>
      <c r="N2561" s="5" t="s">
        <v>6401</v>
      </c>
      <c r="Q2561" s="107" t="s">
        <v>6416</v>
      </c>
    </row>
    <row r="2562" spans="1:21" s="174" customFormat="1" x14ac:dyDescent="0.2">
      <c r="A2562" s="174" t="s">
        <v>6420</v>
      </c>
      <c r="B2562" s="175" t="s">
        <v>6421</v>
      </c>
      <c r="C2562" s="140"/>
      <c r="D2562" s="140"/>
      <c r="E2562" s="164"/>
      <c r="F2562" s="140"/>
      <c r="G2562" s="140"/>
      <c r="H2562" s="175" t="s">
        <v>81</v>
      </c>
      <c r="I2562" s="140"/>
      <c r="J2562" s="176"/>
      <c r="K2562" s="176"/>
      <c r="L2562" s="176"/>
      <c r="M2562" s="176"/>
      <c r="N2562" s="176"/>
      <c r="O2562" s="176"/>
      <c r="P2562" s="176"/>
      <c r="Q2562" s="177"/>
      <c r="R2562" s="176"/>
      <c r="S2562" s="176"/>
      <c r="T2562" s="176"/>
    </row>
    <row r="2563" spans="1:21" x14ac:dyDescent="0.2">
      <c r="A2563" s="5">
        <v>1</v>
      </c>
      <c r="B2563" s="8" t="s">
        <v>6422</v>
      </c>
      <c r="H2563" s="8" t="s">
        <v>6423</v>
      </c>
      <c r="I2563" s="8" t="s">
        <v>6424</v>
      </c>
      <c r="J2563" s="5">
        <v>141</v>
      </c>
      <c r="K2563" s="5" t="s">
        <v>21</v>
      </c>
      <c r="L2563" s="5" t="s">
        <v>5970</v>
      </c>
      <c r="M2563" s="5">
        <v>79</v>
      </c>
      <c r="N2563" s="5" t="s">
        <v>81</v>
      </c>
      <c r="U2563" t="s">
        <v>321</v>
      </c>
    </row>
    <row r="2564" spans="1:21" ht="17.25" customHeight="1" x14ac:dyDescent="0.2">
      <c r="A2564" s="5">
        <v>2</v>
      </c>
      <c r="B2564" s="8" t="s">
        <v>6425</v>
      </c>
      <c r="H2564" s="8" t="s">
        <v>6426</v>
      </c>
      <c r="I2564" s="8" t="s">
        <v>6424</v>
      </c>
      <c r="J2564" s="5">
        <v>1049</v>
      </c>
      <c r="K2564" s="5" t="s">
        <v>21</v>
      </c>
      <c r="L2564" s="5" t="s">
        <v>5970</v>
      </c>
      <c r="M2564" s="5">
        <v>79</v>
      </c>
      <c r="N2564" s="5" t="s">
        <v>81</v>
      </c>
    </row>
    <row r="2565" spans="1:21" ht="17.25" customHeight="1" x14ac:dyDescent="0.2">
      <c r="A2565" s="5">
        <v>3</v>
      </c>
      <c r="B2565" s="8" t="s">
        <v>6427</v>
      </c>
      <c r="H2565" s="8" t="s">
        <v>6428</v>
      </c>
      <c r="I2565" s="8" t="s">
        <v>6424</v>
      </c>
      <c r="J2565" s="5">
        <f>185-6-6-6-24-5-6-3-2-2+16-8-8-16-2-2-42-2-2+500-6-10-2-4+10-2-32-2-2-2-2+4-10-8-I240490-9-2-8-2-8-44-2-8-2-2-14-16-8-4-22-38-16-9-2-4-12-4-18-12-16</f>
        <v>209</v>
      </c>
      <c r="K2565" s="5" t="s">
        <v>21</v>
      </c>
      <c r="L2565" s="5" t="s">
        <v>5970</v>
      </c>
      <c r="M2565" s="5">
        <v>79</v>
      </c>
      <c r="N2565" s="5" t="s">
        <v>81</v>
      </c>
      <c r="Q2565" s="107" t="s">
        <v>6429</v>
      </c>
    </row>
    <row r="2566" spans="1:21" x14ac:dyDescent="0.2">
      <c r="A2566" s="5">
        <v>4</v>
      </c>
      <c r="B2566" s="8" t="s">
        <v>6430</v>
      </c>
      <c r="H2566" s="8" t="s">
        <v>6431</v>
      </c>
      <c r="I2566" s="8" t="s">
        <v>6424</v>
      </c>
      <c r="J2566" s="5">
        <f>1000-24-613-32+32-18-48-32-22-1-7-22+10-6-8-200-4-5+408-16-8-16-36-4-32-16-200-16-16</f>
        <v>48</v>
      </c>
      <c r="K2566" s="5" t="s">
        <v>21</v>
      </c>
      <c r="L2566" s="5" t="s">
        <v>5970</v>
      </c>
      <c r="M2566" s="5">
        <v>79</v>
      </c>
      <c r="N2566" s="5" t="s">
        <v>81</v>
      </c>
      <c r="Q2566" s="5" t="s">
        <v>6432</v>
      </c>
    </row>
    <row r="2567" spans="1:21" x14ac:dyDescent="0.2">
      <c r="A2567" s="5">
        <v>5</v>
      </c>
      <c r="B2567" s="8" t="s">
        <v>6433</v>
      </c>
      <c r="H2567" s="8" t="s">
        <v>6434</v>
      </c>
      <c r="I2567" s="8" t="s">
        <v>6424</v>
      </c>
      <c r="J2567" s="5">
        <f>185-98-14-7-48-8+100-18-18-16-16+2</f>
        <v>44</v>
      </c>
      <c r="K2567" s="5" t="s">
        <v>21</v>
      </c>
      <c r="L2567" s="5" t="s">
        <v>5970</v>
      </c>
      <c r="M2567" s="5">
        <v>79</v>
      </c>
      <c r="N2567" s="5" t="s">
        <v>81</v>
      </c>
    </row>
    <row r="2568" spans="1:21" x14ac:dyDescent="0.2">
      <c r="A2568" s="5">
        <v>7</v>
      </c>
      <c r="B2568" s="8" t="s">
        <v>6435</v>
      </c>
      <c r="H2568" s="8" t="s">
        <v>6424</v>
      </c>
      <c r="I2568" s="8" t="s">
        <v>6424</v>
      </c>
      <c r="J2568" s="5">
        <f>2942-4-12-2-6-318-335-16-4-4-6-28-12-4-324-28-8-8+2+6-8+2-24-16</f>
        <v>1785</v>
      </c>
      <c r="K2568" s="5" t="s">
        <v>21</v>
      </c>
      <c r="L2568" s="5" t="s">
        <v>5970</v>
      </c>
      <c r="M2568" s="5">
        <v>79</v>
      </c>
      <c r="N2568" s="5" t="s">
        <v>81</v>
      </c>
    </row>
    <row r="2569" spans="1:21" x14ac:dyDescent="0.2">
      <c r="A2569" s="5">
        <v>8</v>
      </c>
      <c r="B2569" s="8" t="s">
        <v>6436</v>
      </c>
      <c r="H2569" s="8" t="s">
        <v>6437</v>
      </c>
      <c r="I2569" s="8" t="s">
        <v>6424</v>
      </c>
      <c r="J2569" s="5">
        <f>18-12+100-24-6-4-4</f>
        <v>68</v>
      </c>
      <c r="K2569" s="5" t="s">
        <v>21</v>
      </c>
      <c r="L2569" s="5" t="s">
        <v>5970</v>
      </c>
      <c r="M2569" s="5">
        <v>79</v>
      </c>
      <c r="N2569" s="5" t="s">
        <v>81</v>
      </c>
    </row>
    <row r="2570" spans="1:21" x14ac:dyDescent="0.2">
      <c r="A2570" s="5">
        <v>9</v>
      </c>
      <c r="B2570" s="8" t="s">
        <v>6438</v>
      </c>
      <c r="H2570" s="8" t="s">
        <v>6439</v>
      </c>
      <c r="I2570" s="8" t="s">
        <v>6424</v>
      </c>
      <c r="J2570" s="5">
        <f>196-1-8-48-96-32+62-17+1-6+40-6+1-1-1-1-1-12-3-1-2-1-2-16-4-16-16-6</f>
        <v>3</v>
      </c>
      <c r="K2570" s="5" t="s">
        <v>21</v>
      </c>
      <c r="L2570" s="5" t="s">
        <v>5970</v>
      </c>
      <c r="M2570" s="5">
        <v>79</v>
      </c>
      <c r="N2570" s="5" t="s">
        <v>81</v>
      </c>
    </row>
    <row r="2571" spans="1:21" x14ac:dyDescent="0.2">
      <c r="A2571" s="5">
        <v>10</v>
      </c>
      <c r="B2571" s="8" t="s">
        <v>6440</v>
      </c>
      <c r="H2571" s="8" t="s">
        <v>6424</v>
      </c>
      <c r="I2571" s="8" t="s">
        <v>6424</v>
      </c>
      <c r="J2571" s="5">
        <f>1093+2</f>
        <v>1095</v>
      </c>
      <c r="K2571" s="5" t="s">
        <v>21</v>
      </c>
      <c r="L2571" s="5" t="s">
        <v>5970</v>
      </c>
      <c r="M2571" s="5">
        <v>79</v>
      </c>
      <c r="N2571" s="5" t="s">
        <v>81</v>
      </c>
    </row>
    <row r="2572" spans="1:21" x14ac:dyDescent="0.2">
      <c r="A2572" s="5">
        <v>11</v>
      </c>
      <c r="B2572" s="8" t="s">
        <v>6441</v>
      </c>
      <c r="H2572" s="8" t="s">
        <v>6442</v>
      </c>
      <c r="I2572" s="8" t="s">
        <v>6424</v>
      </c>
      <c r="J2572" s="5">
        <f>95-4+4-4</f>
        <v>91</v>
      </c>
      <c r="K2572" s="5" t="s">
        <v>21</v>
      </c>
      <c r="L2572" s="5" t="s">
        <v>5970</v>
      </c>
      <c r="M2572" s="5">
        <v>79</v>
      </c>
      <c r="N2572" s="5" t="s">
        <v>81</v>
      </c>
    </row>
    <row r="2573" spans="1:21" x14ac:dyDescent="0.2">
      <c r="A2573" s="5">
        <v>12</v>
      </c>
      <c r="B2573" s="8" t="s">
        <v>6443</v>
      </c>
      <c r="H2573" s="8" t="s">
        <v>6444</v>
      </c>
      <c r="I2573" s="8" t="s">
        <v>6424</v>
      </c>
      <c r="J2573" s="5">
        <f>57-3-3</f>
        <v>51</v>
      </c>
      <c r="K2573" s="5" t="s">
        <v>21</v>
      </c>
      <c r="L2573" s="5" t="s">
        <v>5970</v>
      </c>
      <c r="M2573" s="5">
        <v>79</v>
      </c>
      <c r="N2573" s="5" t="s">
        <v>81</v>
      </c>
    </row>
    <row r="2574" spans="1:21" x14ac:dyDescent="0.2">
      <c r="A2574" s="5">
        <v>13</v>
      </c>
      <c r="B2574" s="8" t="s">
        <v>6445</v>
      </c>
      <c r="H2574" s="8" t="s">
        <v>6446</v>
      </c>
      <c r="I2574" s="8" t="s">
        <v>6424</v>
      </c>
      <c r="J2574" s="5">
        <f>33-4-4-1-6-6+100-16-16</f>
        <v>80</v>
      </c>
      <c r="K2574" s="5" t="s">
        <v>21</v>
      </c>
      <c r="L2574" s="5" t="s">
        <v>5970</v>
      </c>
      <c r="M2574" s="5">
        <v>79</v>
      </c>
      <c r="N2574" s="5" t="s">
        <v>81</v>
      </c>
    </row>
    <row r="2575" spans="1:21" x14ac:dyDescent="0.2">
      <c r="A2575" s="5">
        <v>14</v>
      </c>
      <c r="B2575" s="8" t="s">
        <v>6447</v>
      </c>
      <c r="H2575" s="8" t="s">
        <v>6448</v>
      </c>
      <c r="I2575" s="8" t="s">
        <v>6424</v>
      </c>
      <c r="J2575" s="5">
        <f>52+120-2-2</f>
        <v>168</v>
      </c>
      <c r="K2575" s="5" t="s">
        <v>21</v>
      </c>
      <c r="L2575" s="5" t="s">
        <v>5970</v>
      </c>
      <c r="M2575" s="5">
        <v>79</v>
      </c>
      <c r="N2575" s="5" t="s">
        <v>81</v>
      </c>
    </row>
    <row r="2576" spans="1:21" s="174" customFormat="1" x14ac:dyDescent="0.2">
      <c r="A2576" s="176" t="s">
        <v>6449</v>
      </c>
      <c r="B2576" s="175" t="s">
        <v>6278</v>
      </c>
      <c r="C2576" s="140"/>
      <c r="D2576" s="140"/>
      <c r="E2576" s="164"/>
      <c r="F2576" s="140"/>
      <c r="G2576" s="140"/>
      <c r="H2576" s="175" t="s">
        <v>81</v>
      </c>
      <c r="I2576" s="140"/>
      <c r="J2576" s="176"/>
      <c r="K2576" s="176"/>
      <c r="L2576" s="176"/>
      <c r="M2576" s="176"/>
      <c r="N2576" s="167" t="s">
        <v>81</v>
      </c>
      <c r="O2576" s="176"/>
      <c r="P2576" s="176"/>
      <c r="Q2576" s="176"/>
      <c r="R2576" s="176"/>
      <c r="S2576" s="176"/>
      <c r="T2576" s="176"/>
    </row>
    <row r="2577" spans="1:21" x14ac:dyDescent="0.2">
      <c r="A2577" s="5">
        <v>1</v>
      </c>
      <c r="B2577" s="8" t="s">
        <v>6450</v>
      </c>
      <c r="H2577" s="8" t="s">
        <v>6451</v>
      </c>
      <c r="I2577" s="8" t="s">
        <v>6424</v>
      </c>
      <c r="J2577" s="5">
        <f>215-2-4-24-24-16+4-2+10-3+1-2-20-15-6-3+2</f>
        <v>111</v>
      </c>
      <c r="K2577" s="5" t="s">
        <v>21</v>
      </c>
      <c r="L2577" s="5" t="s">
        <v>5970</v>
      </c>
      <c r="M2577" s="5">
        <v>80</v>
      </c>
      <c r="N2577" s="5" t="s">
        <v>81</v>
      </c>
    </row>
    <row r="2578" spans="1:21" x14ac:dyDescent="0.2">
      <c r="A2578" s="5">
        <v>2</v>
      </c>
      <c r="B2578" s="8" t="s">
        <v>6452</v>
      </c>
      <c r="H2578" s="8" t="s">
        <v>6453</v>
      </c>
      <c r="I2578" s="8" t="s">
        <v>6424</v>
      </c>
      <c r="J2578" s="5">
        <f>193-4-20-4-2-44-74-10-11-2-2+200-14-11-58-6-10-2-9-6-18-1-16</f>
        <v>69</v>
      </c>
      <c r="K2578" s="5" t="s">
        <v>21</v>
      </c>
      <c r="L2578" s="5" t="s">
        <v>5970</v>
      </c>
      <c r="M2578" s="5">
        <v>80</v>
      </c>
      <c r="N2578" s="5" t="s">
        <v>81</v>
      </c>
    </row>
    <row r="2579" spans="1:21" x14ac:dyDescent="0.2">
      <c r="A2579" s="5">
        <v>3</v>
      </c>
      <c r="B2579" s="8" t="s">
        <v>6454</v>
      </c>
      <c r="H2579" s="8" t="s">
        <v>6424</v>
      </c>
      <c r="I2579" s="8" t="s">
        <v>6424</v>
      </c>
      <c r="J2579" s="5">
        <f>431-14-5-10-10-64+2-16-16</f>
        <v>298</v>
      </c>
      <c r="K2579" s="5" t="s">
        <v>21</v>
      </c>
      <c r="L2579" s="5" t="s">
        <v>5970</v>
      </c>
      <c r="M2579" s="5">
        <v>80</v>
      </c>
      <c r="N2579" s="5" t="s">
        <v>81</v>
      </c>
      <c r="U2579" t="s">
        <v>6455</v>
      </c>
    </row>
    <row r="2580" spans="1:21" x14ac:dyDescent="0.2">
      <c r="A2580" s="5">
        <v>4</v>
      </c>
      <c r="B2580" s="8" t="s">
        <v>6456</v>
      </c>
      <c r="H2580" s="8" t="s">
        <v>6424</v>
      </c>
      <c r="I2580" s="8" t="s">
        <v>6424</v>
      </c>
      <c r="J2580" s="5">
        <f>7-1-4-2+100-40-40-20+300-60-56-2-98-5-5-8</f>
        <v>66</v>
      </c>
      <c r="K2580" s="5" t="s">
        <v>21</v>
      </c>
      <c r="L2580" s="5" t="s">
        <v>5970</v>
      </c>
      <c r="M2580" s="5">
        <v>80</v>
      </c>
      <c r="N2580" s="5" t="s">
        <v>81</v>
      </c>
      <c r="Q2580" s="107" t="s">
        <v>6457</v>
      </c>
    </row>
    <row r="2581" spans="1:21" x14ac:dyDescent="0.2">
      <c r="A2581" s="5">
        <v>5</v>
      </c>
      <c r="B2581" s="8" t="s">
        <v>6458</v>
      </c>
      <c r="H2581" s="8" t="s">
        <v>6459</v>
      </c>
      <c r="I2581" s="8" t="s">
        <v>6424</v>
      </c>
      <c r="J2581" s="5">
        <f>118-18-48-48+31</f>
        <v>35</v>
      </c>
      <c r="K2581" s="5" t="s">
        <v>21</v>
      </c>
      <c r="L2581" s="5" t="s">
        <v>5970</v>
      </c>
      <c r="M2581" s="5">
        <v>80</v>
      </c>
      <c r="N2581" s="5" t="s">
        <v>81</v>
      </c>
    </row>
    <row r="2582" spans="1:21" x14ac:dyDescent="0.2">
      <c r="A2582" s="5">
        <v>6</v>
      </c>
      <c r="B2582" s="8" t="s">
        <v>6460</v>
      </c>
      <c r="H2582" s="8" t="s">
        <v>6461</v>
      </c>
      <c r="I2582" s="8" t="s">
        <v>6424</v>
      </c>
      <c r="J2582" s="5">
        <f>925-20-6-6-14-4-56-8-8-8-44-44-308-8-16-4-8--812-100-221+200-4-2-8-2-2</f>
        <v>1036</v>
      </c>
      <c r="K2582" s="5" t="s">
        <v>21</v>
      </c>
      <c r="L2582" s="5" t="s">
        <v>5970</v>
      </c>
      <c r="M2582" s="5">
        <v>80</v>
      </c>
      <c r="N2582" s="5" t="s">
        <v>81</v>
      </c>
      <c r="Q2582" s="107" t="s">
        <v>6462</v>
      </c>
    </row>
    <row r="2583" spans="1:21" x14ac:dyDescent="0.2">
      <c r="A2583" s="5">
        <v>7</v>
      </c>
      <c r="B2583" s="8" t="s">
        <v>6463</v>
      </c>
      <c r="H2583" s="8" t="s">
        <v>6464</v>
      </c>
      <c r="I2583" s="8" t="s">
        <v>6424</v>
      </c>
      <c r="J2583" s="5">
        <f>138-120-5-4-2-4</f>
        <v>3</v>
      </c>
      <c r="K2583" s="5" t="s">
        <v>21</v>
      </c>
      <c r="L2583" s="5" t="s">
        <v>5970</v>
      </c>
      <c r="M2583" s="5">
        <v>80</v>
      </c>
      <c r="N2583" s="5" t="s">
        <v>81</v>
      </c>
    </row>
    <row r="2584" spans="1:21" x14ac:dyDescent="0.2">
      <c r="A2584" s="5">
        <v>8</v>
      </c>
      <c r="B2584" s="8" t="s">
        <v>6465</v>
      </c>
      <c r="H2584" s="8" t="s">
        <v>6424</v>
      </c>
      <c r="I2584" s="8" t="s">
        <v>6424</v>
      </c>
      <c r="J2584" s="5">
        <f>100-30-12-24-30+150-3-3+2-12-11-33+200+300+100-204-12-2+3-8-4-6-56-2-2</f>
        <v>401</v>
      </c>
      <c r="K2584" s="5" t="s">
        <v>21</v>
      </c>
      <c r="L2584" s="5" t="s">
        <v>5970</v>
      </c>
      <c r="M2584" s="5">
        <v>80</v>
      </c>
      <c r="N2584" s="5" t="s">
        <v>81</v>
      </c>
    </row>
    <row r="2585" spans="1:21" x14ac:dyDescent="0.2">
      <c r="A2585" s="5">
        <v>9</v>
      </c>
      <c r="B2585" s="8" t="s">
        <v>6466</v>
      </c>
      <c r="H2585" s="8" t="s">
        <v>6424</v>
      </c>
      <c r="I2585" s="8" t="s">
        <v>6424</v>
      </c>
      <c r="J2585" s="5">
        <f>153-12-12-1-96-32+50-4+4-32</f>
        <v>18</v>
      </c>
      <c r="K2585" s="5" t="s">
        <v>21</v>
      </c>
      <c r="L2585" s="5" t="s">
        <v>5970</v>
      </c>
      <c r="M2585" s="5">
        <v>80</v>
      </c>
      <c r="N2585" s="5" t="s">
        <v>81</v>
      </c>
      <c r="U2585" t="s">
        <v>321</v>
      </c>
    </row>
    <row r="2586" spans="1:21" x14ac:dyDescent="0.2">
      <c r="A2586" s="5">
        <v>10</v>
      </c>
      <c r="B2586" s="8" t="s">
        <v>6467</v>
      </c>
      <c r="H2586" s="8" t="s">
        <v>6468</v>
      </c>
      <c r="I2586" s="8" t="s">
        <v>6424</v>
      </c>
      <c r="J2586" s="5">
        <f>45+100</f>
        <v>145</v>
      </c>
      <c r="K2586" s="5" t="s">
        <v>21</v>
      </c>
      <c r="L2586" s="5" t="s">
        <v>5970</v>
      </c>
      <c r="M2586" s="5">
        <v>80</v>
      </c>
      <c r="N2586" s="5" t="s">
        <v>81</v>
      </c>
    </row>
    <row r="2587" spans="1:21" x14ac:dyDescent="0.2">
      <c r="A2587" s="5">
        <v>11</v>
      </c>
      <c r="B2587" s="8" t="s">
        <v>6469</v>
      </c>
      <c r="H2587" s="8" t="s">
        <v>6470</v>
      </c>
      <c r="I2587" s="8" t="s">
        <v>6424</v>
      </c>
      <c r="J2587" s="5">
        <f>50-14-2</f>
        <v>34</v>
      </c>
      <c r="K2587" s="5" t="s">
        <v>21</v>
      </c>
      <c r="L2587" s="5" t="s">
        <v>5970</v>
      </c>
      <c r="M2587" s="5">
        <v>80</v>
      </c>
      <c r="N2587" s="5" t="s">
        <v>81</v>
      </c>
    </row>
    <row r="2588" spans="1:21" x14ac:dyDescent="0.2">
      <c r="A2588" s="5">
        <v>12</v>
      </c>
      <c r="B2588" s="8" t="s">
        <v>6471</v>
      </c>
      <c r="H2588" s="8" t="s">
        <v>6472</v>
      </c>
      <c r="I2588" s="8" t="s">
        <v>6424</v>
      </c>
      <c r="J2588" s="5">
        <f>50-14</f>
        <v>36</v>
      </c>
      <c r="K2588" s="5" t="s">
        <v>21</v>
      </c>
      <c r="L2588" s="5" t="s">
        <v>5970</v>
      </c>
      <c r="M2588" s="5">
        <v>80</v>
      </c>
      <c r="N2588" s="5" t="s">
        <v>81</v>
      </c>
    </row>
    <row r="2589" spans="1:21" x14ac:dyDescent="0.2">
      <c r="A2589" s="5">
        <v>13</v>
      </c>
      <c r="B2589" s="8" t="s">
        <v>6473</v>
      </c>
      <c r="H2589" s="8" t="s">
        <v>6474</v>
      </c>
      <c r="I2589" s="8" t="s">
        <v>6424</v>
      </c>
      <c r="J2589" s="5">
        <f>75+18-1-1-1</f>
        <v>90</v>
      </c>
      <c r="K2589" s="5" t="s">
        <v>21</v>
      </c>
      <c r="L2589" s="5" t="s">
        <v>5970</v>
      </c>
      <c r="M2589" s="5">
        <v>80</v>
      </c>
      <c r="N2589" s="5" t="s">
        <v>81</v>
      </c>
    </row>
    <row r="2590" spans="1:21" s="174" customFormat="1" x14ac:dyDescent="0.2">
      <c r="A2590" s="176" t="s">
        <v>6475</v>
      </c>
      <c r="B2590" s="175" t="s">
        <v>6211</v>
      </c>
      <c r="C2590" s="140"/>
      <c r="D2590" s="140"/>
      <c r="E2590" s="164"/>
      <c r="F2590" s="140"/>
      <c r="G2590" s="140"/>
      <c r="H2590" s="175" t="s">
        <v>81</v>
      </c>
      <c r="I2590" s="140"/>
      <c r="J2590" s="176"/>
      <c r="K2590" s="176"/>
      <c r="L2590" s="176"/>
      <c r="M2590" s="176"/>
      <c r="N2590" s="176"/>
      <c r="O2590" s="176"/>
      <c r="P2590" s="176"/>
      <c r="Q2590" s="176"/>
      <c r="R2590" s="176"/>
      <c r="S2590" s="176"/>
      <c r="T2590" s="176"/>
    </row>
    <row r="2591" spans="1:21" x14ac:dyDescent="0.2">
      <c r="A2591" s="5">
        <v>1</v>
      </c>
      <c r="B2591" s="8" t="s">
        <v>6476</v>
      </c>
      <c r="H2591" s="8" t="s">
        <v>6477</v>
      </c>
      <c r="I2591" s="8" t="s">
        <v>6424</v>
      </c>
      <c r="J2591" s="5">
        <f>268+4+64-4-8-2-8-4-8</f>
        <v>302</v>
      </c>
      <c r="K2591" s="5" t="s">
        <v>21</v>
      </c>
      <c r="L2591" s="5" t="s">
        <v>5970</v>
      </c>
      <c r="M2591" s="5">
        <v>81</v>
      </c>
      <c r="N2591" s="5" t="s">
        <v>81</v>
      </c>
    </row>
    <row r="2592" spans="1:21" x14ac:dyDescent="0.2">
      <c r="A2592" s="5">
        <v>2</v>
      </c>
      <c r="B2592" s="8" t="s">
        <v>6478</v>
      </c>
      <c r="H2592" s="8" t="s">
        <v>6479</v>
      </c>
      <c r="I2592" s="8" t="s">
        <v>6480</v>
      </c>
      <c r="J2592" s="5">
        <f>266-2-7-4-4</f>
        <v>249</v>
      </c>
      <c r="K2592" s="5" t="s">
        <v>21</v>
      </c>
      <c r="L2592" s="5" t="s">
        <v>5970</v>
      </c>
      <c r="M2592" s="5">
        <v>81</v>
      </c>
      <c r="N2592" s="5" t="s">
        <v>81</v>
      </c>
      <c r="U2592" t="s">
        <v>321</v>
      </c>
    </row>
    <row r="2593" spans="1:21" x14ac:dyDescent="0.2">
      <c r="A2593" s="5">
        <v>3</v>
      </c>
      <c r="B2593" s="8" t="s">
        <v>6481</v>
      </c>
      <c r="H2593" s="8" t="s">
        <v>6482</v>
      </c>
      <c r="I2593" s="8" t="s">
        <v>6424</v>
      </c>
      <c r="J2593" s="5">
        <f>131+50-4-45-10-2-70-50+200</f>
        <v>200</v>
      </c>
      <c r="K2593" s="5" t="s">
        <v>21</v>
      </c>
      <c r="L2593" s="5" t="s">
        <v>5970</v>
      </c>
      <c r="M2593" s="5">
        <v>81</v>
      </c>
      <c r="N2593" s="5" t="s">
        <v>81</v>
      </c>
    </row>
    <row r="2594" spans="1:21" x14ac:dyDescent="0.2">
      <c r="A2594" s="5">
        <v>4</v>
      </c>
      <c r="B2594" s="8" t="s">
        <v>6483</v>
      </c>
      <c r="H2594" s="8" t="s">
        <v>6484</v>
      </c>
      <c r="I2594" s="8" t="s">
        <v>6485</v>
      </c>
      <c r="J2594" s="5">
        <f>13-7</f>
        <v>6</v>
      </c>
      <c r="K2594" s="5" t="s">
        <v>21</v>
      </c>
      <c r="L2594" s="5" t="s">
        <v>5970</v>
      </c>
      <c r="M2594" s="5">
        <v>81</v>
      </c>
      <c r="N2594" s="5" t="s">
        <v>81</v>
      </c>
      <c r="Q2594" s="107" t="s">
        <v>6486</v>
      </c>
    </row>
    <row r="2595" spans="1:21" x14ac:dyDescent="0.2">
      <c r="A2595" s="5">
        <v>5</v>
      </c>
      <c r="B2595" s="8" t="s">
        <v>6487</v>
      </c>
      <c r="H2595" s="8" t="s">
        <v>6479</v>
      </c>
      <c r="I2595" s="8" t="s">
        <v>6424</v>
      </c>
      <c r="J2595" s="5">
        <f>516-1-2-4-2-4</f>
        <v>503</v>
      </c>
      <c r="K2595" s="5" t="s">
        <v>21</v>
      </c>
      <c r="L2595" s="5" t="s">
        <v>5970</v>
      </c>
      <c r="M2595" s="5">
        <v>81</v>
      </c>
      <c r="N2595" s="5" t="s">
        <v>81</v>
      </c>
    </row>
    <row r="2596" spans="1:21" x14ac:dyDescent="0.2">
      <c r="A2596" s="5">
        <v>6</v>
      </c>
      <c r="B2596" s="8" t="s">
        <v>6488</v>
      </c>
      <c r="H2596" s="8" t="s">
        <v>6424</v>
      </c>
      <c r="I2596" s="8" t="s">
        <v>6424</v>
      </c>
      <c r="J2596" s="5">
        <f>217-18-10-18+105-1-1+2-6-36+1-1-54-2-1</f>
        <v>177</v>
      </c>
      <c r="K2596" s="5" t="s">
        <v>21</v>
      </c>
      <c r="L2596" s="5" t="s">
        <v>5970</v>
      </c>
      <c r="M2596" s="5">
        <v>81</v>
      </c>
      <c r="N2596" s="5" t="s">
        <v>81</v>
      </c>
    </row>
    <row r="2597" spans="1:21" x14ac:dyDescent="0.2">
      <c r="A2597" s="5">
        <v>7</v>
      </c>
      <c r="B2597" s="8" t="s">
        <v>6489</v>
      </c>
      <c r="H2597" s="8" t="s">
        <v>6424</v>
      </c>
      <c r="I2597" s="8" t="s">
        <v>6424</v>
      </c>
      <c r="J2597" s="5">
        <v>1252</v>
      </c>
      <c r="K2597" s="5" t="s">
        <v>21</v>
      </c>
      <c r="L2597" s="5" t="s">
        <v>5970</v>
      </c>
      <c r="M2597" s="5">
        <v>81</v>
      </c>
      <c r="N2597" s="5" t="s">
        <v>81</v>
      </c>
    </row>
    <row r="2598" spans="1:21" x14ac:dyDescent="0.2">
      <c r="A2598" s="5">
        <v>8</v>
      </c>
      <c r="B2598" s="8" t="s">
        <v>6490</v>
      </c>
      <c r="H2598" s="8" t="s">
        <v>6424</v>
      </c>
      <c r="I2598" s="8" t="s">
        <v>6424</v>
      </c>
      <c r="J2598" s="5">
        <f>32-3-2</f>
        <v>27</v>
      </c>
      <c r="K2598" s="5" t="s">
        <v>21</v>
      </c>
      <c r="L2598" s="5" t="s">
        <v>5970</v>
      </c>
      <c r="M2598" s="5">
        <v>81</v>
      </c>
      <c r="N2598" s="5" t="s">
        <v>81</v>
      </c>
    </row>
    <row r="2599" spans="1:21" x14ac:dyDescent="0.2">
      <c r="A2599" s="5">
        <v>9</v>
      </c>
      <c r="B2599" s="8" t="s">
        <v>6491</v>
      </c>
      <c r="H2599" s="8" t="s">
        <v>6492</v>
      </c>
      <c r="I2599" s="8" t="s">
        <v>6493</v>
      </c>
      <c r="J2599" s="5">
        <f>50-4</f>
        <v>46</v>
      </c>
      <c r="K2599" s="5" t="s">
        <v>21</v>
      </c>
      <c r="L2599" s="5" t="s">
        <v>5970</v>
      </c>
      <c r="M2599" s="5">
        <v>81</v>
      </c>
      <c r="N2599" s="5" t="s">
        <v>81</v>
      </c>
      <c r="Q2599" s="107" t="s">
        <v>6486</v>
      </c>
    </row>
    <row r="2600" spans="1:21" x14ac:dyDescent="0.2">
      <c r="A2600" s="5">
        <v>10</v>
      </c>
      <c r="B2600" s="8" t="s">
        <v>6494</v>
      </c>
      <c r="H2600" s="8" t="s">
        <v>6495</v>
      </c>
      <c r="I2600" s="8" t="s">
        <v>6493</v>
      </c>
      <c r="J2600" s="5">
        <v>42</v>
      </c>
      <c r="K2600" s="5" t="s">
        <v>21</v>
      </c>
      <c r="L2600" s="5" t="s">
        <v>5970</v>
      </c>
      <c r="M2600" s="5">
        <v>81</v>
      </c>
      <c r="N2600" s="5" t="s">
        <v>81</v>
      </c>
    </row>
    <row r="2601" spans="1:21" s="174" customFormat="1" x14ac:dyDescent="0.2">
      <c r="A2601" s="176" t="s">
        <v>6496</v>
      </c>
      <c r="B2601" s="175" t="s">
        <v>6497</v>
      </c>
      <c r="C2601" s="140"/>
      <c r="D2601" s="140"/>
      <c r="E2601" s="164"/>
      <c r="F2601" s="140"/>
      <c r="G2601" s="140"/>
      <c r="H2601" s="175" t="s">
        <v>6498</v>
      </c>
      <c r="I2601" s="140"/>
      <c r="J2601" s="176"/>
      <c r="K2601" s="176"/>
      <c r="L2601" s="176"/>
      <c r="M2601" s="176"/>
      <c r="N2601" s="167" t="s">
        <v>81</v>
      </c>
      <c r="O2601" s="176"/>
      <c r="P2601" s="176"/>
      <c r="Q2601" s="176"/>
      <c r="R2601" s="176"/>
      <c r="S2601" s="176"/>
      <c r="T2601" s="176"/>
    </row>
    <row r="2602" spans="1:21" x14ac:dyDescent="0.2">
      <c r="A2602" s="5">
        <v>1</v>
      </c>
      <c r="B2602" s="8" t="s">
        <v>6499</v>
      </c>
      <c r="H2602" s="8" t="s">
        <v>6453</v>
      </c>
      <c r="I2602" s="8" t="s">
        <v>6479</v>
      </c>
      <c r="J2602" s="5">
        <f>200-200</f>
        <v>0</v>
      </c>
      <c r="K2602" s="5" t="s">
        <v>21</v>
      </c>
      <c r="L2602" s="5" t="s">
        <v>5970</v>
      </c>
      <c r="M2602" s="5">
        <v>82</v>
      </c>
      <c r="N2602" s="5" t="s">
        <v>81</v>
      </c>
      <c r="Q2602" s="107" t="s">
        <v>6500</v>
      </c>
    </row>
    <row r="2603" spans="1:21" x14ac:dyDescent="0.2">
      <c r="A2603" s="5">
        <v>2</v>
      </c>
      <c r="B2603" s="8" t="s">
        <v>6501</v>
      </c>
      <c r="H2603" s="8" t="s">
        <v>6453</v>
      </c>
      <c r="I2603" s="8" t="s">
        <v>6479</v>
      </c>
      <c r="J2603" s="5">
        <f>200-200</f>
        <v>0</v>
      </c>
      <c r="K2603" s="5" t="s">
        <v>21</v>
      </c>
      <c r="L2603" s="5" t="s">
        <v>5970</v>
      </c>
      <c r="M2603" s="5">
        <v>82</v>
      </c>
      <c r="N2603" s="5" t="s">
        <v>81</v>
      </c>
      <c r="Q2603" s="107" t="s">
        <v>6500</v>
      </c>
    </row>
    <row r="2604" spans="1:21" x14ac:dyDescent="0.2">
      <c r="A2604" s="5">
        <v>3</v>
      </c>
      <c r="B2604" s="8" t="s">
        <v>6427</v>
      </c>
      <c r="H2604" s="8" t="s">
        <v>6453</v>
      </c>
      <c r="I2604" s="8" t="s">
        <v>6479</v>
      </c>
      <c r="J2604" s="5">
        <f>200-200</f>
        <v>0</v>
      </c>
      <c r="K2604" s="5" t="s">
        <v>21</v>
      </c>
      <c r="L2604" s="5" t="s">
        <v>5970</v>
      </c>
      <c r="M2604" s="5">
        <v>82</v>
      </c>
      <c r="N2604" s="5" t="s">
        <v>81</v>
      </c>
      <c r="Q2604" s="107" t="s">
        <v>6500</v>
      </c>
    </row>
    <row r="2605" spans="1:21" x14ac:dyDescent="0.2">
      <c r="A2605" s="5">
        <v>4</v>
      </c>
      <c r="B2605" s="8" t="s">
        <v>6502</v>
      </c>
      <c r="H2605" s="8" t="s">
        <v>6453</v>
      </c>
      <c r="I2605" s="8" t="s">
        <v>6479</v>
      </c>
      <c r="J2605" s="5">
        <f>200-200</f>
        <v>0</v>
      </c>
      <c r="K2605" s="5" t="s">
        <v>21</v>
      </c>
      <c r="L2605" s="5" t="s">
        <v>5970</v>
      </c>
      <c r="M2605" s="5">
        <v>82</v>
      </c>
      <c r="N2605" s="5" t="s">
        <v>81</v>
      </c>
      <c r="Q2605" s="107" t="s">
        <v>6500</v>
      </c>
    </row>
    <row r="2606" spans="1:21" x14ac:dyDescent="0.2">
      <c r="A2606" s="5">
        <v>4</v>
      </c>
      <c r="B2606" s="8" t="s">
        <v>6435</v>
      </c>
      <c r="H2606" s="8" t="s">
        <v>6453</v>
      </c>
      <c r="I2606" s="8" t="s">
        <v>6479</v>
      </c>
      <c r="J2606" s="5">
        <f>318</f>
        <v>318</v>
      </c>
      <c r="K2606" s="5" t="s">
        <v>21</v>
      </c>
      <c r="L2606" s="5" t="s">
        <v>5970</v>
      </c>
      <c r="M2606" s="5">
        <v>82</v>
      </c>
      <c r="N2606" s="5" t="s">
        <v>81</v>
      </c>
      <c r="Q2606" s="107"/>
      <c r="U2606" t="s">
        <v>6503</v>
      </c>
    </row>
    <row r="2607" spans="1:21" x14ac:dyDescent="0.2">
      <c r="A2607" s="5">
        <v>5</v>
      </c>
      <c r="B2607" s="8" t="s">
        <v>6504</v>
      </c>
      <c r="H2607" s="8" t="s">
        <v>6453</v>
      </c>
      <c r="I2607" s="8" t="s">
        <v>6479</v>
      </c>
      <c r="J2607" s="5">
        <f>16</f>
        <v>16</v>
      </c>
      <c r="K2607" s="5" t="s">
        <v>21</v>
      </c>
      <c r="L2607" s="5" t="s">
        <v>5970</v>
      </c>
      <c r="M2607" s="5">
        <v>82</v>
      </c>
      <c r="N2607" s="5" t="s">
        <v>81</v>
      </c>
      <c r="Q2607" s="107" t="s">
        <v>6500</v>
      </c>
    </row>
    <row r="2608" spans="1:21" x14ac:dyDescent="0.2">
      <c r="A2608" s="5">
        <v>6</v>
      </c>
      <c r="B2608" s="8" t="s">
        <v>6436</v>
      </c>
      <c r="H2608" s="8" t="s">
        <v>6451</v>
      </c>
      <c r="I2608" s="8" t="s">
        <v>6479</v>
      </c>
      <c r="J2608" s="5">
        <f>100</f>
        <v>100</v>
      </c>
      <c r="K2608" s="5" t="s">
        <v>21</v>
      </c>
      <c r="L2608" s="5" t="s">
        <v>5970</v>
      </c>
      <c r="M2608" s="5">
        <v>82</v>
      </c>
      <c r="N2608" s="5" t="s">
        <v>81</v>
      </c>
      <c r="Q2608" s="107" t="s">
        <v>6500</v>
      </c>
    </row>
    <row r="2609" spans="1:17" x14ac:dyDescent="0.2">
      <c r="A2609" s="5">
        <v>7</v>
      </c>
      <c r="B2609" s="8" t="s">
        <v>6440</v>
      </c>
      <c r="H2609" s="8" t="s">
        <v>6459</v>
      </c>
      <c r="I2609" s="8" t="s">
        <v>6479</v>
      </c>
      <c r="J2609" s="5">
        <f>32</f>
        <v>32</v>
      </c>
      <c r="K2609" s="5" t="s">
        <v>21</v>
      </c>
      <c r="L2609" s="5" t="s">
        <v>5970</v>
      </c>
      <c r="M2609" s="5">
        <v>82</v>
      </c>
      <c r="N2609" s="5" t="s">
        <v>81</v>
      </c>
      <c r="Q2609" s="107" t="s">
        <v>6505</v>
      </c>
    </row>
    <row r="2610" spans="1:17" x14ac:dyDescent="0.2">
      <c r="A2610" s="5">
        <v>8</v>
      </c>
      <c r="B2610" s="8" t="s">
        <v>6450</v>
      </c>
      <c r="H2610" s="8" t="s">
        <v>6461</v>
      </c>
      <c r="I2610" s="8" t="s">
        <v>6479</v>
      </c>
      <c r="J2610" s="5">
        <f>200-16-184+20-6</f>
        <v>14</v>
      </c>
      <c r="K2610" s="5" t="s">
        <v>21</v>
      </c>
      <c r="L2610" s="5" t="s">
        <v>5970</v>
      </c>
      <c r="M2610" s="5">
        <v>82</v>
      </c>
      <c r="N2610" s="5" t="s">
        <v>81</v>
      </c>
      <c r="Q2610" s="107" t="s">
        <v>6243</v>
      </c>
    </row>
    <row r="2611" spans="1:17" x14ac:dyDescent="0.2">
      <c r="A2611" s="5">
        <v>9</v>
      </c>
      <c r="B2611" s="8" t="s">
        <v>6452</v>
      </c>
      <c r="H2611" s="8" t="s">
        <v>6461</v>
      </c>
      <c r="I2611" s="8" t="s">
        <v>6479</v>
      </c>
      <c r="J2611" s="5">
        <f>100+200-200</f>
        <v>100</v>
      </c>
      <c r="K2611" s="5" t="s">
        <v>21</v>
      </c>
      <c r="L2611" s="5" t="s">
        <v>5970</v>
      </c>
      <c r="M2611" s="5">
        <v>82</v>
      </c>
      <c r="N2611" s="5" t="s">
        <v>81</v>
      </c>
      <c r="Q2611" s="107" t="s">
        <v>6505</v>
      </c>
    </row>
    <row r="2612" spans="1:17" x14ac:dyDescent="0.2">
      <c r="A2612" s="5">
        <v>10</v>
      </c>
      <c r="B2612" s="8" t="s">
        <v>6460</v>
      </c>
      <c r="H2612" s="8" t="s">
        <v>6464</v>
      </c>
      <c r="I2612" s="8" t="s">
        <v>6479</v>
      </c>
      <c r="J2612" s="5">
        <f>200</f>
        <v>200</v>
      </c>
      <c r="K2612" s="5" t="s">
        <v>21</v>
      </c>
      <c r="L2612" s="5" t="s">
        <v>5970</v>
      </c>
      <c r="M2612" s="5">
        <v>82</v>
      </c>
      <c r="N2612" s="5" t="s">
        <v>81</v>
      </c>
      <c r="Q2612" s="107" t="s">
        <v>6505</v>
      </c>
    </row>
    <row r="2613" spans="1:17" x14ac:dyDescent="0.2">
      <c r="A2613" s="5">
        <v>11</v>
      </c>
      <c r="B2613" s="8" t="s">
        <v>6476</v>
      </c>
      <c r="H2613" s="8" t="s">
        <v>6464</v>
      </c>
      <c r="I2613" s="8" t="s">
        <v>6479</v>
      </c>
      <c r="J2613" s="5">
        <f>100-100</f>
        <v>0</v>
      </c>
      <c r="K2613" s="5" t="s">
        <v>21</v>
      </c>
      <c r="L2613" s="5" t="s">
        <v>5970</v>
      </c>
      <c r="M2613" s="5">
        <v>82</v>
      </c>
      <c r="N2613" s="5" t="s">
        <v>81</v>
      </c>
      <c r="Q2613" s="107" t="s">
        <v>6505</v>
      </c>
    </row>
    <row r="2614" spans="1:17" x14ac:dyDescent="0.2">
      <c r="A2614" s="5">
        <v>12</v>
      </c>
      <c r="B2614" s="8" t="s">
        <v>6481</v>
      </c>
      <c r="H2614" s="8" t="s">
        <v>6468</v>
      </c>
      <c r="I2614" s="8" t="s">
        <v>6479</v>
      </c>
      <c r="J2614" s="5">
        <f>68+100-100</f>
        <v>68</v>
      </c>
      <c r="K2614" s="5" t="s">
        <v>21</v>
      </c>
      <c r="L2614" s="5" t="s">
        <v>5970</v>
      </c>
      <c r="M2614" s="5">
        <v>82</v>
      </c>
      <c r="N2614" s="5" t="s">
        <v>81</v>
      </c>
      <c r="Q2614" s="107" t="s">
        <v>6506</v>
      </c>
    </row>
    <row r="2615" spans="1:17" x14ac:dyDescent="0.2">
      <c r="A2615" s="5">
        <v>13</v>
      </c>
      <c r="B2615" s="8" t="s">
        <v>6483</v>
      </c>
      <c r="H2615" s="8" t="s">
        <v>6468</v>
      </c>
      <c r="I2615" s="8" t="s">
        <v>6479</v>
      </c>
      <c r="J2615" s="5">
        <f>50</f>
        <v>50</v>
      </c>
      <c r="K2615" s="5" t="s">
        <v>21</v>
      </c>
      <c r="L2615" s="5" t="s">
        <v>5970</v>
      </c>
      <c r="M2615" s="5">
        <v>82</v>
      </c>
      <c r="N2615" s="5" t="s">
        <v>81</v>
      </c>
      <c r="Q2615" s="107" t="s">
        <v>6506</v>
      </c>
    </row>
    <row r="2616" spans="1:17" x14ac:dyDescent="0.2">
      <c r="A2616" s="5">
        <v>14</v>
      </c>
      <c r="B2616" s="8" t="s">
        <v>6507</v>
      </c>
      <c r="H2616" s="8" t="s">
        <v>6470</v>
      </c>
      <c r="I2616" s="8" t="s">
        <v>6479</v>
      </c>
      <c r="J2616" s="5">
        <f>54-30+4+60-30-30-12-2+104-13</f>
        <v>105</v>
      </c>
      <c r="K2616" s="5" t="s">
        <v>21</v>
      </c>
      <c r="L2616" s="5" t="s">
        <v>5970</v>
      </c>
      <c r="M2616" s="5">
        <v>82</v>
      </c>
      <c r="N2616" s="5" t="s">
        <v>81</v>
      </c>
      <c r="Q2616" s="107" t="s">
        <v>6243</v>
      </c>
    </row>
    <row r="2617" spans="1:17" x14ac:dyDescent="0.2">
      <c r="A2617" s="5"/>
      <c r="B2617" s="8" t="s">
        <v>6487</v>
      </c>
      <c r="H2617" s="8" t="s">
        <v>6479</v>
      </c>
      <c r="I2617" s="8" t="s">
        <v>6479</v>
      </c>
      <c r="J2617" s="5">
        <f>150-104-26+208-48-114-3-3-6+144+152</f>
        <v>350</v>
      </c>
      <c r="K2617" s="5" t="s">
        <v>21</v>
      </c>
      <c r="L2617" s="5" t="s">
        <v>5970</v>
      </c>
      <c r="M2617" s="5">
        <v>82</v>
      </c>
      <c r="N2617" s="5" t="s">
        <v>81</v>
      </c>
      <c r="Q2617" s="107" t="s">
        <v>6508</v>
      </c>
    </row>
    <row r="2618" spans="1:17" x14ac:dyDescent="0.2">
      <c r="A2618" s="5">
        <v>15</v>
      </c>
      <c r="B2618" s="8" t="s">
        <v>6509</v>
      </c>
      <c r="H2618" s="8" t="s">
        <v>6472</v>
      </c>
      <c r="I2618" s="8" t="s">
        <v>6479</v>
      </c>
      <c r="J2618" s="5">
        <f>10</f>
        <v>10</v>
      </c>
      <c r="K2618" s="5" t="s">
        <v>21</v>
      </c>
      <c r="L2618" s="5" t="s">
        <v>5970</v>
      </c>
      <c r="M2618" s="5">
        <v>82</v>
      </c>
      <c r="N2618" s="5" t="s">
        <v>81</v>
      </c>
      <c r="Q2618" s="107" t="s">
        <v>6510</v>
      </c>
    </row>
    <row r="2619" spans="1:17" x14ac:dyDescent="0.2">
      <c r="A2619" s="5">
        <v>16</v>
      </c>
      <c r="B2619" s="8" t="s">
        <v>6511</v>
      </c>
      <c r="H2619" s="8" t="s">
        <v>6474</v>
      </c>
      <c r="I2619" s="8" t="s">
        <v>6479</v>
      </c>
      <c r="J2619" s="5">
        <v>3</v>
      </c>
      <c r="K2619" s="5" t="s">
        <v>21</v>
      </c>
      <c r="L2619" s="5" t="s">
        <v>5970</v>
      </c>
      <c r="M2619" s="5">
        <v>82</v>
      </c>
      <c r="N2619" s="5" t="s">
        <v>81</v>
      </c>
      <c r="Q2619" s="107" t="s">
        <v>6512</v>
      </c>
    </row>
    <row r="2620" spans="1:17" x14ac:dyDescent="0.2">
      <c r="A2620" s="5">
        <v>17</v>
      </c>
      <c r="B2620" s="8" t="s">
        <v>6513</v>
      </c>
      <c r="H2620" s="8" t="s">
        <v>6477</v>
      </c>
      <c r="I2620" s="8" t="s">
        <v>6479</v>
      </c>
      <c r="J2620" s="5">
        <f>16-8+18+104-65-39-25+39-19-8+51+50+18</f>
        <v>132</v>
      </c>
      <c r="K2620" s="5" t="s">
        <v>21</v>
      </c>
      <c r="L2620" s="5" t="s">
        <v>5970</v>
      </c>
      <c r="M2620" s="5">
        <v>82</v>
      </c>
      <c r="N2620" s="5" t="s">
        <v>81</v>
      </c>
      <c r="Q2620" s="107" t="s">
        <v>6243</v>
      </c>
    </row>
    <row r="2621" spans="1:17" x14ac:dyDescent="0.2">
      <c r="A2621" s="5">
        <v>18</v>
      </c>
      <c r="B2621" s="8" t="s">
        <v>6514</v>
      </c>
      <c r="H2621" s="8" t="s">
        <v>6477</v>
      </c>
      <c r="I2621" s="8" t="s">
        <v>6479</v>
      </c>
      <c r="J2621" s="5">
        <f>50-16</f>
        <v>34</v>
      </c>
      <c r="K2621" s="5" t="s">
        <v>21</v>
      </c>
      <c r="L2621" s="5" t="s">
        <v>5970</v>
      </c>
      <c r="M2621" s="5">
        <v>82</v>
      </c>
      <c r="N2621" s="5" t="s">
        <v>81</v>
      </c>
      <c r="Q2621" s="107" t="s">
        <v>6515</v>
      </c>
    </row>
    <row r="2622" spans="1:17" x14ac:dyDescent="0.2">
      <c r="A2622" s="5">
        <v>19</v>
      </c>
      <c r="B2622" s="8" t="s">
        <v>6516</v>
      </c>
      <c r="H2622" s="8" t="s">
        <v>6482</v>
      </c>
      <c r="I2622" s="8" t="s">
        <v>6479</v>
      </c>
      <c r="J2622" s="5">
        <f>10</f>
        <v>10</v>
      </c>
      <c r="K2622" s="5" t="s">
        <v>21</v>
      </c>
      <c r="L2622" s="5" t="s">
        <v>5970</v>
      </c>
      <c r="M2622" s="5">
        <v>82</v>
      </c>
      <c r="N2622" s="5" t="s">
        <v>81</v>
      </c>
      <c r="Q2622" s="107" t="s">
        <v>6222</v>
      </c>
    </row>
    <row r="2623" spans="1:17" x14ac:dyDescent="0.2">
      <c r="A2623" s="5"/>
      <c r="B2623" s="8" t="s">
        <v>6517</v>
      </c>
      <c r="H2623" s="8" t="s">
        <v>6479</v>
      </c>
      <c r="I2623" s="8" t="s">
        <v>6479</v>
      </c>
      <c r="J2623" s="5">
        <f>100+24-24-72+144+24+480-72-120-2-4-24-72-72</f>
        <v>310</v>
      </c>
      <c r="K2623" s="5" t="s">
        <v>21</v>
      </c>
      <c r="L2623" s="5" t="s">
        <v>5970</v>
      </c>
      <c r="M2623" s="5">
        <v>82</v>
      </c>
      <c r="N2623" s="5" t="s">
        <v>81</v>
      </c>
      <c r="Q2623" s="107"/>
    </row>
    <row r="2624" spans="1:17" x14ac:dyDescent="0.2">
      <c r="A2624" s="5"/>
      <c r="B2624" s="8" t="s">
        <v>6518</v>
      </c>
      <c r="H2624" s="8" t="s">
        <v>6479</v>
      </c>
      <c r="I2624" s="8" t="s">
        <v>6479</v>
      </c>
      <c r="J2624" s="5">
        <f>30</f>
        <v>30</v>
      </c>
      <c r="K2624" s="5" t="s">
        <v>21</v>
      </c>
      <c r="L2624" s="5" t="s">
        <v>5970</v>
      </c>
      <c r="M2624" s="5">
        <v>82</v>
      </c>
      <c r="N2624" s="5" t="s">
        <v>81</v>
      </c>
      <c r="Q2624" s="107" t="s">
        <v>6406</v>
      </c>
    </row>
    <row r="2625" spans="1:21" x14ac:dyDescent="0.2">
      <c r="A2625" s="5">
        <v>20</v>
      </c>
      <c r="B2625" s="8" t="s">
        <v>6519</v>
      </c>
      <c r="H2625" s="8" t="s">
        <v>6484</v>
      </c>
      <c r="I2625" s="8" t="s">
        <v>6479</v>
      </c>
      <c r="J2625" s="5">
        <f>8</f>
        <v>8</v>
      </c>
      <c r="K2625" s="5" t="s">
        <v>21</v>
      </c>
      <c r="L2625" s="5" t="s">
        <v>5970</v>
      </c>
      <c r="M2625" s="5">
        <v>82</v>
      </c>
      <c r="N2625" s="5" t="s">
        <v>81</v>
      </c>
      <c r="Q2625" s="107" t="s">
        <v>6520</v>
      </c>
    </row>
    <row r="2626" spans="1:21" x14ac:dyDescent="0.2">
      <c r="A2626" s="5">
        <v>21</v>
      </c>
      <c r="B2626" s="8" t="s">
        <v>6521</v>
      </c>
      <c r="H2626" s="8" t="s">
        <v>6492</v>
      </c>
      <c r="I2626" s="8" t="s">
        <v>6479</v>
      </c>
      <c r="J2626" s="5">
        <f>50</f>
        <v>50</v>
      </c>
      <c r="K2626" s="5" t="s">
        <v>21</v>
      </c>
      <c r="L2626" s="5" t="s">
        <v>5970</v>
      </c>
      <c r="M2626" s="5">
        <v>82</v>
      </c>
      <c r="N2626" s="5" t="s">
        <v>81</v>
      </c>
      <c r="Q2626" s="107" t="s">
        <v>6522</v>
      </c>
    </row>
    <row r="2627" spans="1:21" x14ac:dyDescent="0.2">
      <c r="A2627" s="5">
        <v>22</v>
      </c>
      <c r="B2627" s="8" t="s">
        <v>6523</v>
      </c>
      <c r="H2627" s="8" t="s">
        <v>6492</v>
      </c>
      <c r="I2627" s="8" t="s">
        <v>6479</v>
      </c>
      <c r="J2627" s="5">
        <v>10</v>
      </c>
      <c r="K2627" s="5" t="s">
        <v>21</v>
      </c>
      <c r="L2627" s="5" t="s">
        <v>5970</v>
      </c>
      <c r="M2627" s="5">
        <v>82</v>
      </c>
      <c r="N2627" s="5" t="s">
        <v>81</v>
      </c>
      <c r="Q2627" s="107" t="s">
        <v>6522</v>
      </c>
    </row>
    <row r="2628" spans="1:21" x14ac:dyDescent="0.2">
      <c r="A2628" s="5">
        <v>23</v>
      </c>
      <c r="B2628" s="8" t="s">
        <v>6408</v>
      </c>
      <c r="H2628" s="8" t="s">
        <v>6492</v>
      </c>
      <c r="I2628" s="8" t="s">
        <v>6479</v>
      </c>
      <c r="J2628" s="5">
        <v>20</v>
      </c>
      <c r="K2628" s="5" t="s">
        <v>21</v>
      </c>
      <c r="L2628" s="5" t="s">
        <v>5970</v>
      </c>
      <c r="M2628" s="5">
        <v>82</v>
      </c>
      <c r="N2628" s="5" t="s">
        <v>81</v>
      </c>
      <c r="Q2628" s="107" t="s">
        <v>6522</v>
      </c>
    </row>
    <row r="2629" spans="1:21" x14ac:dyDescent="0.2">
      <c r="A2629" s="5">
        <v>24</v>
      </c>
      <c r="B2629" s="8" t="s">
        <v>6524</v>
      </c>
      <c r="H2629" s="8" t="s">
        <v>6495</v>
      </c>
      <c r="I2629" s="8" t="s">
        <v>6479</v>
      </c>
      <c r="J2629" s="5">
        <f>8+32-8+110-28+50-14-7-7-42+50-14-42+50-48-1-77+1+100+26+11+42</f>
        <v>192</v>
      </c>
      <c r="K2629" s="5" t="s">
        <v>21</v>
      </c>
      <c r="L2629" s="5" t="s">
        <v>5970</v>
      </c>
      <c r="M2629" s="5">
        <v>82</v>
      </c>
      <c r="N2629" s="5" t="s">
        <v>81</v>
      </c>
      <c r="Q2629" s="107" t="s">
        <v>6525</v>
      </c>
    </row>
    <row r="2630" spans="1:21" x14ac:dyDescent="0.2">
      <c r="A2630" s="5">
        <v>25</v>
      </c>
      <c r="B2630" s="8" t="s">
        <v>6526</v>
      </c>
      <c r="H2630" s="8" t="s">
        <v>6479</v>
      </c>
      <c r="I2630" s="8" t="s">
        <v>6479</v>
      </c>
      <c r="J2630" s="5">
        <f>60+28-10-12-2-6+50-6-10+50-10-10-122+22</f>
        <v>22</v>
      </c>
      <c r="K2630" s="5" t="s">
        <v>21</v>
      </c>
      <c r="L2630" s="5" t="s">
        <v>5970</v>
      </c>
      <c r="M2630" s="5">
        <v>82</v>
      </c>
      <c r="Q2630" s="107"/>
    </row>
    <row r="2631" spans="1:21" x14ac:dyDescent="0.2">
      <c r="A2631" s="5"/>
      <c r="B2631" s="8" t="s">
        <v>6527</v>
      </c>
      <c r="H2631" s="8" t="s">
        <v>6528</v>
      </c>
      <c r="I2631" s="8" t="s">
        <v>6528</v>
      </c>
      <c r="J2631" s="5">
        <f>10-2</f>
        <v>8</v>
      </c>
      <c r="K2631" s="5" t="s">
        <v>21</v>
      </c>
      <c r="L2631" s="5" t="s">
        <v>5970</v>
      </c>
      <c r="M2631" s="5">
        <v>82</v>
      </c>
      <c r="Q2631" s="107" t="s">
        <v>6529</v>
      </c>
    </row>
    <row r="2632" spans="1:21" s="169" customFormat="1" x14ac:dyDescent="0.2">
      <c r="A2632" s="176" t="s">
        <v>6530</v>
      </c>
      <c r="B2632" s="175" t="s">
        <v>6531</v>
      </c>
      <c r="C2632" s="140"/>
      <c r="D2632" s="140"/>
      <c r="E2632" s="164"/>
      <c r="F2632" s="140"/>
      <c r="G2632" s="140"/>
      <c r="H2632" s="140" t="s">
        <v>6532</v>
      </c>
      <c r="I2632" s="140"/>
      <c r="J2632" s="167"/>
      <c r="K2632" s="167"/>
      <c r="L2632" s="167"/>
      <c r="M2632" s="167"/>
      <c r="N2632" s="167"/>
      <c r="O2632" s="167"/>
      <c r="P2632" s="167"/>
      <c r="Q2632" s="168"/>
      <c r="R2632" s="167"/>
      <c r="S2632" s="167"/>
      <c r="T2632" s="167"/>
    </row>
    <row r="2633" spans="1:21" x14ac:dyDescent="0.2">
      <c r="A2633" s="5"/>
      <c r="B2633" s="8" t="s">
        <v>6533</v>
      </c>
      <c r="H2633" s="8" t="s">
        <v>6534</v>
      </c>
      <c r="I2633" s="8" t="s">
        <v>6535</v>
      </c>
      <c r="J2633" s="5">
        <f>24+16</f>
        <v>40</v>
      </c>
      <c r="K2633" s="5" t="s">
        <v>21</v>
      </c>
      <c r="L2633" s="5" t="s">
        <v>5970</v>
      </c>
      <c r="M2633" s="5">
        <v>83</v>
      </c>
      <c r="N2633" s="5" t="s">
        <v>34</v>
      </c>
    </row>
    <row r="2634" spans="1:21" x14ac:dyDescent="0.2">
      <c r="A2634" s="5"/>
      <c r="B2634" s="8" t="s">
        <v>6536</v>
      </c>
      <c r="H2634" s="8" t="s">
        <v>6537</v>
      </c>
      <c r="I2634" s="8" t="s">
        <v>6535</v>
      </c>
      <c r="J2634" s="5">
        <f>183+12</f>
        <v>195</v>
      </c>
      <c r="K2634" s="5" t="s">
        <v>21</v>
      </c>
      <c r="L2634" s="5" t="s">
        <v>5970</v>
      </c>
      <c r="M2634" s="5">
        <v>83</v>
      </c>
      <c r="N2634" s="5" t="s">
        <v>34</v>
      </c>
    </row>
    <row r="2635" spans="1:21" x14ac:dyDescent="0.2">
      <c r="A2635" s="5"/>
      <c r="B2635" s="8" t="s">
        <v>6538</v>
      </c>
      <c r="H2635" s="8" t="s">
        <v>6539</v>
      </c>
      <c r="I2635" s="8" t="s">
        <v>6540</v>
      </c>
      <c r="J2635" s="5">
        <f>204-6+9</f>
        <v>207</v>
      </c>
      <c r="K2635" s="5" t="s">
        <v>21</v>
      </c>
      <c r="L2635" s="5" t="s">
        <v>5970</v>
      </c>
      <c r="M2635" s="5">
        <v>83</v>
      </c>
      <c r="N2635" s="5" t="s">
        <v>34</v>
      </c>
    </row>
    <row r="2636" spans="1:21" x14ac:dyDescent="0.2">
      <c r="A2636" s="5"/>
      <c r="B2636" s="8" t="s">
        <v>6541</v>
      </c>
      <c r="H2636" s="8" t="s">
        <v>6542</v>
      </c>
      <c r="I2636" s="8" t="s">
        <v>6543</v>
      </c>
      <c r="J2636" s="5">
        <f>77+51-10-16-6-10</f>
        <v>86</v>
      </c>
      <c r="K2636" s="5" t="s">
        <v>21</v>
      </c>
      <c r="L2636" s="5" t="s">
        <v>5970</v>
      </c>
      <c r="M2636" s="5">
        <v>83</v>
      </c>
      <c r="N2636" s="5" t="s">
        <v>34</v>
      </c>
      <c r="Q2636" s="5" t="s">
        <v>6544</v>
      </c>
    </row>
    <row r="2637" spans="1:21" x14ac:dyDescent="0.2">
      <c r="A2637" s="5"/>
      <c r="B2637" s="8" t="s">
        <v>6545</v>
      </c>
      <c r="H2637" s="8" t="s">
        <v>6546</v>
      </c>
      <c r="I2637" s="8" t="s">
        <v>6543</v>
      </c>
      <c r="J2637" s="5">
        <f>170-24-3-5-8+44-120-12-40-0+500-18-88-10-200+68-40-4-32</f>
        <v>178</v>
      </c>
      <c r="K2637" s="5" t="s">
        <v>21</v>
      </c>
      <c r="L2637" s="5" t="s">
        <v>5970</v>
      </c>
      <c r="M2637" s="5">
        <v>83</v>
      </c>
      <c r="N2637" s="5" t="s">
        <v>34</v>
      </c>
    </row>
    <row r="2638" spans="1:21" x14ac:dyDescent="0.2">
      <c r="A2638" s="5"/>
      <c r="B2638" s="8" t="s">
        <v>6547</v>
      </c>
      <c r="H2638" s="8" t="s">
        <v>6548</v>
      </c>
      <c r="I2638" s="8" t="s">
        <v>6543</v>
      </c>
      <c r="J2638" s="5">
        <f>196+300+24-2-2-2-2-2-2-2-2</f>
        <v>504</v>
      </c>
      <c r="K2638" s="5" t="s">
        <v>21</v>
      </c>
      <c r="L2638" s="5" t="s">
        <v>5970</v>
      </c>
      <c r="M2638" s="5">
        <v>83</v>
      </c>
      <c r="N2638" s="5" t="s">
        <v>34</v>
      </c>
    </row>
    <row r="2639" spans="1:21" x14ac:dyDescent="0.2">
      <c r="A2639" s="5"/>
      <c r="B2639" s="8" t="s">
        <v>6549</v>
      </c>
      <c r="H2639" s="8" t="s">
        <v>6550</v>
      </c>
      <c r="I2639" s="8" t="s">
        <v>6543</v>
      </c>
      <c r="J2639" s="5">
        <f>37</f>
        <v>37</v>
      </c>
      <c r="K2639" s="5" t="s">
        <v>21</v>
      </c>
      <c r="L2639" s="5" t="s">
        <v>5970</v>
      </c>
      <c r="M2639" s="5">
        <v>83</v>
      </c>
      <c r="N2639" s="5" t="s">
        <v>34</v>
      </c>
    </row>
    <row r="2640" spans="1:21" x14ac:dyDescent="0.2">
      <c r="A2640" s="5"/>
      <c r="B2640" s="8" t="s">
        <v>6499</v>
      </c>
      <c r="H2640" s="8" t="s">
        <v>6551</v>
      </c>
      <c r="I2640" s="8" t="s">
        <v>6543</v>
      </c>
      <c r="J2640" s="5">
        <f>192-8-32-48-2</f>
        <v>102</v>
      </c>
      <c r="K2640" s="5" t="s">
        <v>21</v>
      </c>
      <c r="L2640" s="5" t="s">
        <v>5970</v>
      </c>
      <c r="M2640" s="5">
        <v>83</v>
      </c>
      <c r="N2640" s="5" t="s">
        <v>34</v>
      </c>
      <c r="U2640" t="s">
        <v>321</v>
      </c>
    </row>
    <row r="2641" spans="1:21" x14ac:dyDescent="0.2">
      <c r="A2641" s="5"/>
      <c r="B2641" s="8" t="s">
        <v>6552</v>
      </c>
      <c r="H2641" s="8" t="s">
        <v>6553</v>
      </c>
      <c r="I2641" s="8" t="s">
        <v>6543</v>
      </c>
      <c r="J2641" s="5">
        <v>100</v>
      </c>
      <c r="K2641" s="5" t="s">
        <v>21</v>
      </c>
      <c r="L2641" s="5" t="s">
        <v>5970</v>
      </c>
      <c r="M2641" s="5">
        <v>83</v>
      </c>
      <c r="N2641" s="5" t="s">
        <v>34</v>
      </c>
      <c r="U2641" t="s">
        <v>321</v>
      </c>
    </row>
    <row r="2642" spans="1:21" x14ac:dyDescent="0.2">
      <c r="A2642" s="5"/>
      <c r="B2642" s="8" t="s">
        <v>6554</v>
      </c>
      <c r="H2642" s="8" t="s">
        <v>6555</v>
      </c>
      <c r="I2642" s="8" t="s">
        <v>6543</v>
      </c>
      <c r="J2642" s="5">
        <f>143-2-141</f>
        <v>0</v>
      </c>
      <c r="K2642" s="5" t="s">
        <v>21</v>
      </c>
      <c r="L2642" s="5" t="s">
        <v>5970</v>
      </c>
      <c r="M2642" s="5">
        <v>83</v>
      </c>
      <c r="N2642" s="5" t="s">
        <v>34</v>
      </c>
    </row>
    <row r="2643" spans="1:21" x14ac:dyDescent="0.2">
      <c r="A2643" s="5"/>
      <c r="B2643" s="8" t="s">
        <v>6556</v>
      </c>
      <c r="H2643" s="8" t="s">
        <v>6557</v>
      </c>
      <c r="I2643" s="8" t="s">
        <v>6543</v>
      </c>
      <c r="J2643" s="5">
        <f>126+247+18-48-48-48+5-32-90-6+200</f>
        <v>324</v>
      </c>
      <c r="K2643" s="5" t="s">
        <v>21</v>
      </c>
      <c r="L2643" s="5" t="s">
        <v>5970</v>
      </c>
      <c r="M2643" s="5">
        <v>83</v>
      </c>
      <c r="N2643" s="5" t="s">
        <v>34</v>
      </c>
      <c r="Q2643" s="5" t="s">
        <v>6210</v>
      </c>
    </row>
    <row r="2644" spans="1:21" x14ac:dyDescent="0.2">
      <c r="A2644" s="5"/>
      <c r="B2644" s="8" t="s">
        <v>6558</v>
      </c>
      <c r="H2644" s="8" t="s">
        <v>6559</v>
      </c>
      <c r="I2644" s="8" t="s">
        <v>6543</v>
      </c>
      <c r="J2644" s="5">
        <f>424</f>
        <v>424</v>
      </c>
      <c r="K2644" s="5" t="s">
        <v>21</v>
      </c>
      <c r="L2644" s="5" t="s">
        <v>5970</v>
      </c>
      <c r="M2644" s="5">
        <v>83</v>
      </c>
      <c r="N2644" s="5" t="s">
        <v>34</v>
      </c>
    </row>
    <row r="2645" spans="1:21" x14ac:dyDescent="0.2">
      <c r="A2645" s="5"/>
      <c r="B2645" s="8" t="s">
        <v>6560</v>
      </c>
      <c r="H2645" s="8" t="s">
        <v>6561</v>
      </c>
      <c r="I2645" s="8" t="s">
        <v>6543</v>
      </c>
      <c r="J2645" s="5">
        <f>150</f>
        <v>150</v>
      </c>
      <c r="K2645" s="5" t="s">
        <v>21</v>
      </c>
      <c r="L2645" s="5" t="s">
        <v>5970</v>
      </c>
      <c r="M2645" s="5">
        <v>83</v>
      </c>
      <c r="N2645" s="5" t="s">
        <v>34</v>
      </c>
      <c r="Q2645" s="5" t="s">
        <v>6210</v>
      </c>
    </row>
    <row r="2646" spans="1:21" x14ac:dyDescent="0.2">
      <c r="A2646" s="5"/>
      <c r="B2646" s="8" t="s">
        <v>6560</v>
      </c>
      <c r="I2646" s="8" t="s">
        <v>6543</v>
      </c>
      <c r="J2646" s="5">
        <f>168-4</f>
        <v>164</v>
      </c>
      <c r="K2646" s="5" t="s">
        <v>21</v>
      </c>
      <c r="L2646" s="5" t="s">
        <v>5970</v>
      </c>
      <c r="M2646" s="5">
        <v>83</v>
      </c>
    </row>
    <row r="2647" spans="1:21" x14ac:dyDescent="0.2">
      <c r="A2647" s="5"/>
      <c r="B2647" s="8" t="s">
        <v>6562</v>
      </c>
      <c r="H2647" s="8" t="s">
        <v>6563</v>
      </c>
      <c r="I2647" s="8" t="s">
        <v>6543</v>
      </c>
      <c r="J2647" s="5">
        <v>167</v>
      </c>
      <c r="K2647" s="5" t="s">
        <v>21</v>
      </c>
      <c r="L2647" s="5" t="s">
        <v>5970</v>
      </c>
      <c r="M2647" s="5">
        <v>83</v>
      </c>
      <c r="N2647" s="5" t="s">
        <v>34</v>
      </c>
    </row>
    <row r="2648" spans="1:21" x14ac:dyDescent="0.2">
      <c r="A2648" s="5"/>
      <c r="B2648" s="8" t="s">
        <v>6564</v>
      </c>
      <c r="H2648" s="8" t="s">
        <v>6565</v>
      </c>
      <c r="I2648" s="8" t="s">
        <v>6543</v>
      </c>
      <c r="J2648" s="5">
        <f>172+28</f>
        <v>200</v>
      </c>
      <c r="K2648" s="5" t="s">
        <v>21</v>
      </c>
      <c r="L2648" s="5" t="s">
        <v>5970</v>
      </c>
      <c r="M2648" s="5">
        <v>83</v>
      </c>
      <c r="N2648" s="5" t="s">
        <v>34</v>
      </c>
    </row>
    <row r="2649" spans="1:21" x14ac:dyDescent="0.2">
      <c r="A2649" s="5"/>
      <c r="B2649" s="8" t="s">
        <v>6454</v>
      </c>
      <c r="H2649" s="8" t="s">
        <v>6566</v>
      </c>
      <c r="I2649" s="8" t="s">
        <v>6543</v>
      </c>
      <c r="J2649" s="5">
        <f>123-2</f>
        <v>121</v>
      </c>
      <c r="K2649" s="5" t="s">
        <v>21</v>
      </c>
      <c r="L2649" s="5" t="s">
        <v>5970</v>
      </c>
      <c r="M2649" s="5">
        <v>83</v>
      </c>
      <c r="N2649" s="5" t="s">
        <v>34</v>
      </c>
    </row>
    <row r="2650" spans="1:21" x14ac:dyDescent="0.2">
      <c r="A2650" s="5"/>
      <c r="B2650" s="8" t="s">
        <v>6567</v>
      </c>
      <c r="H2650" s="8" t="s">
        <v>6568</v>
      </c>
      <c r="I2650" s="8" t="s">
        <v>6569</v>
      </c>
      <c r="J2650" s="5">
        <f>613-80+4-80-323-20+160+88+320</f>
        <v>682</v>
      </c>
      <c r="K2650" s="5" t="s">
        <v>21</v>
      </c>
      <c r="L2650" s="5" t="s">
        <v>5970</v>
      </c>
      <c r="M2650" s="5">
        <v>83</v>
      </c>
      <c r="N2650" s="5" t="s">
        <v>34</v>
      </c>
      <c r="Q2650" s="107" t="s">
        <v>6409</v>
      </c>
    </row>
    <row r="2651" spans="1:21" x14ac:dyDescent="0.2">
      <c r="A2651" s="5"/>
      <c r="B2651" s="8" t="s">
        <v>6570</v>
      </c>
      <c r="H2651" s="8" t="s">
        <v>6571</v>
      </c>
      <c r="I2651" s="8" t="s">
        <v>6572</v>
      </c>
      <c r="J2651" s="5">
        <f>320-1-80-80-4-80+440-80-80+51+20-4-80+2-320</f>
        <v>24</v>
      </c>
      <c r="K2651" s="5" t="s">
        <v>21</v>
      </c>
      <c r="L2651" s="5" t="s">
        <v>5970</v>
      </c>
      <c r="M2651" s="5">
        <v>83</v>
      </c>
      <c r="N2651" s="5" t="s">
        <v>34</v>
      </c>
      <c r="Q2651" s="107"/>
    </row>
    <row r="2652" spans="1:21" s="169" customFormat="1" x14ac:dyDescent="0.2">
      <c r="A2652" s="167" t="s">
        <v>6573</v>
      </c>
      <c r="B2652" s="140" t="s">
        <v>6574</v>
      </c>
      <c r="C2652" s="140"/>
      <c r="D2652" s="140"/>
      <c r="E2652" s="164"/>
      <c r="F2652" s="140"/>
      <c r="G2652" s="140"/>
      <c r="H2652" s="140" t="s">
        <v>5971</v>
      </c>
      <c r="I2652" s="140"/>
      <c r="J2652" s="167"/>
      <c r="K2652" s="167"/>
      <c r="L2652" s="167"/>
      <c r="M2652" s="167"/>
      <c r="N2652" s="167"/>
      <c r="O2652" s="167"/>
      <c r="P2652" s="167"/>
      <c r="Q2652" s="168"/>
      <c r="R2652" s="167"/>
      <c r="S2652" s="167"/>
      <c r="T2652" s="167"/>
    </row>
    <row r="2653" spans="1:21" x14ac:dyDescent="0.2">
      <c r="A2653" s="5"/>
      <c r="B2653" s="8" t="s">
        <v>6211</v>
      </c>
      <c r="H2653" s="8" t="s">
        <v>6575</v>
      </c>
      <c r="I2653" s="8" t="s">
        <v>6575</v>
      </c>
      <c r="J2653" s="5">
        <f>200</f>
        <v>200</v>
      </c>
      <c r="K2653" s="5" t="s">
        <v>21</v>
      </c>
      <c r="L2653" s="5" t="s">
        <v>5970</v>
      </c>
      <c r="M2653" s="5">
        <v>84</v>
      </c>
      <c r="N2653" s="5" t="s">
        <v>5971</v>
      </c>
      <c r="Q2653" s="5" t="s">
        <v>6576</v>
      </c>
    </row>
    <row r="2654" spans="1:21" x14ac:dyDescent="0.2">
      <c r="A2654" s="5"/>
      <c r="B2654" s="8" t="s">
        <v>6212</v>
      </c>
      <c r="H2654" s="8" t="s">
        <v>6575</v>
      </c>
      <c r="I2654" s="8" t="s">
        <v>6575</v>
      </c>
      <c r="J2654" s="5">
        <f>200</f>
        <v>200</v>
      </c>
      <c r="K2654" s="5" t="s">
        <v>21</v>
      </c>
      <c r="L2654" s="5" t="s">
        <v>5970</v>
      </c>
      <c r="M2654" s="5">
        <v>84</v>
      </c>
      <c r="N2654" s="5" t="s">
        <v>5971</v>
      </c>
      <c r="Q2654" s="5" t="s">
        <v>6576</v>
      </c>
    </row>
    <row r="2655" spans="1:21" s="169" customFormat="1" x14ac:dyDescent="0.2">
      <c r="A2655" s="170" t="s">
        <v>6577</v>
      </c>
      <c r="B2655" s="171" t="s">
        <v>6578</v>
      </c>
      <c r="C2655" s="140"/>
      <c r="D2655" s="140"/>
      <c r="E2655" s="164"/>
      <c r="F2655" s="140"/>
      <c r="G2655" s="140"/>
      <c r="H2655" s="140" t="s">
        <v>6579</v>
      </c>
      <c r="I2655" s="140"/>
      <c r="J2655" s="5"/>
      <c r="K2655" s="5"/>
      <c r="L2655" s="5"/>
      <c r="M2655" s="5"/>
      <c r="N2655" s="167"/>
      <c r="O2655" s="167"/>
      <c r="P2655" s="167"/>
      <c r="Q2655" s="167"/>
      <c r="R2655" s="167"/>
      <c r="S2655" s="167"/>
      <c r="T2655" s="167"/>
    </row>
    <row r="2656" spans="1:21" s="169" customFormat="1" x14ac:dyDescent="0.2">
      <c r="A2656" s="170"/>
      <c r="B2656" s="171" t="s">
        <v>6580</v>
      </c>
      <c r="C2656" s="140"/>
      <c r="D2656" s="140"/>
      <c r="E2656" s="164"/>
      <c r="F2656" s="140"/>
      <c r="G2656" s="140"/>
      <c r="H2656" s="140" t="s">
        <v>6579</v>
      </c>
      <c r="I2656" s="140"/>
      <c r="J2656" s="5">
        <f>100</f>
        <v>100</v>
      </c>
      <c r="K2656" s="5" t="s">
        <v>21</v>
      </c>
      <c r="L2656" s="5" t="s">
        <v>5970</v>
      </c>
      <c r="M2656" s="5">
        <v>85</v>
      </c>
      <c r="N2656" s="167"/>
      <c r="O2656" s="167"/>
      <c r="P2656" s="167"/>
      <c r="Q2656" s="167"/>
      <c r="R2656" s="167"/>
      <c r="S2656" s="167"/>
      <c r="T2656" s="167"/>
    </row>
    <row r="2657" spans="1:21" s="190" customFormat="1" x14ac:dyDescent="0.2">
      <c r="B2657" s="191" t="s">
        <v>6581</v>
      </c>
      <c r="C2657" s="191"/>
      <c r="D2657" s="191"/>
      <c r="E2657" s="192"/>
      <c r="F2657" s="191"/>
      <c r="G2657" s="191"/>
      <c r="H2657" s="191" t="s">
        <v>6582</v>
      </c>
      <c r="I2657" s="191" t="s">
        <v>6583</v>
      </c>
      <c r="J2657" s="94">
        <f>14-8+4-6-4+78</f>
        <v>78</v>
      </c>
      <c r="K2657" s="94" t="s">
        <v>292</v>
      </c>
      <c r="L2657" s="94" t="s">
        <v>5970</v>
      </c>
      <c r="M2657" s="94">
        <v>85</v>
      </c>
      <c r="N2657" s="94" t="s">
        <v>6401</v>
      </c>
      <c r="O2657" s="94"/>
      <c r="P2657" s="94"/>
      <c r="Q2657" s="193" t="s">
        <v>6584</v>
      </c>
      <c r="R2657" s="94"/>
      <c r="S2657" s="94"/>
      <c r="T2657" s="94"/>
    </row>
    <row r="2658" spans="1:21" s="190" customFormat="1" x14ac:dyDescent="0.2">
      <c r="A2658" s="190">
        <v>1</v>
      </c>
      <c r="B2658" s="191" t="s">
        <v>6585</v>
      </c>
      <c r="C2658" s="191"/>
      <c r="D2658" s="191"/>
      <c r="E2658" s="192"/>
      <c r="F2658" s="191"/>
      <c r="G2658" s="191"/>
      <c r="H2658" s="191" t="s">
        <v>6586</v>
      </c>
      <c r="I2658" s="191" t="s">
        <v>6399</v>
      </c>
      <c r="J2658" s="94">
        <f>6+208</f>
        <v>214</v>
      </c>
      <c r="K2658" s="94" t="s">
        <v>292</v>
      </c>
      <c r="L2658" s="94" t="s">
        <v>5970</v>
      </c>
      <c r="M2658" s="94">
        <v>85</v>
      </c>
      <c r="N2658" s="94" t="s">
        <v>6401</v>
      </c>
      <c r="O2658" s="94"/>
      <c r="P2658" s="94"/>
      <c r="Q2658" s="193" t="s">
        <v>6587</v>
      </c>
      <c r="R2658" s="94"/>
      <c r="S2658" s="94"/>
      <c r="T2658" s="94"/>
    </row>
    <row r="2659" spans="1:21" s="190" customFormat="1" x14ac:dyDescent="0.2">
      <c r="A2659" s="190">
        <v>2</v>
      </c>
      <c r="B2659" s="191" t="s">
        <v>6588</v>
      </c>
      <c r="C2659" s="191"/>
      <c r="D2659" s="191"/>
      <c r="E2659" s="192"/>
      <c r="F2659" s="191"/>
      <c r="G2659" s="191"/>
      <c r="H2659" s="191" t="s">
        <v>6589</v>
      </c>
      <c r="I2659" s="191" t="s">
        <v>6399</v>
      </c>
      <c r="J2659" s="94">
        <f>14-8+4-6-4</f>
        <v>0</v>
      </c>
      <c r="K2659" s="94" t="s">
        <v>292</v>
      </c>
      <c r="L2659" s="94" t="s">
        <v>5970</v>
      </c>
      <c r="M2659" s="94">
        <v>85</v>
      </c>
      <c r="N2659" s="94" t="s">
        <v>6401</v>
      </c>
      <c r="O2659" s="94"/>
      <c r="P2659" s="94"/>
      <c r="Q2659" s="193" t="s">
        <v>6584</v>
      </c>
      <c r="R2659" s="94"/>
      <c r="S2659" s="94"/>
      <c r="T2659" s="94"/>
      <c r="U2659" s="190" t="s">
        <v>321</v>
      </c>
    </row>
    <row r="2660" spans="1:21" s="190" customFormat="1" x14ac:dyDescent="0.2">
      <c r="A2660" s="190">
        <v>3</v>
      </c>
      <c r="B2660" s="191" t="s">
        <v>6590</v>
      </c>
      <c r="C2660" s="191"/>
      <c r="D2660" s="191"/>
      <c r="E2660" s="192"/>
      <c r="F2660" s="191"/>
      <c r="G2660" s="191"/>
      <c r="H2660" s="191" t="s">
        <v>6591</v>
      </c>
      <c r="I2660" s="191" t="s">
        <v>6399</v>
      </c>
      <c r="J2660" s="94">
        <f>43-28+110+150-112-131</f>
        <v>32</v>
      </c>
      <c r="K2660" s="94" t="s">
        <v>292</v>
      </c>
      <c r="L2660" s="94" t="s">
        <v>5970</v>
      </c>
      <c r="M2660" s="94">
        <v>85</v>
      </c>
      <c r="N2660" s="94" t="s">
        <v>6401</v>
      </c>
      <c r="O2660" s="94"/>
      <c r="P2660" s="94"/>
      <c r="Q2660" s="193" t="s">
        <v>6592</v>
      </c>
      <c r="R2660" s="94"/>
      <c r="S2660" s="94"/>
      <c r="T2660" s="94"/>
    </row>
    <row r="2661" spans="1:21" s="190" customFormat="1" x14ac:dyDescent="0.2">
      <c r="B2661" s="191" t="s">
        <v>6593</v>
      </c>
      <c r="C2661" s="191"/>
      <c r="D2661" s="191"/>
      <c r="E2661" s="192"/>
      <c r="F2661" s="191"/>
      <c r="G2661" s="191"/>
      <c r="H2661" s="191" t="s">
        <v>6399</v>
      </c>
      <c r="I2661" s="191" t="s">
        <v>6399</v>
      </c>
      <c r="J2661" s="94">
        <f>271+157+363</f>
        <v>791</v>
      </c>
      <c r="K2661" s="94" t="s">
        <v>292</v>
      </c>
      <c r="L2661" s="94" t="s">
        <v>5970</v>
      </c>
      <c r="M2661" s="94">
        <v>85</v>
      </c>
      <c r="N2661" s="94" t="s">
        <v>6401</v>
      </c>
      <c r="O2661" s="94"/>
      <c r="P2661" s="94"/>
      <c r="Q2661" s="193" t="s">
        <v>6594</v>
      </c>
      <c r="R2661" s="94"/>
      <c r="S2661" s="94"/>
      <c r="T2661" s="94"/>
    </row>
    <row r="2662" spans="1:21" s="190" customFormat="1" x14ac:dyDescent="0.2">
      <c r="A2662" s="190">
        <v>5</v>
      </c>
      <c r="B2662" s="191" t="s">
        <v>6595</v>
      </c>
      <c r="C2662" s="191"/>
      <c r="D2662" s="191"/>
      <c r="E2662" s="192"/>
      <c r="F2662" s="191"/>
      <c r="G2662" s="191"/>
      <c r="H2662" s="191" t="s">
        <v>6596</v>
      </c>
      <c r="I2662" s="191" t="s">
        <v>6399</v>
      </c>
      <c r="J2662" s="94">
        <f>34-1+140-20</f>
        <v>153</v>
      </c>
      <c r="K2662" s="94" t="s">
        <v>292</v>
      </c>
      <c r="L2662" s="94" t="s">
        <v>5970</v>
      </c>
      <c r="M2662" s="94">
        <v>85</v>
      </c>
      <c r="N2662" s="94" t="s">
        <v>6401</v>
      </c>
      <c r="O2662" s="94"/>
      <c r="P2662" s="94"/>
      <c r="Q2662" s="193"/>
      <c r="R2662" s="94"/>
      <c r="S2662" s="94"/>
      <c r="T2662" s="94"/>
      <c r="U2662" s="190" t="s">
        <v>321</v>
      </c>
    </row>
    <row r="2663" spans="1:21" s="190" customFormat="1" x14ac:dyDescent="0.2">
      <c r="B2663" s="191" t="s">
        <v>6597</v>
      </c>
      <c r="C2663" s="191"/>
      <c r="D2663" s="191"/>
      <c r="E2663" s="192"/>
      <c r="F2663" s="191"/>
      <c r="G2663" s="191"/>
      <c r="H2663" s="191" t="s">
        <v>6399</v>
      </c>
      <c r="I2663" s="191" t="s">
        <v>6399</v>
      </c>
      <c r="J2663" s="94">
        <f>160+1087</f>
        <v>1247</v>
      </c>
      <c r="K2663" s="94" t="s">
        <v>292</v>
      </c>
      <c r="L2663" s="94" t="s">
        <v>5970</v>
      </c>
      <c r="M2663" s="94">
        <v>85</v>
      </c>
      <c r="N2663" s="94" t="s">
        <v>6401</v>
      </c>
      <c r="O2663" s="94"/>
      <c r="P2663" s="94"/>
      <c r="Q2663" s="193"/>
      <c r="R2663" s="94"/>
      <c r="S2663" s="94"/>
      <c r="T2663" s="94"/>
    </row>
    <row r="2664" spans="1:21" s="190" customFormat="1" x14ac:dyDescent="0.2">
      <c r="A2664" s="190">
        <v>7</v>
      </c>
      <c r="B2664" s="191" t="s">
        <v>6598</v>
      </c>
      <c r="C2664" s="191"/>
      <c r="D2664" s="191"/>
      <c r="E2664" s="192"/>
      <c r="F2664" s="191"/>
      <c r="G2664" s="191"/>
      <c r="H2664" s="191" t="s">
        <v>6599</v>
      </c>
      <c r="I2664" s="191" t="s">
        <v>6399</v>
      </c>
      <c r="J2664" s="94">
        <f>37+191</f>
        <v>228</v>
      </c>
      <c r="K2664" s="94" t="s">
        <v>292</v>
      </c>
      <c r="L2664" s="94" t="s">
        <v>5970</v>
      </c>
      <c r="M2664" s="94">
        <v>85</v>
      </c>
      <c r="N2664" s="94" t="s">
        <v>6401</v>
      </c>
      <c r="O2664" s="94"/>
      <c r="P2664" s="94"/>
      <c r="Q2664" s="193" t="s">
        <v>6600</v>
      </c>
      <c r="R2664" s="94"/>
      <c r="S2664" s="94"/>
      <c r="T2664" s="94"/>
    </row>
    <row r="2665" spans="1:21" s="190" customFormat="1" x14ac:dyDescent="0.2">
      <c r="B2665" s="191" t="s">
        <v>6601</v>
      </c>
      <c r="C2665" s="191"/>
      <c r="D2665" s="191"/>
      <c r="E2665" s="192"/>
      <c r="F2665" s="191"/>
      <c r="G2665" s="191"/>
      <c r="H2665" s="191" t="s">
        <v>6602</v>
      </c>
      <c r="I2665" s="191" t="s">
        <v>6399</v>
      </c>
      <c r="J2665" s="94">
        <f>37</f>
        <v>37</v>
      </c>
      <c r="K2665" s="94" t="s">
        <v>292</v>
      </c>
      <c r="L2665" s="94" t="s">
        <v>5970</v>
      </c>
      <c r="M2665" s="94">
        <v>85</v>
      </c>
      <c r="N2665" s="94" t="s">
        <v>6401</v>
      </c>
      <c r="O2665" s="94"/>
      <c r="P2665" s="94"/>
      <c r="Q2665" s="193" t="s">
        <v>6600</v>
      </c>
      <c r="R2665" s="94"/>
      <c r="S2665" s="94"/>
      <c r="T2665" s="94"/>
    </row>
    <row r="2666" spans="1:21" s="190" customFormat="1" x14ac:dyDescent="0.2">
      <c r="A2666" s="190">
        <v>8</v>
      </c>
      <c r="B2666" s="191" t="s">
        <v>6603</v>
      </c>
      <c r="C2666" s="191"/>
      <c r="D2666" s="191"/>
      <c r="E2666" s="192"/>
      <c r="F2666" s="191"/>
      <c r="G2666" s="191"/>
      <c r="H2666" s="191" t="s">
        <v>6604</v>
      </c>
      <c r="I2666" s="191" t="s">
        <v>6399</v>
      </c>
      <c r="J2666" s="94">
        <f>60+4+87-1</f>
        <v>150</v>
      </c>
      <c r="K2666" s="94" t="s">
        <v>292</v>
      </c>
      <c r="L2666" s="94" t="s">
        <v>5970</v>
      </c>
      <c r="M2666" s="94">
        <v>85</v>
      </c>
      <c r="N2666" s="94" t="s">
        <v>6401</v>
      </c>
      <c r="O2666" s="94"/>
      <c r="P2666" s="94"/>
      <c r="Q2666" s="193"/>
      <c r="R2666" s="94"/>
      <c r="S2666" s="94"/>
      <c r="T2666" s="94"/>
    </row>
    <row r="2667" spans="1:21" s="190" customFormat="1" x14ac:dyDescent="0.2">
      <c r="A2667" s="190">
        <v>9</v>
      </c>
      <c r="B2667" s="191" t="s">
        <v>6605</v>
      </c>
      <c r="C2667" s="191"/>
      <c r="D2667" s="191"/>
      <c r="E2667" s="192"/>
      <c r="F2667" s="191"/>
      <c r="G2667" s="191"/>
      <c r="H2667" s="191" t="s">
        <v>6606</v>
      </c>
      <c r="I2667" s="191" t="s">
        <v>6399</v>
      </c>
      <c r="J2667" s="94">
        <f>5-3+17+2-14</f>
        <v>7</v>
      </c>
      <c r="K2667" s="94" t="s">
        <v>292</v>
      </c>
      <c r="L2667" s="94" t="s">
        <v>5970</v>
      </c>
      <c r="M2667" s="94">
        <v>85</v>
      </c>
      <c r="N2667" s="94" t="s">
        <v>6401</v>
      </c>
      <c r="O2667" s="94"/>
      <c r="P2667" s="94"/>
      <c r="Q2667" s="193"/>
      <c r="R2667" s="94"/>
      <c r="S2667" s="94"/>
      <c r="T2667" s="94"/>
    </row>
    <row r="2668" spans="1:21" s="98" customFormat="1" x14ac:dyDescent="0.2">
      <c r="B2668" s="40" t="s">
        <v>6607</v>
      </c>
      <c r="C2668" s="40"/>
      <c r="D2668" s="40"/>
      <c r="E2668" s="186"/>
      <c r="F2668" s="40"/>
      <c r="G2668" s="40"/>
      <c r="H2668" s="40" t="s">
        <v>6399</v>
      </c>
      <c r="I2668" s="40" t="s">
        <v>6399</v>
      </c>
      <c r="J2668" s="41">
        <f>72+4+90</f>
        <v>166</v>
      </c>
      <c r="K2668" s="41" t="s">
        <v>292</v>
      </c>
      <c r="L2668" s="41" t="s">
        <v>5970</v>
      </c>
      <c r="M2668" s="41">
        <v>85</v>
      </c>
      <c r="N2668" s="41" t="s">
        <v>6401</v>
      </c>
      <c r="O2668" s="41"/>
      <c r="P2668" s="41"/>
      <c r="Q2668" s="107"/>
      <c r="R2668" s="41"/>
      <c r="S2668" s="41"/>
      <c r="T2668" s="41"/>
    </row>
    <row r="2669" spans="1:21" x14ac:dyDescent="0.2">
      <c r="A2669">
        <v>11</v>
      </c>
      <c r="B2669" s="8" t="s">
        <v>6608</v>
      </c>
      <c r="H2669" s="8" t="s">
        <v>6609</v>
      </c>
      <c r="I2669" s="8" t="s">
        <v>6399</v>
      </c>
      <c r="J2669" s="5">
        <f>20+10+191</f>
        <v>221</v>
      </c>
      <c r="K2669" s="5" t="s">
        <v>292</v>
      </c>
      <c r="L2669" s="5" t="s">
        <v>5970</v>
      </c>
      <c r="M2669" s="5">
        <v>85</v>
      </c>
      <c r="N2669" s="5" t="s">
        <v>6401</v>
      </c>
      <c r="Q2669" s="107"/>
    </row>
    <row r="2670" spans="1:21" x14ac:dyDescent="0.2">
      <c r="A2670">
        <v>12</v>
      </c>
      <c r="B2670" s="8" t="s">
        <v>6610</v>
      </c>
      <c r="H2670" s="8" t="s">
        <v>6611</v>
      </c>
      <c r="I2670" s="8" t="s">
        <v>6399</v>
      </c>
      <c r="J2670" s="5">
        <f>3</f>
        <v>3</v>
      </c>
      <c r="K2670" s="5" t="s">
        <v>292</v>
      </c>
      <c r="L2670" s="5" t="s">
        <v>5970</v>
      </c>
      <c r="M2670" s="5">
        <v>85</v>
      </c>
      <c r="N2670" s="5" t="s">
        <v>6401</v>
      </c>
      <c r="Q2670" s="107"/>
      <c r="U2670" t="s">
        <v>321</v>
      </c>
    </row>
    <row r="2671" spans="1:21" s="169" customFormat="1" x14ac:dyDescent="0.2">
      <c r="A2671" s="167" t="s">
        <v>6612</v>
      </c>
      <c r="B2671" s="140" t="s">
        <v>6613</v>
      </c>
      <c r="C2671" s="140"/>
      <c r="D2671" s="140"/>
      <c r="E2671" s="164"/>
      <c r="F2671" s="140"/>
      <c r="G2671" s="140"/>
      <c r="H2671" s="140" t="s">
        <v>6614</v>
      </c>
      <c r="I2671" s="140"/>
      <c r="J2671" s="167"/>
      <c r="K2671" s="167"/>
      <c r="L2671" s="167"/>
      <c r="M2671" s="167"/>
      <c r="N2671" s="167"/>
      <c r="O2671" s="167"/>
      <c r="P2671" s="167"/>
      <c r="Q2671" s="168"/>
      <c r="R2671" s="167"/>
      <c r="S2671" s="167"/>
      <c r="T2671" s="167"/>
    </row>
    <row r="2672" spans="1:21" x14ac:dyDescent="0.2">
      <c r="A2672" s="5"/>
      <c r="B2672" s="8" t="s">
        <v>6615</v>
      </c>
      <c r="H2672" s="8" t="s">
        <v>6616</v>
      </c>
      <c r="I2672" s="8" t="s">
        <v>6616</v>
      </c>
      <c r="J2672" s="5">
        <f>68-12</f>
        <v>56</v>
      </c>
      <c r="K2672" s="5" t="s">
        <v>21</v>
      </c>
      <c r="L2672" s="5" t="s">
        <v>5970</v>
      </c>
      <c r="M2672" s="5">
        <v>86</v>
      </c>
      <c r="N2672" s="5" t="s">
        <v>34</v>
      </c>
    </row>
    <row r="2673" spans="1:21" s="169" customFormat="1" x14ac:dyDescent="0.2">
      <c r="A2673" s="167" t="s">
        <v>6617</v>
      </c>
      <c r="B2673" s="140" t="s">
        <v>6618</v>
      </c>
      <c r="C2673" s="140"/>
      <c r="D2673" s="140"/>
      <c r="E2673" s="164"/>
      <c r="F2673" s="140"/>
      <c r="G2673" s="140"/>
      <c r="H2673" s="140" t="s">
        <v>6619</v>
      </c>
      <c r="I2673" s="140"/>
      <c r="J2673" s="167"/>
      <c r="K2673" s="167"/>
      <c r="L2673" s="167"/>
      <c r="M2673" s="167"/>
      <c r="N2673" s="167"/>
      <c r="O2673" s="167"/>
      <c r="P2673" s="167"/>
      <c r="Q2673" s="167"/>
      <c r="R2673" s="167"/>
      <c r="S2673" s="167"/>
      <c r="T2673" s="167"/>
    </row>
    <row r="2674" spans="1:21" x14ac:dyDescent="0.2">
      <c r="A2674" s="5">
        <v>1</v>
      </c>
      <c r="B2674" s="8" t="s">
        <v>6499</v>
      </c>
      <c r="H2674" s="8" t="s">
        <v>6620</v>
      </c>
      <c r="I2674" s="8" t="s">
        <v>6621</v>
      </c>
      <c r="J2674" s="5">
        <v>99</v>
      </c>
      <c r="K2674" s="5" t="s">
        <v>21</v>
      </c>
      <c r="L2674" s="5" t="s">
        <v>5970</v>
      </c>
      <c r="M2674" s="5">
        <v>87</v>
      </c>
      <c r="N2674" s="5" t="s">
        <v>3510</v>
      </c>
      <c r="U2674" t="s">
        <v>321</v>
      </c>
    </row>
    <row r="2675" spans="1:21" x14ac:dyDescent="0.2">
      <c r="A2675" s="5">
        <v>2</v>
      </c>
      <c r="B2675" s="8" t="s">
        <v>6622</v>
      </c>
      <c r="H2675" s="8" t="s">
        <v>6623</v>
      </c>
      <c r="I2675" s="8" t="s">
        <v>6621</v>
      </c>
      <c r="J2675" s="5">
        <v>294</v>
      </c>
      <c r="K2675" s="5" t="s">
        <v>21</v>
      </c>
      <c r="L2675" s="5" t="s">
        <v>5970</v>
      </c>
      <c r="M2675" s="5">
        <v>87</v>
      </c>
      <c r="N2675" s="5" t="s">
        <v>3510</v>
      </c>
      <c r="U2675" t="s">
        <v>321</v>
      </c>
    </row>
    <row r="2676" spans="1:21" x14ac:dyDescent="0.2">
      <c r="A2676" s="5">
        <v>3</v>
      </c>
      <c r="B2676" s="8" t="s">
        <v>6624</v>
      </c>
      <c r="H2676" s="8" t="s">
        <v>6625</v>
      </c>
      <c r="I2676" s="8" t="s">
        <v>6621</v>
      </c>
      <c r="J2676" s="5">
        <v>74</v>
      </c>
      <c r="K2676" s="5" t="s">
        <v>21</v>
      </c>
      <c r="L2676" s="5" t="s">
        <v>5970</v>
      </c>
      <c r="M2676" s="5">
        <v>87</v>
      </c>
      <c r="N2676" s="5" t="s">
        <v>3510</v>
      </c>
      <c r="U2676" t="s">
        <v>321</v>
      </c>
    </row>
    <row r="2677" spans="1:21" x14ac:dyDescent="0.2">
      <c r="A2677" s="5">
        <v>4</v>
      </c>
      <c r="B2677" s="8" t="s">
        <v>6626</v>
      </c>
      <c r="H2677" s="8" t="s">
        <v>6627</v>
      </c>
      <c r="I2677" s="8" t="s">
        <v>6621</v>
      </c>
      <c r="J2677" s="5">
        <f>93</f>
        <v>93</v>
      </c>
      <c r="K2677" s="5" t="s">
        <v>21</v>
      </c>
      <c r="L2677" s="5" t="s">
        <v>5970</v>
      </c>
      <c r="M2677" s="5">
        <v>87</v>
      </c>
      <c r="N2677" s="5" t="s">
        <v>3510</v>
      </c>
    </row>
    <row r="2678" spans="1:21" x14ac:dyDescent="0.2">
      <c r="A2678" s="5">
        <v>5</v>
      </c>
      <c r="B2678" s="8" t="s">
        <v>6628</v>
      </c>
      <c r="H2678" s="8" t="s">
        <v>6629</v>
      </c>
      <c r="I2678" s="8" t="s">
        <v>6621</v>
      </c>
      <c r="J2678" s="5">
        <f>204</f>
        <v>204</v>
      </c>
      <c r="K2678" s="5" t="s">
        <v>21</v>
      </c>
      <c r="L2678" s="5" t="s">
        <v>5970</v>
      </c>
      <c r="M2678" s="5">
        <v>87</v>
      </c>
      <c r="N2678" s="5" t="s">
        <v>3510</v>
      </c>
      <c r="U2678" t="s">
        <v>321</v>
      </c>
    </row>
    <row r="2679" spans="1:21" x14ac:dyDescent="0.2">
      <c r="A2679" s="5">
        <v>6</v>
      </c>
      <c r="B2679" s="8" t="s">
        <v>6630</v>
      </c>
      <c r="H2679" s="8" t="s">
        <v>6631</v>
      </c>
      <c r="I2679" s="8" t="s">
        <v>6621</v>
      </c>
      <c r="J2679" s="5">
        <v>100</v>
      </c>
      <c r="K2679" s="5" t="s">
        <v>21</v>
      </c>
      <c r="L2679" s="5" t="s">
        <v>5970</v>
      </c>
      <c r="M2679" s="5">
        <v>87</v>
      </c>
      <c r="N2679" s="5" t="s">
        <v>3510</v>
      </c>
      <c r="U2679" t="s">
        <v>321</v>
      </c>
    </row>
    <row r="2680" spans="1:21" x14ac:dyDescent="0.2">
      <c r="A2680" s="5">
        <v>7</v>
      </c>
      <c r="B2680" s="8" t="s">
        <v>6632</v>
      </c>
      <c r="H2680" s="8" t="s">
        <v>6633</v>
      </c>
      <c r="I2680" s="8" t="s">
        <v>6621</v>
      </c>
      <c r="J2680" s="5">
        <v>100</v>
      </c>
      <c r="K2680" s="5" t="s">
        <v>21</v>
      </c>
      <c r="L2680" s="5" t="s">
        <v>5970</v>
      </c>
      <c r="M2680" s="5">
        <v>87</v>
      </c>
      <c r="N2680" s="5" t="s">
        <v>3510</v>
      </c>
      <c r="U2680" t="s">
        <v>321</v>
      </c>
    </row>
    <row r="2681" spans="1:21" x14ac:dyDescent="0.2">
      <c r="A2681" s="5"/>
      <c r="B2681" s="8" t="s">
        <v>6634</v>
      </c>
      <c r="H2681" s="8" t="s">
        <v>6635</v>
      </c>
      <c r="I2681" s="8" t="s">
        <v>6621</v>
      </c>
      <c r="J2681" s="5">
        <f>200-27-7-1-1-5-8-8-7-21-21-7-63-21</f>
        <v>3</v>
      </c>
      <c r="K2681" s="5" t="s">
        <v>21</v>
      </c>
      <c r="L2681" s="5" t="s">
        <v>5970</v>
      </c>
      <c r="M2681" s="5">
        <v>87</v>
      </c>
      <c r="N2681" s="5" t="s">
        <v>3510</v>
      </c>
      <c r="Q2681" s="107" t="s">
        <v>6332</v>
      </c>
    </row>
    <row r="2682" spans="1:21" x14ac:dyDescent="0.2">
      <c r="A2682" s="5">
        <v>8</v>
      </c>
      <c r="B2682" s="8" t="s">
        <v>6422</v>
      </c>
      <c r="H2682" s="8" t="s">
        <v>6635</v>
      </c>
      <c r="I2682" s="8" t="s">
        <v>6621</v>
      </c>
      <c r="J2682" s="5">
        <f>126-8-9-8-1</f>
        <v>100</v>
      </c>
      <c r="K2682" s="5" t="s">
        <v>21</v>
      </c>
      <c r="L2682" s="5" t="s">
        <v>5970</v>
      </c>
      <c r="M2682" s="5">
        <v>87</v>
      </c>
      <c r="N2682" s="5" t="s">
        <v>3510</v>
      </c>
    </row>
    <row r="2683" spans="1:21" x14ac:dyDescent="0.2">
      <c r="A2683" s="5">
        <v>9</v>
      </c>
      <c r="B2683" s="8" t="s">
        <v>6636</v>
      </c>
      <c r="H2683" s="8" t="s">
        <v>6637</v>
      </c>
      <c r="I2683" s="8" t="s">
        <v>6621</v>
      </c>
      <c r="J2683" s="5">
        <f>42+100+400-35-60+1-6-1-1-10-10+5-1-1-1-20-5-5-1-1-1-1-1-1-1-4-3-1-3-3-50-50-20-3-6-1-3+10-2-2-4-2-1-1-51-6-20-32-20-16+43</f>
        <v>134</v>
      </c>
      <c r="K2683" s="5" t="s">
        <v>21</v>
      </c>
      <c r="L2683" s="5" t="s">
        <v>5970</v>
      </c>
      <c r="M2683" s="5">
        <v>87</v>
      </c>
      <c r="N2683" s="5" t="s">
        <v>3510</v>
      </c>
      <c r="Q2683" s="5" t="s">
        <v>6332</v>
      </c>
    </row>
    <row r="2684" spans="1:21" x14ac:dyDescent="0.2">
      <c r="A2684" s="5">
        <v>10</v>
      </c>
      <c r="B2684" s="8" t="s">
        <v>6425</v>
      </c>
      <c r="H2684" s="8" t="s">
        <v>6638</v>
      </c>
      <c r="I2684" s="8" t="s">
        <v>6621</v>
      </c>
      <c r="J2684" s="5">
        <f>85-3-8</f>
        <v>74</v>
      </c>
      <c r="K2684" s="5" t="s">
        <v>21</v>
      </c>
      <c r="L2684" s="5" t="s">
        <v>5970</v>
      </c>
      <c r="M2684" s="5">
        <v>87</v>
      </c>
      <c r="N2684" s="5" t="s">
        <v>3510</v>
      </c>
    </row>
    <row r="2685" spans="1:21" x14ac:dyDescent="0.2">
      <c r="A2685" s="5">
        <v>11</v>
      </c>
      <c r="B2685" s="8" t="s">
        <v>6427</v>
      </c>
      <c r="H2685" s="8" t="s">
        <v>6639</v>
      </c>
      <c r="I2685" s="8" t="s">
        <v>6621</v>
      </c>
      <c r="J2685" s="5">
        <f>1031-15-15+200-2-10-3-20-24-400-24+2-400-1-1-2-85-24-91-64+660-40</f>
        <v>672</v>
      </c>
      <c r="K2685" s="5" t="s">
        <v>21</v>
      </c>
      <c r="L2685" s="5" t="s">
        <v>5970</v>
      </c>
      <c r="M2685" s="5">
        <v>87</v>
      </c>
      <c r="N2685" s="5" t="s">
        <v>3510</v>
      </c>
    </row>
    <row r="2686" spans="1:21" x14ac:dyDescent="0.2">
      <c r="A2686" s="5">
        <v>12</v>
      </c>
      <c r="B2686" s="8" t="s">
        <v>6502</v>
      </c>
      <c r="H2686" s="8" t="s">
        <v>6640</v>
      </c>
      <c r="I2686" s="8" t="s">
        <v>6621</v>
      </c>
      <c r="J2686" s="5">
        <f>100-36-40</f>
        <v>24</v>
      </c>
      <c r="K2686" s="5" t="s">
        <v>21</v>
      </c>
      <c r="L2686" s="5" t="s">
        <v>5970</v>
      </c>
      <c r="M2686" s="5">
        <v>87</v>
      </c>
      <c r="N2686" s="5" t="s">
        <v>3510</v>
      </c>
      <c r="Q2686" s="5" t="s">
        <v>6352</v>
      </c>
    </row>
    <row r="2687" spans="1:21" x14ac:dyDescent="0.2">
      <c r="A2687" s="5">
        <v>13</v>
      </c>
      <c r="B2687" s="8" t="s">
        <v>6562</v>
      </c>
      <c r="H2687" s="8" t="s">
        <v>6641</v>
      </c>
      <c r="I2687" s="8" t="s">
        <v>6621</v>
      </c>
      <c r="J2687" s="5">
        <f>983-1-16</f>
        <v>966</v>
      </c>
      <c r="K2687" s="5" t="s">
        <v>21</v>
      </c>
      <c r="L2687" s="5" t="s">
        <v>5970</v>
      </c>
      <c r="M2687" s="5">
        <v>87</v>
      </c>
      <c r="N2687" s="5" t="s">
        <v>3510</v>
      </c>
      <c r="U2687" t="s">
        <v>321</v>
      </c>
    </row>
    <row r="2688" spans="1:21" x14ac:dyDescent="0.2">
      <c r="A2688" s="5">
        <v>14</v>
      </c>
      <c r="B2688" s="8" t="s">
        <v>6435</v>
      </c>
      <c r="H2688" s="8" t="s">
        <v>6642</v>
      </c>
      <c r="I2688" s="8" t="s">
        <v>6621</v>
      </c>
      <c r="J2688" s="5">
        <f>746-2-5</f>
        <v>739</v>
      </c>
      <c r="K2688" s="5" t="s">
        <v>21</v>
      </c>
      <c r="L2688" s="5" t="s">
        <v>5970</v>
      </c>
      <c r="M2688" s="5">
        <v>87</v>
      </c>
      <c r="N2688" s="5" t="s">
        <v>3510</v>
      </c>
      <c r="U2688" t="s">
        <v>321</v>
      </c>
    </row>
    <row r="2689" spans="1:21" x14ac:dyDescent="0.2">
      <c r="A2689" s="5">
        <v>15</v>
      </c>
      <c r="B2689" s="8" t="s">
        <v>6504</v>
      </c>
      <c r="H2689" s="8" t="s">
        <v>6643</v>
      </c>
      <c r="I2689" s="8" t="s">
        <v>6621</v>
      </c>
      <c r="J2689" s="5">
        <f>210-2-2</f>
        <v>206</v>
      </c>
      <c r="K2689" s="5" t="s">
        <v>21</v>
      </c>
      <c r="L2689" s="5" t="s">
        <v>5970</v>
      </c>
      <c r="M2689" s="5">
        <v>87</v>
      </c>
      <c r="N2689" s="5" t="s">
        <v>3510</v>
      </c>
      <c r="U2689" t="s">
        <v>321</v>
      </c>
    </row>
    <row r="2690" spans="1:21" x14ac:dyDescent="0.2">
      <c r="A2690" s="5">
        <v>16</v>
      </c>
      <c r="B2690" s="8" t="s">
        <v>6438</v>
      </c>
      <c r="H2690" s="8" t="s">
        <v>6644</v>
      </c>
      <c r="I2690" s="8" t="s">
        <v>6621</v>
      </c>
      <c r="J2690" s="5">
        <v>142</v>
      </c>
      <c r="K2690" s="5" t="s">
        <v>21</v>
      </c>
      <c r="L2690" s="5" t="s">
        <v>5970</v>
      </c>
      <c r="M2690" s="5">
        <v>87</v>
      </c>
      <c r="N2690" s="5" t="s">
        <v>3510</v>
      </c>
      <c r="U2690" t="s">
        <v>321</v>
      </c>
    </row>
    <row r="2691" spans="1:21" s="169" customFormat="1" x14ac:dyDescent="0.2">
      <c r="A2691" s="167" t="s">
        <v>6645</v>
      </c>
      <c r="B2691" s="140" t="s">
        <v>6646</v>
      </c>
      <c r="C2691" s="140"/>
      <c r="D2691" s="140"/>
      <c r="E2691" s="164"/>
      <c r="F2691" s="140"/>
      <c r="G2691" s="140"/>
      <c r="H2691" s="140" t="s">
        <v>6619</v>
      </c>
      <c r="I2691" s="140"/>
      <c r="J2691" s="167"/>
      <c r="K2691" s="167"/>
      <c r="L2691" s="167"/>
      <c r="M2691" s="167"/>
      <c r="N2691" s="167"/>
      <c r="O2691" s="167"/>
      <c r="P2691" s="167"/>
      <c r="Q2691" s="167"/>
      <c r="R2691" s="167"/>
      <c r="S2691" s="167"/>
      <c r="T2691" s="167"/>
    </row>
    <row r="2692" spans="1:21" x14ac:dyDescent="0.2">
      <c r="A2692" s="5">
        <v>1</v>
      </c>
      <c r="B2692" s="8" t="s">
        <v>6647</v>
      </c>
      <c r="H2692" s="8" t="s">
        <v>6620</v>
      </c>
      <c r="I2692" s="8" t="s">
        <v>6621</v>
      </c>
      <c r="J2692" s="5">
        <f>390-4-2-2-10-2-6+1-7+100-2-2-16+3-3-2-2-32</f>
        <v>402</v>
      </c>
      <c r="K2692" s="5" t="s">
        <v>21</v>
      </c>
      <c r="L2692" s="5" t="s">
        <v>5970</v>
      </c>
      <c r="M2692" s="5">
        <v>88</v>
      </c>
      <c r="N2692" s="5" t="s">
        <v>3510</v>
      </c>
    </row>
    <row r="2693" spans="1:21" x14ac:dyDescent="0.2">
      <c r="A2693" s="5"/>
      <c r="B2693" s="8" t="s">
        <v>6648</v>
      </c>
      <c r="H2693" s="8" t="s">
        <v>6620</v>
      </c>
      <c r="I2693" s="8" t="s">
        <v>6621</v>
      </c>
      <c r="J2693" s="5">
        <f>100</f>
        <v>100</v>
      </c>
      <c r="K2693" s="5" t="s">
        <v>21</v>
      </c>
      <c r="L2693" s="5" t="s">
        <v>5970</v>
      </c>
      <c r="M2693" s="5">
        <v>88</v>
      </c>
      <c r="N2693" s="5" t="s">
        <v>3510</v>
      </c>
      <c r="Q2693" s="5" t="s">
        <v>6210</v>
      </c>
    </row>
    <row r="2694" spans="1:21" x14ac:dyDescent="0.2">
      <c r="A2694" s="5">
        <v>2</v>
      </c>
      <c r="B2694" s="8" t="s">
        <v>6649</v>
      </c>
      <c r="H2694" s="8" t="s">
        <v>6650</v>
      </c>
      <c r="I2694" s="8" t="s">
        <v>6621</v>
      </c>
      <c r="J2694" s="5">
        <f>132-3-2-2</f>
        <v>125</v>
      </c>
      <c r="K2694" s="5" t="s">
        <v>21</v>
      </c>
      <c r="L2694" s="5" t="s">
        <v>5970</v>
      </c>
      <c r="M2694" s="5">
        <v>88</v>
      </c>
      <c r="N2694" s="5" t="s">
        <v>3510</v>
      </c>
      <c r="U2694" t="s">
        <v>321</v>
      </c>
    </row>
    <row r="2695" spans="1:21" x14ac:dyDescent="0.2">
      <c r="A2695" s="5">
        <v>3</v>
      </c>
      <c r="B2695" s="8" t="s">
        <v>6564</v>
      </c>
      <c r="H2695" s="8" t="s">
        <v>6651</v>
      </c>
      <c r="I2695" s="8" t="s">
        <v>6621</v>
      </c>
      <c r="J2695" s="5">
        <f>535-4-2-7-4-14</f>
        <v>504</v>
      </c>
      <c r="K2695" s="5" t="s">
        <v>21</v>
      </c>
      <c r="L2695" s="5" t="s">
        <v>5970</v>
      </c>
      <c r="M2695" s="5">
        <v>88</v>
      </c>
      <c r="N2695" s="5" t="s">
        <v>3510</v>
      </c>
    </row>
    <row r="2696" spans="1:21" x14ac:dyDescent="0.2">
      <c r="A2696" s="5">
        <v>4</v>
      </c>
      <c r="B2696" s="8" t="s">
        <v>6652</v>
      </c>
      <c r="H2696" s="8" t="s">
        <v>6653</v>
      </c>
      <c r="I2696" s="8" t="s">
        <v>6621</v>
      </c>
      <c r="J2696" s="5">
        <f>417-12-24-3+30-2</f>
        <v>406</v>
      </c>
      <c r="K2696" s="5" t="s">
        <v>21</v>
      </c>
      <c r="L2696" s="5" t="s">
        <v>5970</v>
      </c>
      <c r="M2696" s="5">
        <v>88</v>
      </c>
      <c r="N2696" s="5" t="s">
        <v>3510</v>
      </c>
    </row>
    <row r="2697" spans="1:21" x14ac:dyDescent="0.2">
      <c r="A2697" s="5">
        <v>5</v>
      </c>
      <c r="B2697" s="8" t="s">
        <v>6654</v>
      </c>
      <c r="H2697" s="8" t="s">
        <v>6655</v>
      </c>
      <c r="I2697" s="8" t="s">
        <v>6621</v>
      </c>
      <c r="J2697" s="5">
        <f>109-24-16</f>
        <v>69</v>
      </c>
      <c r="K2697" s="5" t="s">
        <v>21</v>
      </c>
      <c r="L2697" s="5" t="s">
        <v>5970</v>
      </c>
      <c r="M2697" s="5">
        <v>88</v>
      </c>
      <c r="N2697" s="5" t="s">
        <v>3510</v>
      </c>
      <c r="U2697" t="s">
        <v>321</v>
      </c>
    </row>
    <row r="2698" spans="1:21" x14ac:dyDescent="0.2">
      <c r="A2698" s="5">
        <v>6</v>
      </c>
      <c r="B2698" s="8" t="s">
        <v>6456</v>
      </c>
      <c r="H2698" s="8" t="s">
        <v>6631</v>
      </c>
      <c r="I2698" s="8" t="s">
        <v>6621</v>
      </c>
      <c r="J2698" s="5">
        <f>90-4</f>
        <v>86</v>
      </c>
      <c r="K2698" s="5" t="s">
        <v>21</v>
      </c>
      <c r="L2698" s="5" t="s">
        <v>5970</v>
      </c>
      <c r="M2698" s="5">
        <v>88</v>
      </c>
      <c r="N2698" s="5" t="s">
        <v>3510</v>
      </c>
      <c r="U2698" t="s">
        <v>321</v>
      </c>
    </row>
    <row r="2699" spans="1:21" x14ac:dyDescent="0.2">
      <c r="A2699" s="5">
        <v>7</v>
      </c>
      <c r="B2699" s="8" t="s">
        <v>6656</v>
      </c>
      <c r="H2699" s="8" t="s">
        <v>6657</v>
      </c>
      <c r="I2699" s="8" t="s">
        <v>6621</v>
      </c>
      <c r="J2699" s="5">
        <f>45-16-16</f>
        <v>13</v>
      </c>
      <c r="K2699" s="5" t="s">
        <v>21</v>
      </c>
      <c r="L2699" s="5" t="s">
        <v>5970</v>
      </c>
      <c r="M2699" s="5">
        <v>88</v>
      </c>
      <c r="N2699" s="5" t="s">
        <v>3510</v>
      </c>
      <c r="U2699" t="s">
        <v>321</v>
      </c>
    </row>
    <row r="2700" spans="1:21" x14ac:dyDescent="0.2">
      <c r="A2700" s="5">
        <v>8</v>
      </c>
      <c r="B2700" s="8" t="s">
        <v>6460</v>
      </c>
      <c r="H2700" s="8" t="s">
        <v>6635</v>
      </c>
      <c r="I2700" s="8" t="s">
        <v>6621</v>
      </c>
      <c r="J2700" s="5">
        <f>200+100-14-32-2-4-4-1-1+12</f>
        <v>254</v>
      </c>
      <c r="K2700" s="5" t="s">
        <v>21</v>
      </c>
      <c r="L2700" s="5" t="s">
        <v>5970</v>
      </c>
      <c r="M2700" s="5">
        <v>88</v>
      </c>
      <c r="N2700" s="5" t="s">
        <v>3510</v>
      </c>
    </row>
    <row r="2701" spans="1:21" x14ac:dyDescent="0.2">
      <c r="A2701" s="5">
        <v>9</v>
      </c>
      <c r="B2701" s="8" t="s">
        <v>6465</v>
      </c>
      <c r="H2701" s="8" t="s">
        <v>6658</v>
      </c>
      <c r="I2701" s="8" t="s">
        <v>6621</v>
      </c>
      <c r="J2701" s="5">
        <v>98</v>
      </c>
      <c r="K2701" s="5" t="s">
        <v>21</v>
      </c>
      <c r="L2701" s="5" t="s">
        <v>5970</v>
      </c>
      <c r="M2701" s="5">
        <v>88</v>
      </c>
      <c r="N2701" s="5" t="s">
        <v>3510</v>
      </c>
      <c r="U2701" t="s">
        <v>321</v>
      </c>
    </row>
    <row r="2702" spans="1:21" x14ac:dyDescent="0.2">
      <c r="A2702" s="5">
        <v>10</v>
      </c>
      <c r="B2702" s="8" t="s">
        <v>6466</v>
      </c>
      <c r="H2702" s="8" t="s">
        <v>6638</v>
      </c>
      <c r="I2702" s="8" t="s">
        <v>6621</v>
      </c>
      <c r="J2702" s="5">
        <v>100</v>
      </c>
      <c r="K2702" s="5" t="s">
        <v>21</v>
      </c>
      <c r="L2702" s="5" t="s">
        <v>5970</v>
      </c>
      <c r="M2702" s="5">
        <v>88</v>
      </c>
      <c r="N2702" s="5" t="s">
        <v>3510</v>
      </c>
      <c r="U2702" t="s">
        <v>321</v>
      </c>
    </row>
    <row r="2703" spans="1:21" x14ac:dyDescent="0.2">
      <c r="A2703" s="5">
        <v>11</v>
      </c>
      <c r="B2703" s="8" t="s">
        <v>6659</v>
      </c>
      <c r="H2703" s="8" t="s">
        <v>6660</v>
      </c>
      <c r="I2703" s="8" t="s">
        <v>6621</v>
      </c>
      <c r="J2703" s="5">
        <v>102</v>
      </c>
      <c r="K2703" s="5" t="s">
        <v>21</v>
      </c>
      <c r="L2703" s="5" t="s">
        <v>5970</v>
      </c>
      <c r="M2703" s="5">
        <v>88</v>
      </c>
      <c r="N2703" s="5" t="s">
        <v>3510</v>
      </c>
      <c r="U2703" t="s">
        <v>321</v>
      </c>
    </row>
    <row r="2704" spans="1:21" x14ac:dyDescent="0.2">
      <c r="A2704" s="5">
        <v>12</v>
      </c>
      <c r="B2704" s="8" t="s">
        <v>6661</v>
      </c>
      <c r="H2704" s="8" t="s">
        <v>6662</v>
      </c>
      <c r="I2704" s="8" t="s">
        <v>6621</v>
      </c>
      <c r="J2704" s="5">
        <v>50</v>
      </c>
      <c r="K2704" s="5" t="s">
        <v>21</v>
      </c>
      <c r="L2704" s="5" t="s">
        <v>5970</v>
      </c>
      <c r="M2704" s="5">
        <v>88</v>
      </c>
      <c r="N2704" s="5" t="s">
        <v>3510</v>
      </c>
    </row>
    <row r="2705" spans="1:21" ht="14.25" customHeight="1" x14ac:dyDescent="0.2">
      <c r="A2705" s="5">
        <v>13</v>
      </c>
      <c r="B2705" s="8" t="s">
        <v>6663</v>
      </c>
      <c r="H2705" s="8" t="s">
        <v>6641</v>
      </c>
      <c r="I2705" s="8" t="s">
        <v>6621</v>
      </c>
      <c r="J2705" s="5">
        <f>195-8+280-1-10-6-11-1</f>
        <v>438</v>
      </c>
      <c r="K2705" s="5" t="s">
        <v>21</v>
      </c>
      <c r="L2705" s="5" t="s">
        <v>5970</v>
      </c>
      <c r="M2705" s="5">
        <v>88</v>
      </c>
      <c r="N2705" s="5" t="s">
        <v>3510</v>
      </c>
    </row>
    <row r="2706" spans="1:21" x14ac:dyDescent="0.2">
      <c r="A2706" s="5">
        <v>14</v>
      </c>
      <c r="B2706" s="8" t="s">
        <v>6664</v>
      </c>
      <c r="H2706" s="8" t="s">
        <v>6642</v>
      </c>
      <c r="I2706" s="8" t="s">
        <v>6621</v>
      </c>
      <c r="J2706" s="5">
        <f>528-2-1-2-12-3-2-12-1-5-5-1-1-5-25-1-5-1-1+10-2-16-2-1-1-1-2-5-4-6-2-6-20-1-5+1-1-5-16-102-13-16-16-4-40-45-9-8</f>
        <v>105</v>
      </c>
      <c r="K2706" s="5" t="s">
        <v>21</v>
      </c>
      <c r="L2706" s="5" t="s">
        <v>5970</v>
      </c>
      <c r="M2706" s="5">
        <v>88</v>
      </c>
      <c r="N2706" s="5" t="s">
        <v>3510</v>
      </c>
    </row>
    <row r="2707" spans="1:21" x14ac:dyDescent="0.2">
      <c r="A2707" s="5"/>
      <c r="B2707" s="8" t="s">
        <v>6665</v>
      </c>
      <c r="H2707" s="8" t="s">
        <v>6621</v>
      </c>
      <c r="I2707" s="8" t="s">
        <v>6621</v>
      </c>
      <c r="J2707" s="5">
        <f>50-3</f>
        <v>47</v>
      </c>
      <c r="K2707" s="5" t="s">
        <v>21</v>
      </c>
      <c r="L2707" s="5" t="s">
        <v>5970</v>
      </c>
      <c r="M2707" s="5">
        <v>88</v>
      </c>
      <c r="N2707" s="5" t="s">
        <v>3510</v>
      </c>
      <c r="P2707" s="5" t="s">
        <v>6406</v>
      </c>
    </row>
    <row r="2708" spans="1:21" x14ac:dyDescent="0.2">
      <c r="A2708" s="5">
        <v>15</v>
      </c>
      <c r="B2708" s="8" t="s">
        <v>6666</v>
      </c>
      <c r="H2708" s="8" t="s">
        <v>6643</v>
      </c>
      <c r="I2708" s="8" t="s">
        <v>6621</v>
      </c>
      <c r="J2708" s="5">
        <f>100-8-8-3-6-8-18+18</f>
        <v>67</v>
      </c>
      <c r="K2708" s="5" t="s">
        <v>21</v>
      </c>
      <c r="L2708" s="5" t="s">
        <v>5970</v>
      </c>
      <c r="M2708" s="5">
        <v>88</v>
      </c>
      <c r="N2708" s="5" t="s">
        <v>3510</v>
      </c>
      <c r="P2708" s="5" t="s">
        <v>6667</v>
      </c>
    </row>
    <row r="2709" spans="1:21" x14ac:dyDescent="0.2">
      <c r="A2709" s="5">
        <v>16</v>
      </c>
      <c r="B2709" s="8" t="s">
        <v>6481</v>
      </c>
      <c r="H2709" s="8" t="s">
        <v>6644</v>
      </c>
      <c r="I2709" s="8" t="s">
        <v>6621</v>
      </c>
      <c r="J2709" s="5">
        <f>200-3-1-18</f>
        <v>178</v>
      </c>
      <c r="K2709" s="5" t="s">
        <v>21</v>
      </c>
      <c r="L2709" s="5" t="s">
        <v>5970</v>
      </c>
      <c r="M2709" s="5">
        <v>88</v>
      </c>
      <c r="N2709" s="5" t="s">
        <v>3510</v>
      </c>
    </row>
    <row r="2710" spans="1:21" x14ac:dyDescent="0.2">
      <c r="A2710" s="5">
        <v>17</v>
      </c>
      <c r="B2710" s="8" t="s">
        <v>6668</v>
      </c>
      <c r="H2710" s="8" t="s">
        <v>6669</v>
      </c>
      <c r="I2710" s="8" t="s">
        <v>6621</v>
      </c>
      <c r="J2710" s="5">
        <f>47-1</f>
        <v>46</v>
      </c>
      <c r="K2710" s="5" t="s">
        <v>21</v>
      </c>
      <c r="L2710" s="5" t="s">
        <v>5970</v>
      </c>
      <c r="M2710" s="5">
        <v>88</v>
      </c>
      <c r="N2710" s="5" t="s">
        <v>3510</v>
      </c>
      <c r="U2710" t="s">
        <v>321</v>
      </c>
    </row>
    <row r="2711" spans="1:21" x14ac:dyDescent="0.2">
      <c r="A2711" s="5">
        <v>18</v>
      </c>
      <c r="B2711" s="8" t="s">
        <v>6670</v>
      </c>
      <c r="H2711" s="8" t="s">
        <v>6671</v>
      </c>
      <c r="I2711" s="8" t="s">
        <v>6621</v>
      </c>
      <c r="J2711" s="5">
        <f>99-3-2-6</f>
        <v>88</v>
      </c>
      <c r="K2711" s="5" t="s">
        <v>21</v>
      </c>
      <c r="L2711" s="5" t="s">
        <v>5970</v>
      </c>
      <c r="M2711" s="5">
        <v>88</v>
      </c>
      <c r="N2711" s="5" t="s">
        <v>3510</v>
      </c>
    </row>
    <row r="2712" spans="1:21" x14ac:dyDescent="0.2">
      <c r="A2712" s="5">
        <v>19</v>
      </c>
      <c r="B2712" s="8" t="s">
        <v>6672</v>
      </c>
      <c r="H2712" s="8" t="s">
        <v>6673</v>
      </c>
      <c r="I2712" s="8" t="s">
        <v>6621</v>
      </c>
      <c r="J2712" s="5">
        <v>32</v>
      </c>
      <c r="K2712" s="5" t="s">
        <v>21</v>
      </c>
      <c r="L2712" s="5" t="s">
        <v>5970</v>
      </c>
      <c r="M2712" s="5">
        <v>88</v>
      </c>
      <c r="N2712" s="5" t="s">
        <v>3510</v>
      </c>
      <c r="U2712" t="s">
        <v>321</v>
      </c>
    </row>
    <row r="2713" spans="1:21" x14ac:dyDescent="0.2">
      <c r="A2713" s="5">
        <v>20</v>
      </c>
      <c r="B2713" s="8" t="s">
        <v>6491</v>
      </c>
      <c r="H2713" s="8" t="s">
        <v>6674</v>
      </c>
      <c r="I2713" s="8" t="s">
        <v>6621</v>
      </c>
      <c r="J2713" s="5">
        <v>12</v>
      </c>
      <c r="K2713" s="5" t="s">
        <v>21</v>
      </c>
      <c r="L2713" s="5" t="s">
        <v>5970</v>
      </c>
      <c r="M2713" s="5">
        <v>88</v>
      </c>
      <c r="N2713" s="5" t="s">
        <v>3510</v>
      </c>
      <c r="U2713" t="s">
        <v>321</v>
      </c>
    </row>
    <row r="2714" spans="1:21" s="169" customFormat="1" x14ac:dyDescent="0.2">
      <c r="A2714" s="167" t="s">
        <v>6675</v>
      </c>
      <c r="B2714" s="140" t="s">
        <v>6676</v>
      </c>
      <c r="C2714" s="140"/>
      <c r="D2714" s="140"/>
      <c r="E2714" s="164"/>
      <c r="F2714" s="140"/>
      <c r="G2714" s="140"/>
      <c r="H2714" s="140" t="s">
        <v>6619</v>
      </c>
      <c r="I2714" s="140"/>
      <c r="J2714" s="167"/>
      <c r="K2714" s="167"/>
      <c r="L2714" s="167"/>
      <c r="M2714" s="167"/>
      <c r="N2714" s="167"/>
      <c r="O2714" s="167"/>
      <c r="P2714" s="167"/>
      <c r="Q2714" s="167"/>
      <c r="R2714" s="167"/>
      <c r="S2714" s="167"/>
      <c r="T2714" s="167"/>
    </row>
    <row r="2715" spans="1:21" x14ac:dyDescent="0.2">
      <c r="A2715" s="5">
        <v>1</v>
      </c>
      <c r="B2715" s="8" t="s">
        <v>6677</v>
      </c>
      <c r="H2715" s="8" t="s">
        <v>6678</v>
      </c>
      <c r="I2715" s="8" t="s">
        <v>6621</v>
      </c>
      <c r="J2715" s="5">
        <f>109-12-12-6</f>
        <v>79</v>
      </c>
      <c r="K2715" s="5" t="s">
        <v>21</v>
      </c>
      <c r="L2715" s="5" t="s">
        <v>5970</v>
      </c>
      <c r="M2715" s="5">
        <v>89</v>
      </c>
      <c r="N2715" s="5" t="s">
        <v>3510</v>
      </c>
    </row>
    <row r="2716" spans="1:21" x14ac:dyDescent="0.2">
      <c r="A2716" s="5">
        <v>2</v>
      </c>
      <c r="B2716" s="8" t="s">
        <v>6679</v>
      </c>
      <c r="H2716" s="8" t="s">
        <v>6650</v>
      </c>
      <c r="I2716" s="8" t="s">
        <v>6621</v>
      </c>
      <c r="J2716" s="5">
        <f>93-1</f>
        <v>92</v>
      </c>
      <c r="K2716" s="5" t="s">
        <v>21</v>
      </c>
      <c r="L2716" s="5" t="s">
        <v>5970</v>
      </c>
      <c r="M2716" s="5">
        <v>89</v>
      </c>
      <c r="N2716" s="5" t="s">
        <v>3510</v>
      </c>
    </row>
    <row r="2717" spans="1:21" x14ac:dyDescent="0.2">
      <c r="A2717" s="5"/>
      <c r="B2717" s="8" t="s">
        <v>6680</v>
      </c>
      <c r="I2717" s="8" t="s">
        <v>6681</v>
      </c>
      <c r="J2717" s="5">
        <f>100-1-4-20-1</f>
        <v>74</v>
      </c>
      <c r="K2717" s="5" t="s">
        <v>21</v>
      </c>
      <c r="L2717" s="5" t="s">
        <v>5970</v>
      </c>
      <c r="M2717" s="5">
        <v>89</v>
      </c>
      <c r="N2717" s="5" t="s">
        <v>3510</v>
      </c>
    </row>
    <row r="2718" spans="1:21" x14ac:dyDescent="0.2">
      <c r="A2718" s="5">
        <v>3</v>
      </c>
      <c r="B2718" s="8" t="s">
        <v>6682</v>
      </c>
      <c r="H2718" s="8" t="s">
        <v>6625</v>
      </c>
      <c r="I2718" s="8" t="s">
        <v>6621</v>
      </c>
      <c r="J2718" s="5">
        <v>33</v>
      </c>
      <c r="K2718" s="5" t="s">
        <v>21</v>
      </c>
      <c r="L2718" s="5" t="s">
        <v>5970</v>
      </c>
      <c r="M2718" s="5">
        <v>89</v>
      </c>
      <c r="N2718" s="5" t="s">
        <v>3510</v>
      </c>
    </row>
    <row r="2719" spans="1:21" x14ac:dyDescent="0.2">
      <c r="A2719" s="5">
        <v>4</v>
      </c>
      <c r="B2719" s="8" t="s">
        <v>6683</v>
      </c>
      <c r="H2719" s="8" t="s">
        <v>6653</v>
      </c>
      <c r="I2719" s="8" t="s">
        <v>6621</v>
      </c>
      <c r="J2719" s="5">
        <v>41</v>
      </c>
      <c r="K2719" s="5" t="s">
        <v>21</v>
      </c>
      <c r="L2719" s="5" t="s">
        <v>5970</v>
      </c>
      <c r="M2719" s="5">
        <v>89</v>
      </c>
      <c r="N2719" s="5" t="s">
        <v>3510</v>
      </c>
      <c r="U2719" t="s">
        <v>321</v>
      </c>
    </row>
    <row r="2720" spans="1:21" x14ac:dyDescent="0.2">
      <c r="A2720" s="5">
        <v>5</v>
      </c>
      <c r="B2720" s="8" t="s">
        <v>6684</v>
      </c>
      <c r="H2720" s="8" t="s">
        <v>6629</v>
      </c>
      <c r="I2720" s="8" t="s">
        <v>6621</v>
      </c>
      <c r="J2720" s="5">
        <v>16</v>
      </c>
      <c r="K2720" s="5" t="s">
        <v>21</v>
      </c>
      <c r="L2720" s="5" t="s">
        <v>5970</v>
      </c>
      <c r="M2720" s="5">
        <v>89</v>
      </c>
      <c r="N2720" s="5" t="s">
        <v>3510</v>
      </c>
      <c r="U2720" t="s">
        <v>321</v>
      </c>
    </row>
    <row r="2721" spans="1:21" x14ac:dyDescent="0.2">
      <c r="A2721" s="5">
        <v>6</v>
      </c>
      <c r="B2721" s="8" t="s">
        <v>6685</v>
      </c>
      <c r="H2721" s="8" t="s">
        <v>6686</v>
      </c>
      <c r="I2721" s="8" t="s">
        <v>6621</v>
      </c>
      <c r="J2721" s="5">
        <v>7</v>
      </c>
      <c r="K2721" s="5" t="s">
        <v>21</v>
      </c>
      <c r="L2721" s="5" t="s">
        <v>5970</v>
      </c>
      <c r="M2721" s="5">
        <v>89</v>
      </c>
      <c r="N2721" s="5" t="s">
        <v>3510</v>
      </c>
    </row>
    <row r="2722" spans="1:21" x14ac:dyDescent="0.2">
      <c r="A2722" s="5">
        <v>7</v>
      </c>
      <c r="B2722" s="8" t="s">
        <v>6687</v>
      </c>
      <c r="H2722" s="8" t="s">
        <v>6657</v>
      </c>
      <c r="I2722" s="8" t="s">
        <v>6621</v>
      </c>
      <c r="J2722" s="5">
        <v>135</v>
      </c>
      <c r="K2722" s="5" t="s">
        <v>21</v>
      </c>
      <c r="L2722" s="5" t="s">
        <v>5970</v>
      </c>
      <c r="M2722" s="5">
        <v>89</v>
      </c>
      <c r="N2722" s="5" t="s">
        <v>3510</v>
      </c>
    </row>
    <row r="2723" spans="1:21" x14ac:dyDescent="0.2">
      <c r="A2723" s="5">
        <v>8</v>
      </c>
      <c r="B2723" s="8" t="s">
        <v>6688</v>
      </c>
      <c r="H2723" s="8" t="s">
        <v>6635</v>
      </c>
      <c r="I2723" s="8" t="s">
        <v>6621</v>
      </c>
      <c r="J2723" s="5">
        <f>100-24</f>
        <v>76</v>
      </c>
      <c r="K2723" s="5" t="s">
        <v>21</v>
      </c>
      <c r="L2723" s="5" t="s">
        <v>5970</v>
      </c>
      <c r="M2723" s="5">
        <v>89</v>
      </c>
      <c r="N2723" s="5" t="s">
        <v>3510</v>
      </c>
    </row>
    <row r="2724" spans="1:21" x14ac:dyDescent="0.2">
      <c r="A2724" s="5">
        <v>9</v>
      </c>
      <c r="B2724" s="8" t="s">
        <v>6400</v>
      </c>
      <c r="H2724" s="8" t="s">
        <v>6689</v>
      </c>
      <c r="I2724" s="8" t="s">
        <v>6621</v>
      </c>
      <c r="J2724" s="5">
        <f>103-24+2-5-40-2-2</f>
        <v>32</v>
      </c>
      <c r="K2724" s="5" t="s">
        <v>21</v>
      </c>
      <c r="L2724" s="5" t="s">
        <v>5970</v>
      </c>
      <c r="M2724" s="5">
        <v>89</v>
      </c>
      <c r="N2724" s="5" t="s">
        <v>3510</v>
      </c>
    </row>
    <row r="2725" spans="1:21" x14ac:dyDescent="0.2">
      <c r="A2725" s="5">
        <v>10</v>
      </c>
      <c r="B2725" s="8" t="s">
        <v>6405</v>
      </c>
      <c r="H2725" s="8" t="s">
        <v>6638</v>
      </c>
      <c r="I2725" s="8" t="s">
        <v>6621</v>
      </c>
      <c r="J2725" s="5">
        <v>14</v>
      </c>
      <c r="K2725" s="5" t="s">
        <v>21</v>
      </c>
      <c r="L2725" s="5" t="s">
        <v>5970</v>
      </c>
      <c r="M2725" s="5">
        <v>89</v>
      </c>
      <c r="N2725" s="5" t="s">
        <v>3510</v>
      </c>
      <c r="U2725" t="s">
        <v>321</v>
      </c>
    </row>
    <row r="2726" spans="1:21" x14ac:dyDescent="0.2">
      <c r="A2726" s="5">
        <v>11</v>
      </c>
      <c r="B2726" s="8" t="s">
        <v>6690</v>
      </c>
      <c r="H2726" s="8" t="s">
        <v>6660</v>
      </c>
      <c r="I2726" s="8" t="s">
        <v>6621</v>
      </c>
      <c r="J2726" s="5">
        <v>193</v>
      </c>
      <c r="K2726" s="5" t="s">
        <v>21</v>
      </c>
      <c r="L2726" s="5" t="s">
        <v>5970</v>
      </c>
      <c r="M2726" s="5">
        <v>89</v>
      </c>
      <c r="N2726" s="5" t="s">
        <v>3510</v>
      </c>
    </row>
    <row r="2727" spans="1:21" x14ac:dyDescent="0.2">
      <c r="A2727" s="5">
        <v>12</v>
      </c>
      <c r="B2727" s="8" t="s">
        <v>6691</v>
      </c>
      <c r="H2727" s="8" t="s">
        <v>6640</v>
      </c>
      <c r="I2727" s="8" t="s">
        <v>6621</v>
      </c>
      <c r="J2727" s="5">
        <f>50-2</f>
        <v>48</v>
      </c>
      <c r="K2727" s="5" t="s">
        <v>21</v>
      </c>
      <c r="L2727" s="5" t="s">
        <v>5970</v>
      </c>
      <c r="M2727" s="5">
        <v>89</v>
      </c>
      <c r="N2727" s="5" t="s">
        <v>3510</v>
      </c>
      <c r="Q2727" s="5" t="s">
        <v>6210</v>
      </c>
    </row>
    <row r="2728" spans="1:21" s="169" customFormat="1" x14ac:dyDescent="0.2">
      <c r="A2728" s="167" t="s">
        <v>6692</v>
      </c>
      <c r="B2728" s="140"/>
      <c r="C2728" s="140"/>
      <c r="D2728" s="140"/>
      <c r="E2728" s="164"/>
      <c r="F2728" s="140"/>
      <c r="G2728" s="140"/>
      <c r="H2728" s="140"/>
      <c r="I2728" s="140"/>
      <c r="J2728" s="167"/>
      <c r="K2728" s="167"/>
      <c r="L2728" s="167"/>
      <c r="M2728" s="167"/>
      <c r="N2728" s="167"/>
      <c r="O2728" s="167"/>
      <c r="P2728" s="167"/>
      <c r="Q2728" s="167"/>
      <c r="R2728" s="167"/>
      <c r="S2728" s="167"/>
      <c r="T2728" s="167"/>
    </row>
    <row r="2729" spans="1:21" x14ac:dyDescent="0.2">
      <c r="A2729" s="5"/>
      <c r="B2729" s="8" t="s">
        <v>6693</v>
      </c>
      <c r="H2729" s="8" t="s">
        <v>6694</v>
      </c>
      <c r="J2729" s="5">
        <f>450</f>
        <v>450</v>
      </c>
      <c r="K2729" s="5" t="s">
        <v>21</v>
      </c>
      <c r="L2729" s="5" t="s">
        <v>5970</v>
      </c>
      <c r="M2729" s="5">
        <v>90</v>
      </c>
    </row>
    <row r="2730" spans="1:21" x14ac:dyDescent="0.2">
      <c r="A2730" s="5"/>
      <c r="B2730" s="8" t="s">
        <v>6695</v>
      </c>
      <c r="H2730" s="8" t="s">
        <v>6696</v>
      </c>
      <c r="I2730" s="8" t="s">
        <v>6696</v>
      </c>
      <c r="J2730" s="5">
        <f>44+12-14-16-20-6+20+30-12-12</f>
        <v>26</v>
      </c>
      <c r="K2730" s="5" t="s">
        <v>21</v>
      </c>
      <c r="L2730" s="5" t="s">
        <v>5970</v>
      </c>
      <c r="M2730" s="5">
        <v>90</v>
      </c>
    </row>
    <row r="2731" spans="1:21" x14ac:dyDescent="0.2">
      <c r="A2731" s="5"/>
      <c r="B2731" s="8" t="s">
        <v>6697</v>
      </c>
      <c r="H2731" s="8" t="s">
        <v>6698</v>
      </c>
      <c r="I2731" s="8" t="s">
        <v>6698</v>
      </c>
      <c r="J2731" s="5">
        <f>23-4-1+2+2-8-10+10-3+15-6-6</f>
        <v>14</v>
      </c>
      <c r="K2731" s="5" t="s">
        <v>21</v>
      </c>
      <c r="L2731" s="5" t="s">
        <v>5970</v>
      </c>
      <c r="M2731" s="5">
        <v>90</v>
      </c>
    </row>
    <row r="2732" spans="1:21" x14ac:dyDescent="0.2">
      <c r="A2732" s="5"/>
      <c r="B2732" s="8" t="s">
        <v>6699</v>
      </c>
      <c r="I2732" s="8" t="s">
        <v>6700</v>
      </c>
      <c r="J2732" s="5">
        <f>1000-100-150</f>
        <v>750</v>
      </c>
      <c r="K2732" s="5" t="s">
        <v>21</v>
      </c>
      <c r="L2732" s="5" t="s">
        <v>5970</v>
      </c>
      <c r="M2732" s="5">
        <v>90</v>
      </c>
    </row>
    <row r="2733" spans="1:21" x14ac:dyDescent="0.2">
      <c r="A2733" s="5"/>
      <c r="B2733" s="8" t="s">
        <v>6701</v>
      </c>
      <c r="I2733" s="8" t="s">
        <v>6702</v>
      </c>
      <c r="J2733" s="5">
        <f>20</f>
        <v>20</v>
      </c>
      <c r="K2733" s="5" t="s">
        <v>21</v>
      </c>
      <c r="L2733" s="5" t="s">
        <v>5970</v>
      </c>
      <c r="M2733" s="5">
        <v>90</v>
      </c>
    </row>
    <row r="2734" spans="1:21" x14ac:dyDescent="0.2">
      <c r="A2734" s="5"/>
      <c r="B2734" s="8" t="s">
        <v>6703</v>
      </c>
      <c r="I2734" s="8" t="s">
        <v>6704</v>
      </c>
      <c r="J2734" s="5">
        <f>28-4-12-12</f>
        <v>0</v>
      </c>
      <c r="K2734" s="5" t="s">
        <v>21</v>
      </c>
      <c r="L2734" s="5" t="s">
        <v>5970</v>
      </c>
      <c r="M2734" s="5">
        <v>90</v>
      </c>
    </row>
    <row r="2735" spans="1:21" s="169" customFormat="1" x14ac:dyDescent="0.2">
      <c r="A2735" s="167" t="s">
        <v>6705</v>
      </c>
      <c r="B2735" s="140"/>
      <c r="C2735" s="140"/>
      <c r="D2735" s="140"/>
      <c r="E2735" s="164"/>
      <c r="F2735" s="140"/>
      <c r="G2735" s="140"/>
      <c r="H2735" s="140" t="s">
        <v>6706</v>
      </c>
      <c r="I2735" s="140"/>
      <c r="J2735" s="167"/>
      <c r="K2735" s="167"/>
      <c r="L2735" s="167"/>
      <c r="M2735" s="167"/>
      <c r="N2735" s="167"/>
      <c r="O2735" s="167"/>
      <c r="P2735" s="167"/>
      <c r="Q2735" s="167"/>
      <c r="R2735" s="167"/>
      <c r="S2735" s="167"/>
      <c r="T2735" s="167"/>
    </row>
    <row r="2736" spans="1:21" x14ac:dyDescent="0.2">
      <c r="A2736" s="5">
        <v>1</v>
      </c>
      <c r="B2736" s="8" t="s">
        <v>6707</v>
      </c>
      <c r="H2736" s="135" t="s">
        <v>6708</v>
      </c>
      <c r="I2736" s="135" t="s">
        <v>6709</v>
      </c>
      <c r="J2736" s="5">
        <f>400-70-80-79-8-80</f>
        <v>83</v>
      </c>
      <c r="K2736" s="5" t="s">
        <v>21</v>
      </c>
      <c r="L2736" s="5" t="s">
        <v>5970</v>
      </c>
      <c r="M2736" s="5">
        <v>91</v>
      </c>
      <c r="N2736" s="5" t="s">
        <v>34</v>
      </c>
      <c r="Q2736" s="107"/>
    </row>
    <row r="2737" spans="1:21" x14ac:dyDescent="0.2">
      <c r="A2737" s="5">
        <v>2</v>
      </c>
      <c r="B2737" s="8" t="s">
        <v>6499</v>
      </c>
      <c r="H2737" s="135" t="s">
        <v>6710</v>
      </c>
      <c r="I2737" s="135" t="s">
        <v>6709</v>
      </c>
      <c r="J2737" s="5">
        <f>200-8</f>
        <v>192</v>
      </c>
      <c r="K2737" s="5" t="s">
        <v>21</v>
      </c>
      <c r="L2737" s="5" t="s">
        <v>5970</v>
      </c>
      <c r="M2737" s="5">
        <v>91</v>
      </c>
      <c r="N2737" s="5" t="s">
        <v>34</v>
      </c>
      <c r="Q2737" s="107"/>
    </row>
    <row r="2738" spans="1:21" x14ac:dyDescent="0.2">
      <c r="A2738" s="5">
        <v>3</v>
      </c>
      <c r="B2738" s="8" t="s">
        <v>6427</v>
      </c>
      <c r="H2738" s="135" t="s">
        <v>6711</v>
      </c>
      <c r="I2738" s="135" t="s">
        <v>6709</v>
      </c>
      <c r="J2738" s="5">
        <f>50+526-16+2-24-16-10-22</f>
        <v>490</v>
      </c>
      <c r="K2738" s="5" t="s">
        <v>21</v>
      </c>
      <c r="L2738" s="5" t="s">
        <v>5970</v>
      </c>
      <c r="M2738" s="5">
        <v>91</v>
      </c>
      <c r="N2738" s="5" t="s">
        <v>34</v>
      </c>
      <c r="Q2738" s="107" t="s">
        <v>6712</v>
      </c>
    </row>
    <row r="2739" spans="1:21" x14ac:dyDescent="0.2">
      <c r="A2739" s="5">
        <v>4</v>
      </c>
      <c r="B2739" s="8" t="s">
        <v>6450</v>
      </c>
      <c r="H2739" s="135" t="s">
        <v>6713</v>
      </c>
      <c r="I2739" s="135" t="s">
        <v>6709</v>
      </c>
      <c r="J2739" s="5">
        <f>405</f>
        <v>405</v>
      </c>
      <c r="K2739" s="5" t="s">
        <v>21</v>
      </c>
      <c r="L2739" s="5" t="s">
        <v>5970</v>
      </c>
      <c r="M2739" s="5">
        <v>91</v>
      </c>
      <c r="N2739" s="5" t="s">
        <v>34</v>
      </c>
      <c r="Q2739" s="107"/>
      <c r="U2739" t="s">
        <v>321</v>
      </c>
    </row>
    <row r="2740" spans="1:21" x14ac:dyDescent="0.2">
      <c r="A2740" s="5">
        <v>5</v>
      </c>
      <c r="B2740" s="8" t="s">
        <v>6714</v>
      </c>
      <c r="H2740" s="135" t="s">
        <v>6715</v>
      </c>
      <c r="I2740" s="8" t="s">
        <v>6716</v>
      </c>
      <c r="J2740" s="5">
        <v>55</v>
      </c>
      <c r="K2740" s="5" t="s">
        <v>21</v>
      </c>
      <c r="L2740" s="5" t="s">
        <v>5970</v>
      </c>
      <c r="M2740" s="5">
        <v>91</v>
      </c>
      <c r="N2740" s="5" t="s">
        <v>34</v>
      </c>
      <c r="Q2740" s="107" t="s">
        <v>6717</v>
      </c>
    </row>
    <row r="2741" spans="1:21" x14ac:dyDescent="0.2">
      <c r="A2741" s="5">
        <v>6</v>
      </c>
      <c r="B2741" s="8" t="s">
        <v>6714</v>
      </c>
      <c r="H2741" s="135" t="s">
        <v>6718</v>
      </c>
      <c r="I2741" s="8" t="s">
        <v>6719</v>
      </c>
      <c r="J2741" s="5">
        <f>19</f>
        <v>19</v>
      </c>
      <c r="K2741" s="5" t="s">
        <v>21</v>
      </c>
      <c r="L2741" s="5" t="s">
        <v>5970</v>
      </c>
      <c r="M2741" s="5">
        <v>91</v>
      </c>
      <c r="N2741" s="5" t="s">
        <v>34</v>
      </c>
      <c r="Q2741" s="5" t="s">
        <v>6720</v>
      </c>
    </row>
    <row r="2742" spans="1:21" x14ac:dyDescent="0.2">
      <c r="A2742" s="5">
        <v>7</v>
      </c>
      <c r="B2742" s="149" t="s">
        <v>6721</v>
      </c>
      <c r="H2742" s="8" t="s">
        <v>6722</v>
      </c>
      <c r="I2742" s="8" t="s">
        <v>6535</v>
      </c>
      <c r="J2742" s="5">
        <f>0+144+100</f>
        <v>244</v>
      </c>
      <c r="K2742" s="5" t="s">
        <v>21</v>
      </c>
      <c r="L2742" s="5" t="s">
        <v>5970</v>
      </c>
      <c r="M2742" s="5">
        <v>91</v>
      </c>
      <c r="N2742" s="5" t="s">
        <v>34</v>
      </c>
    </row>
    <row r="2743" spans="1:21" x14ac:dyDescent="0.2">
      <c r="A2743" s="5">
        <v>8</v>
      </c>
      <c r="B2743" s="8" t="s">
        <v>6556</v>
      </c>
      <c r="H2743" s="8" t="s">
        <v>6723</v>
      </c>
      <c r="I2743" s="8" t="s">
        <v>6621</v>
      </c>
      <c r="J2743" s="5">
        <v>0</v>
      </c>
      <c r="K2743" s="5" t="s">
        <v>21</v>
      </c>
      <c r="L2743" s="5" t="s">
        <v>5970</v>
      </c>
      <c r="M2743" s="5">
        <v>91</v>
      </c>
      <c r="N2743" s="5" t="s">
        <v>34</v>
      </c>
      <c r="Q2743" s="5" t="s">
        <v>6720</v>
      </c>
    </row>
    <row r="2744" spans="1:21" x14ac:dyDescent="0.2">
      <c r="A2744" s="5">
        <v>10</v>
      </c>
      <c r="B2744" s="8" t="s">
        <v>6724</v>
      </c>
      <c r="H2744" s="8" t="s">
        <v>6725</v>
      </c>
      <c r="I2744" s="8" t="s">
        <v>6726</v>
      </c>
      <c r="J2744" s="5">
        <f>8-8+500-16-16-32-8-16</f>
        <v>412</v>
      </c>
      <c r="K2744" s="5" t="s">
        <v>21</v>
      </c>
      <c r="L2744" s="5" t="s">
        <v>5970</v>
      </c>
      <c r="M2744" s="5">
        <v>91</v>
      </c>
      <c r="N2744" s="5" t="s">
        <v>34</v>
      </c>
    </row>
    <row r="2745" spans="1:21" x14ac:dyDescent="0.2">
      <c r="A2745" s="5">
        <v>11</v>
      </c>
      <c r="B2745" s="8" t="s">
        <v>6562</v>
      </c>
      <c r="H2745" s="8" t="s">
        <v>6727</v>
      </c>
      <c r="I2745" s="8" t="s">
        <v>6728</v>
      </c>
      <c r="J2745" s="5">
        <f>278+1</f>
        <v>279</v>
      </c>
      <c r="K2745" s="5" t="s">
        <v>21</v>
      </c>
      <c r="L2745" s="5" t="s">
        <v>5970</v>
      </c>
      <c r="M2745" s="5">
        <v>91</v>
      </c>
      <c r="N2745" s="5" t="s">
        <v>34</v>
      </c>
    </row>
    <row r="2746" spans="1:21" x14ac:dyDescent="0.2">
      <c r="A2746" s="5">
        <v>12</v>
      </c>
      <c r="B2746" s="8" t="s">
        <v>6729</v>
      </c>
      <c r="H2746" s="8" t="s">
        <v>6730</v>
      </c>
      <c r="I2746" s="8" t="s">
        <v>6731</v>
      </c>
      <c r="J2746" s="5">
        <f>44-12+83</f>
        <v>115</v>
      </c>
      <c r="K2746" s="5" t="s">
        <v>21</v>
      </c>
      <c r="L2746" s="5" t="s">
        <v>5970</v>
      </c>
      <c r="M2746" s="5">
        <v>91</v>
      </c>
      <c r="N2746" s="5" t="s">
        <v>34</v>
      </c>
      <c r="Q2746" s="107" t="s">
        <v>6732</v>
      </c>
    </row>
    <row r="2747" spans="1:21" x14ac:dyDescent="0.2">
      <c r="A2747" s="5">
        <v>13</v>
      </c>
      <c r="B2747" s="8" t="s">
        <v>6733</v>
      </c>
      <c r="H2747" s="8" t="s">
        <v>6734</v>
      </c>
      <c r="I2747" s="8" t="s">
        <v>6735</v>
      </c>
      <c r="J2747" s="5">
        <f>200-40-14+100-76-14-76-8-12-3-8-4-1</f>
        <v>44</v>
      </c>
      <c r="K2747" s="5" t="s">
        <v>21</v>
      </c>
      <c r="L2747" s="5" t="s">
        <v>5970</v>
      </c>
      <c r="M2747" s="5">
        <v>91</v>
      </c>
      <c r="N2747" s="5" t="s">
        <v>34</v>
      </c>
    </row>
    <row r="2748" spans="1:21" x14ac:dyDescent="0.2">
      <c r="A2748" s="5">
        <v>14</v>
      </c>
      <c r="B2748" s="8" t="s">
        <v>2668</v>
      </c>
      <c r="H2748" s="108" t="s">
        <v>6736</v>
      </c>
      <c r="I2748" s="108" t="s">
        <v>6737</v>
      </c>
      <c r="J2748" s="5">
        <f>52-12-5-2-6-12-15</f>
        <v>0</v>
      </c>
      <c r="K2748" s="5" t="s">
        <v>21</v>
      </c>
      <c r="L2748" s="5" t="s">
        <v>5970</v>
      </c>
      <c r="M2748" s="5">
        <v>91</v>
      </c>
      <c r="N2748" s="5" t="s">
        <v>320</v>
      </c>
      <c r="Q2748" s="107" t="s">
        <v>6738</v>
      </c>
    </row>
    <row r="2749" spans="1:21" x14ac:dyDescent="0.2">
      <c r="A2749" s="5">
        <v>15</v>
      </c>
      <c r="B2749" s="8">
        <v>3.2</v>
      </c>
      <c r="H2749" s="8" t="s">
        <v>6739</v>
      </c>
      <c r="I2749" s="8" t="s">
        <v>6740</v>
      </c>
      <c r="J2749" s="5">
        <f>38</f>
        <v>38</v>
      </c>
      <c r="K2749" s="5" t="s">
        <v>21</v>
      </c>
      <c r="L2749" s="5" t="s">
        <v>5970</v>
      </c>
      <c r="M2749" s="5">
        <v>91</v>
      </c>
      <c r="N2749" s="5" t="s">
        <v>320</v>
      </c>
      <c r="Q2749" s="107" t="s">
        <v>6741</v>
      </c>
    </row>
    <row r="2750" spans="1:21" x14ac:dyDescent="0.2">
      <c r="A2750" s="5">
        <v>16</v>
      </c>
      <c r="B2750" s="8" t="s">
        <v>6742</v>
      </c>
      <c r="H2750" s="8" t="s">
        <v>6743</v>
      </c>
      <c r="I2750" s="8" t="s">
        <v>6744</v>
      </c>
      <c r="J2750" s="5">
        <f>0</f>
        <v>0</v>
      </c>
      <c r="K2750" s="5" t="s">
        <v>21</v>
      </c>
      <c r="L2750" s="5" t="s">
        <v>5970</v>
      </c>
      <c r="M2750" s="5">
        <v>91</v>
      </c>
      <c r="N2750" s="5" t="s">
        <v>320</v>
      </c>
      <c r="Q2750" s="107"/>
    </row>
    <row r="2751" spans="1:21" x14ac:dyDescent="0.2">
      <c r="A2751" s="5">
        <v>17</v>
      </c>
      <c r="B2751" s="8" t="s">
        <v>6745</v>
      </c>
      <c r="H2751" s="8" t="s">
        <v>6746</v>
      </c>
      <c r="I2751" s="8" t="s">
        <v>6747</v>
      </c>
      <c r="J2751" s="5">
        <f>111+24</f>
        <v>135</v>
      </c>
      <c r="K2751" s="5" t="s">
        <v>21</v>
      </c>
      <c r="L2751" s="5" t="s">
        <v>5970</v>
      </c>
      <c r="M2751" s="5">
        <v>91</v>
      </c>
      <c r="N2751" s="5" t="s">
        <v>320</v>
      </c>
    </row>
    <row r="2752" spans="1:21" x14ac:dyDescent="0.2">
      <c r="A2752" s="5">
        <v>18</v>
      </c>
      <c r="B2752" s="8" t="s">
        <v>6748</v>
      </c>
      <c r="H2752" s="8" t="s">
        <v>6749</v>
      </c>
      <c r="I2752" s="8" t="s">
        <v>6750</v>
      </c>
      <c r="J2752" s="5">
        <f>302+22-16+50-2-12-16-20-24-4-40</f>
        <v>240</v>
      </c>
      <c r="K2752" s="5" t="s">
        <v>21</v>
      </c>
      <c r="L2752" s="5" t="s">
        <v>5970</v>
      </c>
      <c r="M2752" s="5">
        <v>91</v>
      </c>
      <c r="N2752" s="5" t="s">
        <v>320</v>
      </c>
      <c r="Q2752" s="5" t="s">
        <v>6751</v>
      </c>
    </row>
    <row r="2753" spans="1:21" x14ac:dyDescent="0.2">
      <c r="A2753" s="5">
        <v>19</v>
      </c>
      <c r="B2753" s="8" t="s">
        <v>6752</v>
      </c>
      <c r="H2753" s="8" t="s">
        <v>6753</v>
      </c>
      <c r="I2753" s="8" t="s">
        <v>6744</v>
      </c>
      <c r="J2753" s="5">
        <f>36-1-35+36-2-4-16</f>
        <v>14</v>
      </c>
      <c r="K2753" s="5" t="s">
        <v>21</v>
      </c>
      <c r="L2753" s="5" t="s">
        <v>5970</v>
      </c>
      <c r="M2753" s="5">
        <v>91</v>
      </c>
      <c r="N2753" s="5" t="s">
        <v>320</v>
      </c>
      <c r="Q2753" s="107" t="s">
        <v>6754</v>
      </c>
    </row>
    <row r="2754" spans="1:21" x14ac:dyDescent="0.2">
      <c r="A2754" s="5">
        <v>20</v>
      </c>
      <c r="B2754" s="8" t="s">
        <v>6755</v>
      </c>
      <c r="H2754" s="8" t="s">
        <v>6756</v>
      </c>
      <c r="I2754" s="8" t="s">
        <v>6757</v>
      </c>
      <c r="J2754" s="5">
        <f>160-8-32</f>
        <v>120</v>
      </c>
      <c r="K2754" s="5" t="s">
        <v>21</v>
      </c>
      <c r="L2754" s="5" t="s">
        <v>5970</v>
      </c>
      <c r="M2754" s="5">
        <v>91</v>
      </c>
      <c r="N2754" s="5" t="s">
        <v>6758</v>
      </c>
      <c r="Q2754" s="107" t="s">
        <v>6759</v>
      </c>
    </row>
    <row r="2755" spans="1:21" x14ac:dyDescent="0.2">
      <c r="A2755" s="5">
        <v>21</v>
      </c>
      <c r="B2755" s="8" t="s">
        <v>6760</v>
      </c>
      <c r="H2755" s="8" t="s">
        <v>6761</v>
      </c>
      <c r="I2755" s="8" t="s">
        <v>6762</v>
      </c>
      <c r="J2755" s="5">
        <f>2</f>
        <v>2</v>
      </c>
      <c r="K2755" s="5" t="s">
        <v>21</v>
      </c>
      <c r="L2755" s="5" t="s">
        <v>5970</v>
      </c>
      <c r="M2755" s="5">
        <v>91</v>
      </c>
      <c r="N2755" s="5" t="s">
        <v>6762</v>
      </c>
      <c r="Q2755" s="107" t="s">
        <v>6763</v>
      </c>
    </row>
    <row r="2756" spans="1:21" x14ac:dyDescent="0.2">
      <c r="A2756" s="5">
        <v>22</v>
      </c>
      <c r="B2756" s="8">
        <v>2</v>
      </c>
      <c r="H2756" s="8" t="s">
        <v>6764</v>
      </c>
      <c r="I2756" s="8" t="s">
        <v>6765</v>
      </c>
      <c r="J2756" s="5">
        <v>4</v>
      </c>
      <c r="K2756" s="5" t="s">
        <v>21</v>
      </c>
      <c r="L2756" s="5" t="s">
        <v>5970</v>
      </c>
      <c r="M2756" s="5">
        <v>91</v>
      </c>
      <c r="N2756" s="5" t="s">
        <v>6762</v>
      </c>
    </row>
    <row r="2757" spans="1:21" x14ac:dyDescent="0.2">
      <c r="A2757" s="5">
        <v>23</v>
      </c>
      <c r="B2757" s="8" t="s">
        <v>6766</v>
      </c>
      <c r="H2757" s="8" t="s">
        <v>6767</v>
      </c>
      <c r="I2757" s="8" t="s">
        <v>6765</v>
      </c>
      <c r="J2757" s="5">
        <f>0</f>
        <v>0</v>
      </c>
      <c r="K2757" s="5" t="s">
        <v>21</v>
      </c>
      <c r="L2757" s="5" t="s">
        <v>5970</v>
      </c>
      <c r="M2757" s="5">
        <v>91</v>
      </c>
      <c r="N2757" s="5" t="s">
        <v>6762</v>
      </c>
    </row>
    <row r="2758" spans="1:21" x14ac:dyDescent="0.2">
      <c r="A2758" s="5">
        <v>24</v>
      </c>
      <c r="B2758" s="8" t="s">
        <v>6768</v>
      </c>
      <c r="H2758" s="8" t="s">
        <v>6769</v>
      </c>
      <c r="I2758" s="8" t="s">
        <v>6765</v>
      </c>
      <c r="J2758" s="5">
        <f>6+1+1</f>
        <v>8</v>
      </c>
      <c r="K2758" s="5" t="s">
        <v>21</v>
      </c>
      <c r="L2758" s="5" t="s">
        <v>5970</v>
      </c>
      <c r="M2758" s="5">
        <v>91</v>
      </c>
      <c r="N2758" s="5" t="s">
        <v>6762</v>
      </c>
    </row>
    <row r="2759" spans="1:21" x14ac:dyDescent="0.2">
      <c r="A2759" s="5">
        <v>25</v>
      </c>
      <c r="B2759" s="8" t="s">
        <v>6770</v>
      </c>
      <c r="H2759" s="8" t="s">
        <v>6771</v>
      </c>
      <c r="I2759" s="8" t="s">
        <v>6772</v>
      </c>
      <c r="J2759" s="5">
        <v>99</v>
      </c>
      <c r="K2759" s="5" t="s">
        <v>21</v>
      </c>
      <c r="L2759" s="5" t="s">
        <v>5970</v>
      </c>
      <c r="M2759" s="5">
        <v>91</v>
      </c>
      <c r="N2759" s="5" t="s">
        <v>320</v>
      </c>
    </row>
    <row r="2760" spans="1:21" s="169" customFormat="1" x14ac:dyDescent="0.2">
      <c r="A2760" s="170" t="s">
        <v>6773</v>
      </c>
      <c r="B2760" s="171" t="s">
        <v>6253</v>
      </c>
      <c r="C2760" s="140"/>
      <c r="D2760" s="140"/>
      <c r="E2760" s="164"/>
      <c r="F2760" s="140"/>
      <c r="G2760" s="140"/>
      <c r="H2760" s="182" t="s">
        <v>6397</v>
      </c>
      <c r="I2760" s="140"/>
      <c r="J2760" s="167"/>
      <c r="K2760" s="167"/>
      <c r="L2760" s="167"/>
      <c r="M2760" s="167"/>
      <c r="N2760" s="167"/>
      <c r="O2760" s="167"/>
      <c r="P2760" s="167"/>
      <c r="Q2760" s="167"/>
      <c r="R2760" s="167"/>
      <c r="S2760" s="167"/>
      <c r="T2760" s="167"/>
    </row>
    <row r="2761" spans="1:21" x14ac:dyDescent="0.2">
      <c r="A2761">
        <v>1</v>
      </c>
      <c r="B2761" s="8" t="s">
        <v>6774</v>
      </c>
      <c r="H2761" s="8" t="s">
        <v>6775</v>
      </c>
      <c r="I2761" s="8" t="s">
        <v>6399</v>
      </c>
      <c r="J2761" s="5">
        <f>182+35-120</f>
        <v>97</v>
      </c>
      <c r="K2761" s="5" t="s">
        <v>292</v>
      </c>
      <c r="L2761" s="5" t="s">
        <v>5970</v>
      </c>
      <c r="M2761" s="5">
        <v>92</v>
      </c>
      <c r="N2761" s="5" t="s">
        <v>6401</v>
      </c>
      <c r="Q2761" s="107" t="s">
        <v>6776</v>
      </c>
      <c r="U2761" s="169" t="s">
        <v>321</v>
      </c>
    </row>
    <row r="2762" spans="1:21" x14ac:dyDescent="0.2">
      <c r="A2762">
        <v>2</v>
      </c>
      <c r="B2762" s="8" t="s">
        <v>6777</v>
      </c>
      <c r="H2762" s="8" t="s">
        <v>6778</v>
      </c>
      <c r="I2762" s="8" t="s">
        <v>6399</v>
      </c>
      <c r="J2762" s="5">
        <f>286</f>
        <v>286</v>
      </c>
      <c r="K2762" s="5" t="s">
        <v>292</v>
      </c>
      <c r="L2762" s="5" t="s">
        <v>5970</v>
      </c>
      <c r="M2762" s="5">
        <v>92</v>
      </c>
      <c r="N2762" s="5" t="s">
        <v>6401</v>
      </c>
      <c r="Q2762" s="107" t="s">
        <v>6776</v>
      </c>
      <c r="U2762" s="169" t="s">
        <v>321</v>
      </c>
    </row>
    <row r="2763" spans="1:21" x14ac:dyDescent="0.2">
      <c r="A2763">
        <v>3</v>
      </c>
      <c r="B2763" s="8" t="s">
        <v>6779</v>
      </c>
      <c r="H2763" s="8" t="s">
        <v>6780</v>
      </c>
      <c r="I2763" s="8" t="s">
        <v>6399</v>
      </c>
      <c r="J2763" s="5">
        <f>204</f>
        <v>204</v>
      </c>
      <c r="K2763" s="5" t="s">
        <v>292</v>
      </c>
      <c r="L2763" s="5" t="s">
        <v>5970</v>
      </c>
      <c r="M2763" s="5">
        <v>92</v>
      </c>
      <c r="N2763" s="5" t="s">
        <v>6401</v>
      </c>
      <c r="Q2763" s="107" t="s">
        <v>6776</v>
      </c>
      <c r="U2763" s="169" t="s">
        <v>321</v>
      </c>
    </row>
    <row r="2764" spans="1:21" x14ac:dyDescent="0.2">
      <c r="A2764">
        <v>4</v>
      </c>
      <c r="B2764" s="8" t="s">
        <v>6781</v>
      </c>
      <c r="H2764" s="8" t="s">
        <v>6782</v>
      </c>
      <c r="I2764" s="8" t="s">
        <v>6399</v>
      </c>
      <c r="J2764" s="5">
        <f>42</f>
        <v>42</v>
      </c>
      <c r="K2764" s="5" t="s">
        <v>292</v>
      </c>
      <c r="L2764" s="5" t="s">
        <v>5970</v>
      </c>
      <c r="M2764" s="5">
        <v>92</v>
      </c>
      <c r="N2764" s="5" t="s">
        <v>6401</v>
      </c>
      <c r="Q2764" s="107" t="s">
        <v>6783</v>
      </c>
    </row>
    <row r="2765" spans="1:21" x14ac:dyDescent="0.2">
      <c r="A2765">
        <v>5</v>
      </c>
      <c r="B2765" s="8" t="s">
        <v>6784</v>
      </c>
      <c r="H2765" s="8" t="s">
        <v>6785</v>
      </c>
      <c r="I2765" s="8" t="s">
        <v>6399</v>
      </c>
      <c r="J2765" s="5">
        <f>182+35+145</f>
        <v>362</v>
      </c>
      <c r="K2765" s="5" t="s">
        <v>292</v>
      </c>
      <c r="L2765" s="5" t="s">
        <v>5970</v>
      </c>
      <c r="M2765" s="5">
        <v>92</v>
      </c>
      <c r="N2765" s="5" t="s">
        <v>6401</v>
      </c>
      <c r="Q2765" s="107" t="s">
        <v>6776</v>
      </c>
    </row>
    <row r="2766" spans="1:21" x14ac:dyDescent="0.2">
      <c r="A2766">
        <v>6</v>
      </c>
      <c r="B2766" s="8" t="s">
        <v>6786</v>
      </c>
      <c r="H2766" s="8" t="s">
        <v>6787</v>
      </c>
      <c r="I2766" s="8" t="s">
        <v>6399</v>
      </c>
      <c r="J2766" s="5">
        <f>214</f>
        <v>214</v>
      </c>
      <c r="K2766" s="5" t="s">
        <v>292</v>
      </c>
      <c r="L2766" s="5" t="s">
        <v>5970</v>
      </c>
      <c r="M2766" s="5">
        <v>92</v>
      </c>
      <c r="N2766" s="5" t="s">
        <v>6401</v>
      </c>
      <c r="Q2766" s="107"/>
    </row>
    <row r="2767" spans="1:21" x14ac:dyDescent="0.2">
      <c r="A2767">
        <v>7</v>
      </c>
      <c r="B2767" s="8" t="s">
        <v>6788</v>
      </c>
      <c r="H2767" s="8" t="s">
        <v>6789</v>
      </c>
      <c r="I2767" s="8" t="s">
        <v>6399</v>
      </c>
      <c r="J2767" s="5">
        <f>116-9</f>
        <v>107</v>
      </c>
      <c r="K2767" s="5" t="s">
        <v>292</v>
      </c>
      <c r="L2767" s="5" t="s">
        <v>5970</v>
      </c>
      <c r="M2767" s="5">
        <v>92</v>
      </c>
      <c r="N2767" s="5" t="s">
        <v>6401</v>
      </c>
      <c r="Q2767" s="107"/>
    </row>
    <row r="2768" spans="1:21" x14ac:dyDescent="0.2">
      <c r="A2768">
        <v>8</v>
      </c>
      <c r="B2768" s="8" t="s">
        <v>6790</v>
      </c>
      <c r="H2768" s="8" t="s">
        <v>6791</v>
      </c>
      <c r="I2768" s="8" t="s">
        <v>6399</v>
      </c>
      <c r="J2768" s="5">
        <f>117</f>
        <v>117</v>
      </c>
      <c r="K2768" s="5" t="s">
        <v>292</v>
      </c>
      <c r="L2768" s="5" t="s">
        <v>5970</v>
      </c>
      <c r="M2768" s="5">
        <v>92</v>
      </c>
      <c r="N2768" s="5" t="s">
        <v>6401</v>
      </c>
      <c r="Q2768" s="107"/>
    </row>
    <row r="2769" spans="1:21" x14ac:dyDescent="0.2">
      <c r="A2769">
        <v>9</v>
      </c>
      <c r="B2769" s="8" t="s">
        <v>6792</v>
      </c>
      <c r="H2769" s="8" t="s">
        <v>6793</v>
      </c>
      <c r="I2769" s="8" t="s">
        <v>6399</v>
      </c>
      <c r="J2769" s="5">
        <f>80</f>
        <v>80</v>
      </c>
      <c r="K2769" s="5" t="s">
        <v>292</v>
      </c>
      <c r="L2769" s="5" t="s">
        <v>5970</v>
      </c>
      <c r="M2769" s="5">
        <v>92</v>
      </c>
      <c r="N2769" s="5" t="s">
        <v>6401</v>
      </c>
      <c r="Q2769" s="107"/>
      <c r="U2769" s="169" t="s">
        <v>321</v>
      </c>
    </row>
    <row r="2770" spans="1:21" x14ac:dyDescent="0.2">
      <c r="Q2770" s="107"/>
      <c r="U2770" s="169"/>
    </row>
    <row r="2771" spans="1:21" s="173" customFormat="1" x14ac:dyDescent="0.2">
      <c r="A2771" s="173" t="s">
        <v>6794</v>
      </c>
      <c r="B2771" s="171" t="s">
        <v>6795</v>
      </c>
      <c r="C2771" s="140"/>
      <c r="D2771" s="140"/>
      <c r="E2771" s="164"/>
      <c r="F2771" s="140"/>
      <c r="G2771" s="140"/>
      <c r="H2771" s="171" t="s">
        <v>6397</v>
      </c>
      <c r="I2771" s="140"/>
      <c r="J2771" s="170"/>
      <c r="K2771" s="170"/>
      <c r="L2771" s="170"/>
      <c r="M2771" s="170"/>
      <c r="N2771" s="170"/>
      <c r="O2771" s="170"/>
      <c r="P2771" s="170"/>
      <c r="Q2771" s="172"/>
      <c r="R2771" s="170"/>
      <c r="S2771" s="170"/>
      <c r="T2771" s="170"/>
    </row>
    <row r="2772" spans="1:21" x14ac:dyDescent="0.2">
      <c r="A2772" s="5">
        <v>1</v>
      </c>
      <c r="B2772" s="8" t="s">
        <v>6796</v>
      </c>
      <c r="H2772" s="8" t="s">
        <v>6797</v>
      </c>
      <c r="I2772" s="8" t="s">
        <v>6798</v>
      </c>
      <c r="J2772" s="5">
        <f>100</f>
        <v>100</v>
      </c>
      <c r="K2772" s="5" t="s">
        <v>21</v>
      </c>
      <c r="L2772" s="5" t="s">
        <v>5970</v>
      </c>
      <c r="M2772" s="5">
        <v>99</v>
      </c>
      <c r="N2772" s="5" t="s">
        <v>34</v>
      </c>
      <c r="Q2772" s="107" t="s">
        <v>6799</v>
      </c>
    </row>
    <row r="2773" spans="1:21" x14ac:dyDescent="0.2">
      <c r="A2773" s="5">
        <v>2</v>
      </c>
      <c r="B2773" s="8" t="s">
        <v>6800</v>
      </c>
      <c r="H2773" s="8" t="s">
        <v>6801</v>
      </c>
      <c r="I2773" s="8" t="s">
        <v>6798</v>
      </c>
      <c r="J2773" s="5">
        <f>4620-20-22+500+193+200-4-2-60-2-40-20-20-60-60</f>
        <v>5203</v>
      </c>
      <c r="K2773" s="5" t="s">
        <v>21</v>
      </c>
      <c r="L2773" s="5" t="s">
        <v>5970</v>
      </c>
      <c r="M2773" s="5">
        <v>99</v>
      </c>
      <c r="N2773" s="5" t="s">
        <v>34</v>
      </c>
    </row>
    <row r="2774" spans="1:21" x14ac:dyDescent="0.2">
      <c r="A2774" s="5">
        <v>3</v>
      </c>
      <c r="B2774" s="8" t="s">
        <v>6802</v>
      </c>
      <c r="H2774" s="8" t="s">
        <v>6803</v>
      </c>
      <c r="I2774" s="8" t="s">
        <v>6798</v>
      </c>
      <c r="J2774" s="5">
        <f>191-4-30+13-2-4-2-2-33-3</f>
        <v>124</v>
      </c>
      <c r="K2774" s="5" t="s">
        <v>21</v>
      </c>
      <c r="L2774" s="5" t="s">
        <v>5970</v>
      </c>
      <c r="M2774" s="5">
        <v>99</v>
      </c>
      <c r="N2774" s="5" t="s">
        <v>34</v>
      </c>
    </row>
    <row r="2775" spans="1:21" s="98" customFormat="1" x14ac:dyDescent="0.2">
      <c r="A2775" s="41">
        <v>4</v>
      </c>
      <c r="B2775" s="40" t="s">
        <v>6804</v>
      </c>
      <c r="C2775" s="40"/>
      <c r="D2775" s="40"/>
      <c r="E2775" s="186"/>
      <c r="F2775" s="40"/>
      <c r="G2775" s="40"/>
      <c r="H2775" s="40" t="s">
        <v>6805</v>
      </c>
      <c r="I2775" s="40" t="s">
        <v>6798</v>
      </c>
      <c r="J2775" s="41">
        <f>0</f>
        <v>0</v>
      </c>
      <c r="K2775" s="41" t="s">
        <v>21</v>
      </c>
      <c r="L2775" s="41" t="s">
        <v>5970</v>
      </c>
      <c r="M2775" s="41">
        <v>99</v>
      </c>
      <c r="N2775" s="41" t="s">
        <v>34</v>
      </c>
      <c r="O2775" s="41"/>
      <c r="P2775" s="41"/>
      <c r="Q2775" s="107" t="s">
        <v>6799</v>
      </c>
      <c r="R2775" s="41"/>
      <c r="S2775" s="41"/>
      <c r="T2775" s="41"/>
    </row>
    <row r="2776" spans="1:21" s="98" customFormat="1" x14ac:dyDescent="0.2">
      <c r="A2776" s="41"/>
      <c r="B2776" s="40" t="s">
        <v>6538</v>
      </c>
      <c r="C2776" s="40"/>
      <c r="D2776" s="40"/>
      <c r="E2776" s="186"/>
      <c r="F2776" s="40"/>
      <c r="G2776" s="40"/>
      <c r="H2776" s="40" t="s">
        <v>6806</v>
      </c>
      <c r="I2776" s="40" t="s">
        <v>6798</v>
      </c>
      <c r="J2776" s="41">
        <f>500+929-4-4-6-27+27</f>
        <v>1415</v>
      </c>
      <c r="K2776" s="41" t="s">
        <v>21</v>
      </c>
      <c r="L2776" s="41" t="s">
        <v>5970</v>
      </c>
      <c r="M2776" s="41">
        <v>99</v>
      </c>
      <c r="N2776" s="41" t="s">
        <v>34</v>
      </c>
      <c r="O2776" s="41"/>
      <c r="P2776" s="41"/>
      <c r="Q2776" s="41"/>
      <c r="R2776" s="41"/>
      <c r="S2776" s="41"/>
      <c r="T2776" s="41"/>
    </row>
    <row r="2777" spans="1:21" s="98" customFormat="1" x14ac:dyDescent="0.2">
      <c r="A2777" s="41"/>
      <c r="B2777" s="40" t="s">
        <v>6807</v>
      </c>
      <c r="C2777" s="40"/>
      <c r="D2777" s="40"/>
      <c r="E2777" s="186"/>
      <c r="F2777" s="40"/>
      <c r="G2777" s="40"/>
      <c r="H2777" s="40" t="s">
        <v>6808</v>
      </c>
      <c r="I2777" s="40" t="s">
        <v>6798</v>
      </c>
      <c r="J2777" s="41">
        <f>486-200-286</f>
        <v>0</v>
      </c>
      <c r="K2777" s="41" t="s">
        <v>21</v>
      </c>
      <c r="L2777" s="41" t="s">
        <v>5970</v>
      </c>
      <c r="M2777" s="41">
        <v>99</v>
      </c>
      <c r="N2777" s="41" t="s">
        <v>34</v>
      </c>
      <c r="O2777" s="41"/>
      <c r="P2777" s="41"/>
      <c r="Q2777" s="107" t="s">
        <v>6799</v>
      </c>
      <c r="R2777" s="41"/>
      <c r="S2777" s="41"/>
      <c r="T2777" s="41"/>
    </row>
    <row r="2778" spans="1:21" s="98" customFormat="1" x14ac:dyDescent="0.2">
      <c r="A2778" s="41">
        <v>5</v>
      </c>
      <c r="B2778" s="40" t="s">
        <v>6541</v>
      </c>
      <c r="C2778" s="40"/>
      <c r="D2778" s="40"/>
      <c r="E2778" s="186"/>
      <c r="F2778" s="40"/>
      <c r="G2778" s="40"/>
      <c r="H2778" s="40" t="s">
        <v>6809</v>
      </c>
      <c r="I2778" s="40" t="s">
        <v>6798</v>
      </c>
      <c r="J2778" s="41">
        <f>479+134+286-12-240+6-200-200-40+2-8+400-8-12+200-2-255-32</f>
        <v>498</v>
      </c>
      <c r="K2778" s="41" t="s">
        <v>21</v>
      </c>
      <c r="L2778" s="41" t="s">
        <v>5970</v>
      </c>
      <c r="M2778" s="41">
        <v>99</v>
      </c>
      <c r="N2778" s="41" t="s">
        <v>34</v>
      </c>
      <c r="O2778" s="41"/>
      <c r="P2778" s="41"/>
      <c r="Q2778" s="41"/>
      <c r="R2778" s="41"/>
      <c r="S2778" s="41"/>
      <c r="T2778" s="41"/>
    </row>
    <row r="2779" spans="1:21" s="98" customFormat="1" x14ac:dyDescent="0.2">
      <c r="A2779" s="41">
        <v>6</v>
      </c>
      <c r="B2779" s="40" t="s">
        <v>6810</v>
      </c>
      <c r="C2779" s="40"/>
      <c r="D2779" s="40"/>
      <c r="E2779" s="186"/>
      <c r="F2779" s="40"/>
      <c r="G2779" s="40"/>
      <c r="H2779" s="40" t="s">
        <v>6811</v>
      </c>
      <c r="I2779" s="40" t="s">
        <v>6798</v>
      </c>
      <c r="J2779" s="41">
        <f>79-32</f>
        <v>47</v>
      </c>
      <c r="K2779" s="41" t="s">
        <v>21</v>
      </c>
      <c r="L2779" s="41" t="s">
        <v>5970</v>
      </c>
      <c r="M2779" s="41">
        <v>99</v>
      </c>
      <c r="N2779" s="41" t="s">
        <v>34</v>
      </c>
      <c r="O2779" s="41"/>
      <c r="P2779" s="41"/>
      <c r="Q2779" s="41"/>
      <c r="R2779" s="41"/>
      <c r="S2779" s="41"/>
      <c r="T2779" s="41"/>
      <c r="U2779" s="98" t="s">
        <v>321</v>
      </c>
    </row>
    <row r="2780" spans="1:21" s="98" customFormat="1" x14ac:dyDescent="0.2">
      <c r="A2780" s="41">
        <v>7</v>
      </c>
      <c r="B2780" s="40" t="s">
        <v>6545</v>
      </c>
      <c r="C2780" s="40"/>
      <c r="D2780" s="40"/>
      <c r="E2780" s="186"/>
      <c r="F2780" s="40"/>
      <c r="G2780" s="40"/>
      <c r="H2780" s="40" t="s">
        <v>6812</v>
      </c>
      <c r="I2780" s="40" t="s">
        <v>6798</v>
      </c>
      <c r="J2780" s="41">
        <f>40-40+40+170</f>
        <v>210</v>
      </c>
      <c r="K2780" s="41" t="s">
        <v>21</v>
      </c>
      <c r="L2780" s="41" t="s">
        <v>5970</v>
      </c>
      <c r="M2780" s="41">
        <v>99</v>
      </c>
      <c r="N2780" s="41" t="s">
        <v>34</v>
      </c>
      <c r="O2780" s="41"/>
      <c r="P2780" s="41"/>
      <c r="Q2780" s="41"/>
      <c r="R2780" s="41"/>
      <c r="S2780" s="41"/>
      <c r="T2780" s="41"/>
      <c r="U2780" s="98" t="s">
        <v>321</v>
      </c>
    </row>
    <row r="2781" spans="1:21" s="98" customFormat="1" x14ac:dyDescent="0.2">
      <c r="A2781" s="41">
        <v>8</v>
      </c>
      <c r="B2781" s="40" t="s">
        <v>6813</v>
      </c>
      <c r="C2781" s="40"/>
      <c r="D2781" s="40"/>
      <c r="E2781" s="186"/>
      <c r="F2781" s="40"/>
      <c r="G2781" s="40"/>
      <c r="H2781" s="40" t="s">
        <v>6814</v>
      </c>
      <c r="I2781" s="40" t="s">
        <v>6798</v>
      </c>
      <c r="J2781" s="41">
        <f>30</f>
        <v>30</v>
      </c>
      <c r="K2781" s="41" t="s">
        <v>21</v>
      </c>
      <c r="L2781" s="41" t="s">
        <v>5970</v>
      </c>
      <c r="M2781" s="41">
        <v>99</v>
      </c>
      <c r="N2781" s="41" t="s">
        <v>34</v>
      </c>
      <c r="O2781" s="41"/>
      <c r="P2781" s="41"/>
      <c r="Q2781" s="41"/>
      <c r="R2781" s="41"/>
      <c r="S2781" s="41"/>
      <c r="T2781" s="41"/>
    </row>
    <row r="2782" spans="1:21" s="98" customFormat="1" x14ac:dyDescent="0.2">
      <c r="A2782" s="41">
        <v>9</v>
      </c>
      <c r="B2782" s="40" t="s">
        <v>6815</v>
      </c>
      <c r="C2782" s="40"/>
      <c r="D2782" s="40"/>
      <c r="E2782" s="186"/>
      <c r="F2782" s="40"/>
      <c r="G2782" s="40"/>
      <c r="H2782" s="40" t="s">
        <v>6816</v>
      </c>
      <c r="I2782" s="40" t="s">
        <v>6798</v>
      </c>
      <c r="J2782" s="41">
        <f>36</f>
        <v>36</v>
      </c>
      <c r="K2782" s="41" t="s">
        <v>21</v>
      </c>
      <c r="L2782" s="41" t="s">
        <v>5970</v>
      </c>
      <c r="M2782" s="41">
        <v>99</v>
      </c>
      <c r="N2782" s="41" t="s">
        <v>34</v>
      </c>
      <c r="O2782" s="41"/>
      <c r="P2782" s="41"/>
      <c r="Q2782" s="41"/>
      <c r="R2782" s="41"/>
      <c r="S2782" s="41"/>
      <c r="T2782" s="41"/>
    </row>
    <row r="2783" spans="1:21" s="98" customFormat="1" x14ac:dyDescent="0.2">
      <c r="A2783" s="41">
        <v>10</v>
      </c>
      <c r="B2783" s="40" t="s">
        <v>6817</v>
      </c>
      <c r="C2783" s="40"/>
      <c r="D2783" s="40"/>
      <c r="E2783" s="186"/>
      <c r="F2783" s="40"/>
      <c r="G2783" s="40"/>
      <c r="H2783" s="40" t="s">
        <v>6818</v>
      </c>
      <c r="I2783" s="40" t="s">
        <v>6798</v>
      </c>
      <c r="J2783" s="41">
        <f>2</f>
        <v>2</v>
      </c>
      <c r="K2783" s="41" t="s">
        <v>21</v>
      </c>
      <c r="L2783" s="41" t="s">
        <v>5970</v>
      </c>
      <c r="M2783" s="41">
        <v>99</v>
      </c>
      <c r="N2783" s="41" t="s">
        <v>34</v>
      </c>
      <c r="O2783" s="41"/>
      <c r="P2783" s="41"/>
      <c r="Q2783" s="41"/>
      <c r="R2783" s="41"/>
      <c r="S2783" s="41"/>
      <c r="T2783" s="41"/>
    </row>
    <row r="2784" spans="1:21" s="98" customFormat="1" x14ac:dyDescent="0.2">
      <c r="A2784" s="41">
        <v>11</v>
      </c>
      <c r="B2784" s="40" t="s">
        <v>6819</v>
      </c>
      <c r="C2784" s="40"/>
      <c r="D2784" s="40"/>
      <c r="E2784" s="186"/>
      <c r="F2784" s="40"/>
      <c r="G2784" s="40"/>
      <c r="H2784" s="40" t="s">
        <v>6820</v>
      </c>
      <c r="I2784" s="40" t="s">
        <v>6798</v>
      </c>
      <c r="J2784" s="41">
        <f>52</f>
        <v>52</v>
      </c>
      <c r="K2784" s="41" t="s">
        <v>21</v>
      </c>
      <c r="L2784" s="41" t="s">
        <v>5970</v>
      </c>
      <c r="M2784" s="41">
        <v>99</v>
      </c>
      <c r="N2784" s="41" t="s">
        <v>34</v>
      </c>
      <c r="O2784" s="41"/>
      <c r="P2784" s="41"/>
      <c r="Q2784" s="41"/>
      <c r="R2784" s="41"/>
      <c r="S2784" s="41"/>
      <c r="T2784" s="41"/>
    </row>
    <row r="2785" spans="1:20" s="98" customFormat="1" x14ac:dyDescent="0.2">
      <c r="A2785" s="41">
        <v>12</v>
      </c>
      <c r="B2785" s="40" t="s">
        <v>6821</v>
      </c>
      <c r="C2785" s="40"/>
      <c r="D2785" s="40"/>
      <c r="E2785" s="186"/>
      <c r="F2785" s="40"/>
      <c r="G2785" s="40"/>
      <c r="H2785" s="40" t="s">
        <v>6822</v>
      </c>
      <c r="I2785" s="40" t="s">
        <v>6798</v>
      </c>
      <c r="J2785" s="41">
        <f>100</f>
        <v>100</v>
      </c>
      <c r="K2785" s="41" t="s">
        <v>21</v>
      </c>
      <c r="L2785" s="41" t="s">
        <v>5970</v>
      </c>
      <c r="M2785" s="41">
        <v>99</v>
      </c>
      <c r="N2785" s="41" t="s">
        <v>34</v>
      </c>
      <c r="O2785" s="41"/>
      <c r="P2785" s="41"/>
      <c r="Q2785" s="41"/>
      <c r="R2785" s="41"/>
      <c r="S2785" s="41"/>
      <c r="T2785" s="41"/>
    </row>
    <row r="2786" spans="1:20" s="98" customFormat="1" x14ac:dyDescent="0.2">
      <c r="A2786" s="41">
        <v>13</v>
      </c>
      <c r="B2786" s="40" t="s">
        <v>6823</v>
      </c>
      <c r="C2786" s="40"/>
      <c r="D2786" s="40"/>
      <c r="E2786" s="186"/>
      <c r="F2786" s="40"/>
      <c r="G2786" s="40"/>
      <c r="H2786" s="40" t="s">
        <v>6824</v>
      </c>
      <c r="I2786" s="40" t="s">
        <v>6798</v>
      </c>
      <c r="J2786" s="41">
        <f>46</f>
        <v>46</v>
      </c>
      <c r="K2786" s="41" t="s">
        <v>21</v>
      </c>
      <c r="L2786" s="41" t="s">
        <v>5970</v>
      </c>
      <c r="M2786" s="41">
        <v>99</v>
      </c>
      <c r="N2786" s="41" t="s">
        <v>34</v>
      </c>
      <c r="O2786" s="41"/>
      <c r="P2786" s="41"/>
      <c r="Q2786" s="41"/>
      <c r="R2786" s="41"/>
      <c r="S2786" s="41"/>
      <c r="T2786" s="41"/>
    </row>
    <row r="2787" spans="1:20" s="98" customFormat="1" x14ac:dyDescent="0.2">
      <c r="A2787" s="41">
        <v>14</v>
      </c>
      <c r="B2787" s="40" t="s">
        <v>6825</v>
      </c>
      <c r="C2787" s="40"/>
      <c r="D2787" s="40"/>
      <c r="E2787" s="186"/>
      <c r="F2787" s="40"/>
      <c r="G2787" s="40"/>
      <c r="H2787" s="40" t="s">
        <v>6826</v>
      </c>
      <c r="I2787" s="40" t="s">
        <v>6798</v>
      </c>
      <c r="J2787" s="41">
        <f>6</f>
        <v>6</v>
      </c>
      <c r="K2787" s="41" t="s">
        <v>21</v>
      </c>
      <c r="L2787" s="41" t="s">
        <v>5970</v>
      </c>
      <c r="M2787" s="41">
        <v>99</v>
      </c>
      <c r="N2787" s="41" t="s">
        <v>34</v>
      </c>
      <c r="O2787" s="41"/>
      <c r="P2787" s="41"/>
      <c r="Q2787" s="41"/>
      <c r="R2787" s="41"/>
      <c r="S2787" s="41"/>
      <c r="T2787" s="41"/>
    </row>
    <row r="2788" spans="1:20" s="98" customFormat="1" x14ac:dyDescent="0.2">
      <c r="A2788" s="41">
        <v>15</v>
      </c>
      <c r="B2788" s="40" t="s">
        <v>6827</v>
      </c>
      <c r="C2788" s="40"/>
      <c r="D2788" s="40"/>
      <c r="E2788" s="186"/>
      <c r="F2788" s="40"/>
      <c r="G2788" s="40"/>
      <c r="H2788" s="40" t="s">
        <v>6828</v>
      </c>
      <c r="I2788" s="40" t="s">
        <v>6798</v>
      </c>
      <c r="J2788" s="41">
        <f>79</f>
        <v>79</v>
      </c>
      <c r="K2788" s="41" t="s">
        <v>21</v>
      </c>
      <c r="L2788" s="41" t="s">
        <v>5970</v>
      </c>
      <c r="M2788" s="41">
        <v>99</v>
      </c>
      <c r="N2788" s="41" t="s">
        <v>34</v>
      </c>
      <c r="O2788" s="41"/>
      <c r="P2788" s="41"/>
      <c r="Q2788" s="41"/>
      <c r="R2788" s="41"/>
      <c r="S2788" s="41"/>
      <c r="T2788" s="41"/>
    </row>
    <row r="2789" spans="1:20" s="98" customFormat="1" x14ac:dyDescent="0.2">
      <c r="A2789" s="98">
        <v>16</v>
      </c>
      <c r="B2789" s="40" t="s">
        <v>6829</v>
      </c>
      <c r="C2789" s="40"/>
      <c r="D2789" s="40"/>
      <c r="E2789" s="186"/>
      <c r="F2789" s="40"/>
      <c r="G2789" s="40"/>
      <c r="H2789" s="40" t="s">
        <v>6830</v>
      </c>
      <c r="I2789" s="40" t="s">
        <v>6830</v>
      </c>
      <c r="J2789" s="41">
        <f>10</f>
        <v>10</v>
      </c>
      <c r="K2789" s="41" t="s">
        <v>292</v>
      </c>
      <c r="L2789" s="41" t="s">
        <v>5970</v>
      </c>
      <c r="M2789" s="41">
        <v>99</v>
      </c>
      <c r="N2789" s="41" t="s">
        <v>6401</v>
      </c>
      <c r="O2789" s="41"/>
      <c r="P2789" s="41"/>
      <c r="Q2789" s="107"/>
      <c r="R2789" s="41"/>
      <c r="S2789" s="41"/>
      <c r="T2789" s="41"/>
    </row>
    <row r="2790" spans="1:20" s="98" customFormat="1" x14ac:dyDescent="0.2">
      <c r="A2790" s="98">
        <v>17</v>
      </c>
      <c r="B2790" s="40" t="s">
        <v>6408</v>
      </c>
      <c r="C2790" s="40"/>
      <c r="D2790" s="40"/>
      <c r="E2790" s="186"/>
      <c r="F2790" s="40"/>
      <c r="G2790" s="40"/>
      <c r="H2790" s="40" t="s">
        <v>6830</v>
      </c>
      <c r="I2790" s="40" t="s">
        <v>6830</v>
      </c>
      <c r="J2790" s="41">
        <f>10</f>
        <v>10</v>
      </c>
      <c r="K2790" s="41" t="s">
        <v>292</v>
      </c>
      <c r="L2790" s="41" t="s">
        <v>5970</v>
      </c>
      <c r="M2790" s="41">
        <v>99</v>
      </c>
      <c r="N2790" s="41" t="s">
        <v>6401</v>
      </c>
      <c r="O2790" s="41"/>
      <c r="P2790" s="41"/>
      <c r="Q2790" s="107"/>
      <c r="R2790" s="41"/>
      <c r="S2790" s="41"/>
      <c r="T2790" s="41"/>
    </row>
    <row r="2791" spans="1:20" s="98" customFormat="1" x14ac:dyDescent="0.2">
      <c r="A2791" s="41">
        <v>18</v>
      </c>
      <c r="B2791" s="40" t="s">
        <v>6831</v>
      </c>
      <c r="C2791" s="40"/>
      <c r="D2791" s="40"/>
      <c r="E2791" s="186"/>
      <c r="F2791" s="40"/>
      <c r="G2791" s="40"/>
      <c r="H2791" s="40" t="s">
        <v>6830</v>
      </c>
      <c r="I2791" s="40" t="s">
        <v>6830</v>
      </c>
      <c r="J2791" s="41">
        <f>72-7-42+11</f>
        <v>34</v>
      </c>
      <c r="K2791" s="41" t="s">
        <v>21</v>
      </c>
      <c r="L2791" s="41" t="s">
        <v>5970</v>
      </c>
      <c r="M2791" s="41">
        <v>99</v>
      </c>
      <c r="N2791" s="41" t="s">
        <v>34</v>
      </c>
      <c r="O2791" s="41"/>
      <c r="P2791" s="41"/>
      <c r="Q2791" s="41"/>
      <c r="R2791" s="41"/>
      <c r="S2791" s="41"/>
      <c r="T2791" s="41"/>
    </row>
    <row r="2792" spans="1:20" s="98" customFormat="1" x14ac:dyDescent="0.2">
      <c r="A2792" s="41"/>
      <c r="B2792" s="40" t="s">
        <v>6251</v>
      </c>
      <c r="C2792" s="40"/>
      <c r="D2792" s="40"/>
      <c r="E2792" s="186"/>
      <c r="F2792" s="40"/>
      <c r="G2792" s="40"/>
      <c r="H2792" s="40"/>
      <c r="I2792" s="40" t="s">
        <v>6832</v>
      </c>
      <c r="J2792" s="41">
        <f>100-2-26-7-42+11</f>
        <v>34</v>
      </c>
      <c r="K2792" s="41" t="s">
        <v>21</v>
      </c>
      <c r="L2792" s="41" t="s">
        <v>5970</v>
      </c>
      <c r="M2792" s="41">
        <v>99</v>
      </c>
      <c r="N2792" s="41"/>
      <c r="O2792" s="41"/>
      <c r="P2792" s="41"/>
      <c r="Q2792" s="41"/>
      <c r="R2792" s="41"/>
      <c r="S2792" s="41"/>
      <c r="T2792" s="41"/>
    </row>
    <row r="2793" spans="1:20" s="98" customFormat="1" x14ac:dyDescent="0.2">
      <c r="A2793" s="41" t="s">
        <v>6833</v>
      </c>
      <c r="B2793" s="40"/>
      <c r="C2793" s="40"/>
      <c r="D2793" s="40"/>
      <c r="E2793" s="186"/>
      <c r="F2793" s="40"/>
      <c r="G2793" s="40"/>
      <c r="H2793" s="40"/>
      <c r="I2793" s="40"/>
      <c r="J2793" s="41"/>
      <c r="K2793" s="41"/>
      <c r="L2793" s="41"/>
      <c r="M2793" s="41"/>
      <c r="N2793" s="41"/>
      <c r="O2793" s="41"/>
      <c r="P2793" s="41"/>
      <c r="Q2793" s="41"/>
      <c r="R2793" s="41"/>
      <c r="S2793" s="41"/>
      <c r="T2793" s="41"/>
    </row>
    <row r="2794" spans="1:20" s="98" customFormat="1" x14ac:dyDescent="0.2">
      <c r="A2794" s="41"/>
      <c r="B2794" s="40" t="s">
        <v>6834</v>
      </c>
      <c r="C2794" s="40"/>
      <c r="D2794" s="40"/>
      <c r="E2794" s="186"/>
      <c r="F2794" s="40"/>
      <c r="G2794" s="40"/>
      <c r="H2794" s="40"/>
      <c r="I2794" s="40" t="s">
        <v>6835</v>
      </c>
      <c r="J2794" s="41">
        <f>3</f>
        <v>3</v>
      </c>
      <c r="K2794" s="41" t="s">
        <v>21</v>
      </c>
      <c r="L2794" s="41" t="s">
        <v>5970</v>
      </c>
      <c r="M2794" s="41">
        <v>97</v>
      </c>
      <c r="N2794" s="41"/>
      <c r="O2794" s="41"/>
      <c r="P2794" s="41"/>
      <c r="Q2794" s="41"/>
      <c r="R2794" s="41"/>
      <c r="S2794" s="41"/>
      <c r="T2794" s="41"/>
    </row>
    <row r="2795" spans="1:20" s="98" customFormat="1" x14ac:dyDescent="0.2">
      <c r="A2795" s="41"/>
      <c r="B2795" s="40" t="s">
        <v>6836</v>
      </c>
      <c r="C2795" s="40"/>
      <c r="D2795" s="40"/>
      <c r="E2795" s="186"/>
      <c r="F2795" s="40"/>
      <c r="G2795" s="40"/>
      <c r="H2795" s="40"/>
      <c r="I2795" s="40" t="s">
        <v>6837</v>
      </c>
      <c r="J2795" s="41">
        <f>9-1-1</f>
        <v>7</v>
      </c>
      <c r="K2795" s="41" t="s">
        <v>21</v>
      </c>
      <c r="L2795" s="41" t="s">
        <v>5970</v>
      </c>
      <c r="M2795" s="41">
        <v>97</v>
      </c>
      <c r="N2795" s="41"/>
      <c r="O2795" s="41"/>
      <c r="P2795" s="41"/>
      <c r="Q2795" s="41"/>
      <c r="R2795" s="41"/>
      <c r="S2795" s="41"/>
      <c r="T2795" s="41"/>
    </row>
    <row r="2796" spans="1:20" x14ac:dyDescent="0.2">
      <c r="A2796" s="5">
        <v>176</v>
      </c>
      <c r="B2796" s="8" t="s">
        <v>6838</v>
      </c>
      <c r="H2796" s="8" t="s">
        <v>6839</v>
      </c>
      <c r="I2796" s="8" t="s">
        <v>6839</v>
      </c>
      <c r="J2796" s="154">
        <f>110-4-2-2-12-6-2-8</f>
        <v>74</v>
      </c>
      <c r="K2796" s="5" t="s">
        <v>21</v>
      </c>
      <c r="L2796" s="5" t="s">
        <v>5970</v>
      </c>
      <c r="M2796" s="5" t="s">
        <v>6840</v>
      </c>
      <c r="N2796" s="5" t="s">
        <v>71</v>
      </c>
      <c r="O2796" s="5" t="s">
        <v>266</v>
      </c>
      <c r="Q2796" s="5" t="s">
        <v>1841</v>
      </c>
    </row>
    <row r="2797" spans="1:20" x14ac:dyDescent="0.2">
      <c r="A2797" s="5">
        <v>348</v>
      </c>
      <c r="B2797" s="8" t="s">
        <v>6841</v>
      </c>
      <c r="H2797" s="8" t="s">
        <v>6842</v>
      </c>
      <c r="I2797" s="8" t="s">
        <v>6842</v>
      </c>
      <c r="J2797" s="5">
        <v>3</v>
      </c>
      <c r="K2797" s="5" t="s">
        <v>292</v>
      </c>
      <c r="L2797" s="5" t="s">
        <v>5970</v>
      </c>
      <c r="M2797" s="5">
        <v>104</v>
      </c>
      <c r="N2797" s="5" t="s">
        <v>6843</v>
      </c>
      <c r="Q2797" s="5" t="s">
        <v>6844</v>
      </c>
    </row>
    <row r="2798" spans="1:20" x14ac:dyDescent="0.2">
      <c r="A2798" s="5">
        <v>364</v>
      </c>
      <c r="B2798" s="8">
        <v>701012</v>
      </c>
      <c r="H2798" s="8" t="s">
        <v>6845</v>
      </c>
      <c r="I2798" s="8" t="s">
        <v>6846</v>
      </c>
      <c r="J2798" s="5">
        <f>1</f>
        <v>1</v>
      </c>
      <c r="K2798" s="5" t="s">
        <v>292</v>
      </c>
      <c r="L2798" s="5" t="s">
        <v>5970</v>
      </c>
      <c r="M2798" s="5">
        <v>105</v>
      </c>
      <c r="N2798" s="5" t="s">
        <v>266</v>
      </c>
      <c r="O2798" s="5" t="s">
        <v>266</v>
      </c>
      <c r="Q2798" s="5" t="s">
        <v>6847</v>
      </c>
    </row>
    <row r="2799" spans="1:20" x14ac:dyDescent="0.2">
      <c r="A2799" s="5"/>
      <c r="B2799" s="8" t="s">
        <v>6848</v>
      </c>
      <c r="H2799" s="8" t="s">
        <v>6849</v>
      </c>
      <c r="I2799" s="8" t="s">
        <v>6849</v>
      </c>
      <c r="J2799" s="5">
        <f>3</f>
        <v>3</v>
      </c>
      <c r="K2799" s="5" t="s">
        <v>292</v>
      </c>
      <c r="L2799" s="5" t="s">
        <v>5970</v>
      </c>
      <c r="M2799" s="5">
        <v>105</v>
      </c>
      <c r="N2799" s="5" t="s">
        <v>266</v>
      </c>
      <c r="Q2799" s="107" t="s">
        <v>6850</v>
      </c>
    </row>
    <row r="2800" spans="1:20" x14ac:dyDescent="0.2">
      <c r="A2800" s="5"/>
      <c r="B2800" s="8" t="s">
        <v>6851</v>
      </c>
      <c r="H2800" s="8" t="s">
        <v>6852</v>
      </c>
      <c r="I2800" s="8" t="s">
        <v>6853</v>
      </c>
      <c r="J2800" s="5">
        <f>60-7-30-23+60-7+30-30</f>
        <v>53</v>
      </c>
      <c r="K2800" s="5" t="s">
        <v>292</v>
      </c>
      <c r="L2800" s="5" t="s">
        <v>5970</v>
      </c>
      <c r="M2800" s="5">
        <v>112</v>
      </c>
      <c r="N2800" s="5" t="s">
        <v>266</v>
      </c>
    </row>
    <row r="2801" spans="1:17" x14ac:dyDescent="0.2">
      <c r="A2801" s="5"/>
      <c r="B2801" s="8" t="s">
        <v>6854</v>
      </c>
      <c r="I2801" s="8" t="s">
        <v>6855</v>
      </c>
      <c r="J2801" s="5">
        <f>38</f>
        <v>38</v>
      </c>
      <c r="K2801" s="5" t="s">
        <v>292</v>
      </c>
      <c r="L2801" s="5" t="s">
        <v>5970</v>
      </c>
      <c r="M2801" s="5">
        <v>106</v>
      </c>
    </row>
    <row r="2802" spans="1:17" x14ac:dyDescent="0.2">
      <c r="A2802" s="5">
        <v>67</v>
      </c>
      <c r="B2802" s="8" t="s">
        <v>6856</v>
      </c>
      <c r="H2802" s="8" t="s">
        <v>6857</v>
      </c>
      <c r="I2802" s="8" t="s">
        <v>6857</v>
      </c>
      <c r="J2802" s="5">
        <f>4+24-5-5+10-5-5+5-5-5-1-1-6-2</f>
        <v>3</v>
      </c>
      <c r="K2802" s="5" t="s">
        <v>21</v>
      </c>
      <c r="L2802" s="5" t="s">
        <v>5970</v>
      </c>
      <c r="M2802" s="5">
        <v>107</v>
      </c>
      <c r="N2802" s="5" t="s">
        <v>71</v>
      </c>
      <c r="O2802" s="5" t="s">
        <v>266</v>
      </c>
      <c r="Q2802" s="5" t="s">
        <v>553</v>
      </c>
    </row>
    <row r="2803" spans="1:17" x14ac:dyDescent="0.2">
      <c r="A2803" s="5"/>
      <c r="B2803" s="8" t="s">
        <v>6858</v>
      </c>
      <c r="H2803" s="8" t="s">
        <v>6859</v>
      </c>
      <c r="I2803" s="8" t="s">
        <v>6859</v>
      </c>
      <c r="J2803" s="5">
        <f>1</f>
        <v>1</v>
      </c>
      <c r="K2803" s="5" t="s">
        <v>21</v>
      </c>
      <c r="L2803" s="5" t="s">
        <v>5970</v>
      </c>
      <c r="M2803" s="5">
        <v>108</v>
      </c>
      <c r="N2803" s="5" t="s">
        <v>71</v>
      </c>
      <c r="Q2803" s="107" t="s">
        <v>6860</v>
      </c>
    </row>
    <row r="2804" spans="1:17" x14ac:dyDescent="0.2">
      <c r="A2804" s="5"/>
      <c r="B2804" s="130" t="s">
        <v>6861</v>
      </c>
      <c r="H2804" s="130" t="s">
        <v>6862</v>
      </c>
      <c r="I2804" s="130" t="s">
        <v>6862</v>
      </c>
      <c r="J2804" s="5">
        <f>1</f>
        <v>1</v>
      </c>
      <c r="K2804" s="5" t="s">
        <v>21</v>
      </c>
      <c r="L2804" s="5" t="s">
        <v>5970</v>
      </c>
      <c r="M2804" s="5">
        <v>108</v>
      </c>
      <c r="N2804" s="5" t="s">
        <v>5626</v>
      </c>
      <c r="Q2804" s="107"/>
    </row>
    <row r="2805" spans="1:17" x14ac:dyDescent="0.2">
      <c r="A2805" s="5"/>
      <c r="B2805" s="130" t="s">
        <v>6863</v>
      </c>
      <c r="H2805" s="130" t="s">
        <v>6864</v>
      </c>
      <c r="I2805" s="130" t="s">
        <v>6864</v>
      </c>
      <c r="J2805" s="5">
        <f>1</f>
        <v>1</v>
      </c>
      <c r="K2805" s="5" t="s">
        <v>21</v>
      </c>
      <c r="L2805" s="5" t="s">
        <v>5970</v>
      </c>
      <c r="M2805" s="5">
        <v>108</v>
      </c>
      <c r="N2805" s="5" t="s">
        <v>5626</v>
      </c>
      <c r="Q2805" s="107"/>
    </row>
    <row r="2806" spans="1:17" x14ac:dyDescent="0.2">
      <c r="A2806" s="5"/>
      <c r="B2806" s="130" t="s">
        <v>6865</v>
      </c>
      <c r="H2806" s="130" t="s">
        <v>6866</v>
      </c>
      <c r="I2806" s="130" t="s">
        <v>6866</v>
      </c>
      <c r="J2806" s="5">
        <f>1</f>
        <v>1</v>
      </c>
      <c r="K2806" s="5" t="s">
        <v>21</v>
      </c>
      <c r="L2806" s="5" t="s">
        <v>5970</v>
      </c>
      <c r="M2806" s="5">
        <v>108</v>
      </c>
      <c r="N2806" s="5" t="s">
        <v>5626</v>
      </c>
      <c r="Q2806" s="107"/>
    </row>
    <row r="2807" spans="1:17" x14ac:dyDescent="0.2">
      <c r="A2807" s="5">
        <v>37</v>
      </c>
      <c r="B2807" s="8" t="s">
        <v>6867</v>
      </c>
      <c r="H2807" s="8" t="s">
        <v>6868</v>
      </c>
      <c r="I2807" s="8" t="s">
        <v>6868</v>
      </c>
      <c r="J2807" s="5">
        <v>0</v>
      </c>
      <c r="K2807" s="5" t="s">
        <v>292</v>
      </c>
      <c r="L2807" s="5" t="s">
        <v>5970</v>
      </c>
      <c r="M2807" s="5">
        <v>109</v>
      </c>
      <c r="N2807" s="5" t="s">
        <v>71</v>
      </c>
      <c r="O2807" s="5" t="s">
        <v>5626</v>
      </c>
      <c r="Q2807" s="5" t="s">
        <v>6869</v>
      </c>
    </row>
    <row r="2808" spans="1:17" x14ac:dyDescent="0.2">
      <c r="A2808" s="5">
        <v>232</v>
      </c>
      <c r="B2808" s="8" t="s">
        <v>6870</v>
      </c>
      <c r="H2808" s="8" t="s">
        <v>6871</v>
      </c>
      <c r="I2808" s="8" t="s">
        <v>6871</v>
      </c>
      <c r="J2808" s="5">
        <v>4</v>
      </c>
      <c r="K2808" s="5" t="s">
        <v>292</v>
      </c>
      <c r="L2808" s="5" t="s">
        <v>5970</v>
      </c>
      <c r="M2808" s="5">
        <v>109</v>
      </c>
      <c r="N2808" s="5" t="s">
        <v>71</v>
      </c>
      <c r="O2808" s="5" t="s">
        <v>5626</v>
      </c>
      <c r="Q2808" s="5" t="s">
        <v>6869</v>
      </c>
    </row>
    <row r="2809" spans="1:17" x14ac:dyDescent="0.2">
      <c r="A2809" s="5">
        <v>299</v>
      </c>
      <c r="B2809" s="8" t="s">
        <v>6872</v>
      </c>
      <c r="H2809" s="8" t="s">
        <v>6873</v>
      </c>
      <c r="I2809" s="8" t="s">
        <v>6873</v>
      </c>
      <c r="J2809" s="5">
        <v>4</v>
      </c>
      <c r="K2809" s="5" t="s">
        <v>292</v>
      </c>
      <c r="L2809" s="5" t="s">
        <v>5970</v>
      </c>
      <c r="M2809" s="5">
        <v>109</v>
      </c>
      <c r="N2809" s="5" t="s">
        <v>71</v>
      </c>
      <c r="O2809" s="5" t="s">
        <v>5626</v>
      </c>
      <c r="Q2809" s="5" t="s">
        <v>6874</v>
      </c>
    </row>
    <row r="2810" spans="1:17" x14ac:dyDescent="0.2">
      <c r="A2810" s="5"/>
      <c r="B2810" s="8" t="s">
        <v>6875</v>
      </c>
      <c r="H2810" s="8" t="s">
        <v>6876</v>
      </c>
      <c r="I2810" s="8" t="s">
        <v>6876</v>
      </c>
      <c r="J2810" s="5">
        <v>0</v>
      </c>
      <c r="K2810" s="5" t="s">
        <v>292</v>
      </c>
      <c r="L2810" s="5" t="s">
        <v>5970</v>
      </c>
      <c r="M2810" s="5">
        <v>109</v>
      </c>
      <c r="N2810" s="5" t="s">
        <v>71</v>
      </c>
      <c r="O2810" s="5" t="s">
        <v>5626</v>
      </c>
    </row>
    <row r="2811" spans="1:17" x14ac:dyDescent="0.2">
      <c r="A2811" s="5">
        <v>108</v>
      </c>
      <c r="B2811" s="8" t="s">
        <v>6877</v>
      </c>
      <c r="H2811" s="8" t="s">
        <v>6878</v>
      </c>
      <c r="I2811" s="8" t="s">
        <v>6878</v>
      </c>
      <c r="J2811" s="5">
        <f>24-1</f>
        <v>23</v>
      </c>
      <c r="K2811" s="5" t="s">
        <v>292</v>
      </c>
      <c r="L2811" s="5" t="s">
        <v>5970</v>
      </c>
      <c r="M2811" s="5">
        <v>110</v>
      </c>
      <c r="N2811" s="5" t="s">
        <v>71</v>
      </c>
      <c r="O2811" s="5" t="s">
        <v>5626</v>
      </c>
      <c r="Q2811" s="5" t="s">
        <v>6869</v>
      </c>
    </row>
    <row r="2812" spans="1:17" x14ac:dyDescent="0.2">
      <c r="A2812" s="5">
        <v>161</v>
      </c>
      <c r="B2812" s="8" t="s">
        <v>6879</v>
      </c>
      <c r="D2812" s="8" t="s">
        <v>524</v>
      </c>
      <c r="E2812" s="24">
        <v>43692</v>
      </c>
      <c r="F2812" s="8" t="s">
        <v>259</v>
      </c>
      <c r="G2812" s="8" t="s">
        <v>260</v>
      </c>
      <c r="H2812" s="8" t="s">
        <v>6880</v>
      </c>
      <c r="I2812" s="8" t="s">
        <v>6878</v>
      </c>
      <c r="J2812" s="5">
        <f>19-6</f>
        <v>13</v>
      </c>
      <c r="K2812" s="5" t="s">
        <v>292</v>
      </c>
      <c r="L2812" s="5" t="s">
        <v>5970</v>
      </c>
      <c r="M2812" s="5">
        <v>110</v>
      </c>
      <c r="N2812" s="5" t="s">
        <v>71</v>
      </c>
      <c r="O2812" s="5" t="s">
        <v>5626</v>
      </c>
      <c r="Q2812" s="5" t="s">
        <v>6869</v>
      </c>
    </row>
    <row r="2813" spans="1:17" x14ac:dyDescent="0.2">
      <c r="A2813" s="5"/>
      <c r="B2813" s="8" t="s">
        <v>6881</v>
      </c>
      <c r="H2813" s="8" t="s">
        <v>6882</v>
      </c>
      <c r="I2813" s="8" t="s">
        <v>6882</v>
      </c>
      <c r="J2813" s="5">
        <f>0</f>
        <v>0</v>
      </c>
      <c r="K2813" s="5" t="s">
        <v>292</v>
      </c>
      <c r="L2813" s="5" t="s">
        <v>5970</v>
      </c>
      <c r="M2813" s="5">
        <v>112</v>
      </c>
      <c r="N2813" s="5" t="s">
        <v>5626</v>
      </c>
      <c r="Q2813" s="107" t="s">
        <v>6883</v>
      </c>
    </row>
    <row r="2814" spans="1:17" x14ac:dyDescent="0.2">
      <c r="A2814" s="5">
        <v>296</v>
      </c>
      <c r="B2814" s="8" t="s">
        <v>6884</v>
      </c>
      <c r="H2814" s="8" t="s">
        <v>6885</v>
      </c>
      <c r="I2814" s="8" t="s">
        <v>6885</v>
      </c>
      <c r="J2814" s="5">
        <f>4+9</f>
        <v>13</v>
      </c>
      <c r="K2814" s="5" t="s">
        <v>292</v>
      </c>
      <c r="L2814" s="5" t="s">
        <v>5970</v>
      </c>
      <c r="M2814" s="5">
        <v>114</v>
      </c>
      <c r="N2814" s="5" t="s">
        <v>71</v>
      </c>
      <c r="O2814" s="5" t="s">
        <v>5626</v>
      </c>
      <c r="Q2814" s="5" t="s">
        <v>6886</v>
      </c>
    </row>
    <row r="2815" spans="1:17" x14ac:dyDescent="0.2">
      <c r="A2815" s="5">
        <v>298</v>
      </c>
      <c r="B2815" s="8" t="s">
        <v>6887</v>
      </c>
      <c r="H2815" s="8" t="s">
        <v>6888</v>
      </c>
      <c r="I2815" s="8" t="s">
        <v>6888</v>
      </c>
      <c r="J2815" s="5">
        <f>4-2+9</f>
        <v>11</v>
      </c>
      <c r="K2815" s="5" t="s">
        <v>292</v>
      </c>
      <c r="L2815" s="5" t="s">
        <v>5970</v>
      </c>
      <c r="M2815" s="5">
        <v>115</v>
      </c>
      <c r="N2815" s="5" t="s">
        <v>71</v>
      </c>
      <c r="O2815" s="5" t="s">
        <v>5626</v>
      </c>
      <c r="Q2815" s="5" t="s">
        <v>6886</v>
      </c>
    </row>
    <row r="2816" spans="1:17" x14ac:dyDescent="0.2">
      <c r="A2816" s="5">
        <v>297</v>
      </c>
      <c r="B2816" s="8" t="s">
        <v>6889</v>
      </c>
      <c r="H2816" s="8" t="s">
        <v>6890</v>
      </c>
      <c r="I2816" s="8" t="s">
        <v>6890</v>
      </c>
      <c r="J2816" s="5">
        <f>4+6-3-4+3-6+9</f>
        <v>9</v>
      </c>
      <c r="K2816" s="5" t="s">
        <v>292</v>
      </c>
      <c r="L2816" s="5" t="s">
        <v>5970</v>
      </c>
      <c r="M2816" s="5">
        <v>116</v>
      </c>
      <c r="N2816" s="5" t="s">
        <v>71</v>
      </c>
      <c r="O2816" s="5" t="s">
        <v>5626</v>
      </c>
      <c r="Q2816" s="5" t="s">
        <v>6886</v>
      </c>
    </row>
    <row r="2817" spans="1:21" x14ac:dyDescent="0.2">
      <c r="A2817" s="5">
        <v>278</v>
      </c>
      <c r="B2817" s="8" t="s">
        <v>6891</v>
      </c>
      <c r="H2817" s="8" t="s">
        <v>6892</v>
      </c>
      <c r="I2817" s="8" t="s">
        <v>6892</v>
      </c>
      <c r="J2817" s="5">
        <f>2-1</f>
        <v>1</v>
      </c>
      <c r="K2817" s="5" t="s">
        <v>292</v>
      </c>
      <c r="L2817" s="5" t="s">
        <v>5970</v>
      </c>
      <c r="M2817" s="5">
        <v>117</v>
      </c>
      <c r="N2817" s="5" t="s">
        <v>71</v>
      </c>
      <c r="O2817" s="5" t="s">
        <v>520</v>
      </c>
      <c r="Q2817" s="5" t="s">
        <v>6893</v>
      </c>
    </row>
    <row r="2818" spans="1:21" x14ac:dyDescent="0.2">
      <c r="A2818" s="5">
        <v>317</v>
      </c>
      <c r="B2818" s="8">
        <v>4792</v>
      </c>
      <c r="H2818" s="8" t="s">
        <v>6894</v>
      </c>
      <c r="I2818" s="8" t="s">
        <v>6894</v>
      </c>
      <c r="J2818" s="5">
        <v>0</v>
      </c>
      <c r="K2818" s="41" t="s">
        <v>292</v>
      </c>
      <c r="L2818" s="5" t="s">
        <v>5970</v>
      </c>
      <c r="M2818" s="5">
        <v>117</v>
      </c>
      <c r="N2818" s="5" t="s">
        <v>71</v>
      </c>
      <c r="O2818" s="5" t="s">
        <v>266</v>
      </c>
      <c r="Q2818" s="5" t="s">
        <v>6893</v>
      </c>
    </row>
    <row r="2819" spans="1:21" x14ac:dyDescent="0.2">
      <c r="A2819" s="5"/>
      <c r="B2819" s="108" t="s">
        <v>6895</v>
      </c>
      <c r="C2819" s="136"/>
      <c r="D2819" s="136"/>
      <c r="E2819" s="137"/>
      <c r="F2819" s="136"/>
      <c r="G2819" s="136"/>
      <c r="H2819" s="108" t="s">
        <v>6896</v>
      </c>
      <c r="I2819" s="108" t="s">
        <v>6896</v>
      </c>
      <c r="J2819" s="138">
        <f>265</f>
        <v>265</v>
      </c>
      <c r="K2819" s="138" t="s">
        <v>292</v>
      </c>
      <c r="L2819" s="5" t="s">
        <v>5970</v>
      </c>
      <c r="M2819" s="138">
        <v>118</v>
      </c>
      <c r="N2819" s="5" t="s">
        <v>5626</v>
      </c>
    </row>
    <row r="2820" spans="1:21" x14ac:dyDescent="0.2">
      <c r="A2820" s="5"/>
      <c r="B2820" s="136" t="s">
        <v>6897</v>
      </c>
      <c r="C2820" s="136"/>
      <c r="D2820" s="136"/>
      <c r="E2820" s="137"/>
      <c r="F2820" s="136"/>
      <c r="G2820" s="136"/>
      <c r="H2820" s="108" t="s">
        <v>6898</v>
      </c>
      <c r="I2820" s="108" t="s">
        <v>6898</v>
      </c>
      <c r="J2820" s="138">
        <v>5</v>
      </c>
      <c r="K2820" s="138" t="s">
        <v>292</v>
      </c>
      <c r="L2820" s="138" t="s">
        <v>5970</v>
      </c>
      <c r="M2820" s="138">
        <v>119</v>
      </c>
      <c r="N2820" s="138" t="s">
        <v>71</v>
      </c>
      <c r="Q2820" s="5" t="s">
        <v>6899</v>
      </c>
    </row>
    <row r="2821" spans="1:21" x14ac:dyDescent="0.2">
      <c r="A2821" s="5"/>
      <c r="B2821" s="8" t="s">
        <v>6900</v>
      </c>
      <c r="H2821" s="8" t="s">
        <v>6901</v>
      </c>
      <c r="I2821" s="8" t="s">
        <v>6901</v>
      </c>
      <c r="J2821" s="5">
        <f>128</f>
        <v>128</v>
      </c>
      <c r="K2821" s="5" t="s">
        <v>21</v>
      </c>
      <c r="L2821" s="5" t="s">
        <v>5970</v>
      </c>
      <c r="M2821" s="5">
        <v>120</v>
      </c>
      <c r="N2821" s="5" t="s">
        <v>6902</v>
      </c>
      <c r="Q2821" s="107" t="s">
        <v>6903</v>
      </c>
    </row>
    <row r="2822" spans="1:21" x14ac:dyDescent="0.2">
      <c r="A2822" s="5">
        <v>1254</v>
      </c>
      <c r="B2822" s="8" t="s">
        <v>6904</v>
      </c>
      <c r="H2822" s="8" t="s">
        <v>6905</v>
      </c>
      <c r="I2822" s="8" t="s">
        <v>6905</v>
      </c>
      <c r="J2822" s="5">
        <f>251-3</f>
        <v>248</v>
      </c>
      <c r="K2822" s="5" t="s">
        <v>6906</v>
      </c>
      <c r="L2822" s="70" t="s">
        <v>6383</v>
      </c>
      <c r="M2822" s="70">
        <v>1</v>
      </c>
      <c r="N2822" s="10" t="s">
        <v>553</v>
      </c>
      <c r="O2822" s="5" t="s">
        <v>6907</v>
      </c>
      <c r="Q2822" s="5" t="s">
        <v>6908</v>
      </c>
    </row>
    <row r="2823" spans="1:21" x14ac:dyDescent="0.2">
      <c r="A2823" s="5">
        <v>1255</v>
      </c>
      <c r="B2823" s="8" t="s">
        <v>6909</v>
      </c>
      <c r="H2823" s="8" t="s">
        <v>6910</v>
      </c>
      <c r="I2823" s="8" t="s">
        <v>6910</v>
      </c>
      <c r="J2823" s="5">
        <f>8+25-1-1-1-2-1</f>
        <v>27</v>
      </c>
      <c r="K2823" s="5" t="s">
        <v>6906</v>
      </c>
      <c r="L2823" s="70" t="s">
        <v>6383</v>
      </c>
      <c r="M2823" s="70">
        <v>2</v>
      </c>
      <c r="N2823" s="10" t="s">
        <v>553</v>
      </c>
      <c r="O2823" s="5" t="s">
        <v>6907</v>
      </c>
      <c r="Q2823" s="5" t="s">
        <v>6911</v>
      </c>
    </row>
    <row r="2824" spans="1:21" x14ac:dyDescent="0.2">
      <c r="A2824" s="5"/>
      <c r="B2824" s="8" t="s">
        <v>6912</v>
      </c>
      <c r="H2824" s="8" t="s">
        <v>6913</v>
      </c>
      <c r="I2824" s="8" t="s">
        <v>6914</v>
      </c>
      <c r="J2824" s="5">
        <f>10-2-8+10-1-1-1-1</f>
        <v>6</v>
      </c>
      <c r="K2824" s="5" t="s">
        <v>848</v>
      </c>
      <c r="L2824" s="70" t="s">
        <v>6383</v>
      </c>
      <c r="M2824" s="70">
        <v>3</v>
      </c>
      <c r="N2824" s="5" t="s">
        <v>2289</v>
      </c>
      <c r="Q2824" s="107" t="s">
        <v>6915</v>
      </c>
    </row>
    <row r="2825" spans="1:21" x14ac:dyDescent="0.2">
      <c r="A2825" s="5">
        <v>361</v>
      </c>
      <c r="B2825" s="8" t="s">
        <v>6916</v>
      </c>
      <c r="H2825" s="8" t="s">
        <v>6917</v>
      </c>
      <c r="I2825" s="8" t="s">
        <v>6917</v>
      </c>
      <c r="J2825" s="5">
        <f>1+10-1-1-1-1</f>
        <v>7</v>
      </c>
      <c r="K2825" s="5" t="s">
        <v>292</v>
      </c>
      <c r="L2825" s="70" t="s">
        <v>6383</v>
      </c>
      <c r="M2825" s="70">
        <v>3</v>
      </c>
      <c r="N2825" s="5" t="s">
        <v>6918</v>
      </c>
      <c r="O2825" s="5" t="s">
        <v>266</v>
      </c>
      <c r="Q2825" s="146" t="s">
        <v>6915</v>
      </c>
    </row>
    <row r="2826" spans="1:21" x14ac:dyDescent="0.2">
      <c r="A2826" s="5">
        <v>243</v>
      </c>
      <c r="B2826" s="8">
        <v>8210</v>
      </c>
      <c r="C2826" s="8" t="s">
        <v>6919</v>
      </c>
      <c r="D2826" s="8" t="s">
        <v>6920</v>
      </c>
      <c r="E2826" s="24">
        <v>43687</v>
      </c>
      <c r="F2826" s="8" t="s">
        <v>259</v>
      </c>
      <c r="G2826" s="8" t="s">
        <v>276</v>
      </c>
      <c r="H2826" s="8" t="s">
        <v>6921</v>
      </c>
      <c r="I2826" s="8" t="s">
        <v>6922</v>
      </c>
      <c r="J2826" s="5">
        <f>5-2-2-1+5-1-1-1-1</f>
        <v>1</v>
      </c>
      <c r="K2826" s="5" t="s">
        <v>292</v>
      </c>
      <c r="L2826" s="70" t="s">
        <v>6383</v>
      </c>
      <c r="M2826" s="70">
        <v>3</v>
      </c>
      <c r="N2826" s="5" t="s">
        <v>6923</v>
      </c>
      <c r="O2826" s="5" t="s">
        <v>520</v>
      </c>
      <c r="Q2826" s="5" t="s">
        <v>6924</v>
      </c>
    </row>
    <row r="2827" spans="1:21" x14ac:dyDescent="0.2">
      <c r="A2827" s="5">
        <v>1256</v>
      </c>
      <c r="H2827" s="8" t="s">
        <v>6925</v>
      </c>
      <c r="I2827" s="8" t="s">
        <v>6925</v>
      </c>
      <c r="J2827" s="5">
        <v>2</v>
      </c>
      <c r="K2827" s="5" t="s">
        <v>21</v>
      </c>
      <c r="L2827" s="70" t="s">
        <v>6383</v>
      </c>
      <c r="M2827" s="70">
        <v>3</v>
      </c>
      <c r="N2827" s="10" t="s">
        <v>553</v>
      </c>
      <c r="O2827" s="5" t="s">
        <v>6907</v>
      </c>
      <c r="S2827" s="5" t="s">
        <v>1139</v>
      </c>
      <c r="U2827" t="s">
        <v>288</v>
      </c>
    </row>
    <row r="2828" spans="1:21" x14ac:dyDescent="0.2">
      <c r="A2828" s="5">
        <v>1257</v>
      </c>
      <c r="H2828" s="8" t="s">
        <v>6926</v>
      </c>
      <c r="I2828" s="8" t="s">
        <v>6926</v>
      </c>
      <c r="J2828" s="5">
        <f>6-1</f>
        <v>5</v>
      </c>
      <c r="K2828" s="5" t="s">
        <v>21</v>
      </c>
      <c r="L2828" s="70" t="s">
        <v>6383</v>
      </c>
      <c r="M2828" s="70">
        <v>3</v>
      </c>
      <c r="N2828" s="10" t="s">
        <v>553</v>
      </c>
      <c r="O2828" s="5" t="s">
        <v>6907</v>
      </c>
      <c r="Q2828" s="5" t="s">
        <v>6927</v>
      </c>
      <c r="U2828" t="s">
        <v>2789</v>
      </c>
    </row>
    <row r="2829" spans="1:21" x14ac:dyDescent="0.2">
      <c r="A2829" s="5">
        <v>1258</v>
      </c>
      <c r="B2829" s="8" t="s">
        <v>6928</v>
      </c>
      <c r="H2829" s="8" t="s">
        <v>6929</v>
      </c>
      <c r="I2829" s="130" t="s">
        <v>6930</v>
      </c>
      <c r="J2829" s="5">
        <f>102-10-90+150</f>
        <v>152</v>
      </c>
      <c r="K2829" s="5" t="s">
        <v>21</v>
      </c>
      <c r="L2829" s="70" t="s">
        <v>6383</v>
      </c>
      <c r="M2829" s="70">
        <v>3</v>
      </c>
      <c r="N2829" s="10" t="s">
        <v>553</v>
      </c>
      <c r="O2829" s="5" t="s">
        <v>6907</v>
      </c>
      <c r="Q2829" s="5" t="s">
        <v>6931</v>
      </c>
    </row>
    <row r="2830" spans="1:21" x14ac:dyDescent="0.2">
      <c r="A2830" s="5">
        <v>1341</v>
      </c>
      <c r="B2830" s="8" t="s">
        <v>6932</v>
      </c>
      <c r="H2830" s="8" t="s">
        <v>6933</v>
      </c>
      <c r="I2830" s="8" t="s">
        <v>6933</v>
      </c>
      <c r="J2830" s="5">
        <f>7</f>
        <v>7</v>
      </c>
      <c r="K2830" s="5" t="s">
        <v>292</v>
      </c>
      <c r="L2830" s="70" t="s">
        <v>6383</v>
      </c>
      <c r="M2830" s="70">
        <v>3</v>
      </c>
      <c r="N2830" s="10" t="s">
        <v>553</v>
      </c>
      <c r="O2830" s="5" t="s">
        <v>6907</v>
      </c>
      <c r="Q2830" s="5" t="s">
        <v>6934</v>
      </c>
    </row>
    <row r="2831" spans="1:21" x14ac:dyDescent="0.2">
      <c r="A2831" s="5">
        <v>1261</v>
      </c>
      <c r="B2831" s="8" t="s">
        <v>6935</v>
      </c>
      <c r="H2831" s="8" t="s">
        <v>6936</v>
      </c>
      <c r="I2831" s="8" t="s">
        <v>6936</v>
      </c>
      <c r="J2831" s="5">
        <f>5-1</f>
        <v>4</v>
      </c>
      <c r="K2831" s="5" t="s">
        <v>21</v>
      </c>
      <c r="L2831" s="70" t="s">
        <v>6383</v>
      </c>
      <c r="M2831" s="70">
        <v>4</v>
      </c>
      <c r="N2831" s="10" t="s">
        <v>553</v>
      </c>
      <c r="O2831" s="5" t="s">
        <v>6907</v>
      </c>
      <c r="Q2831" s="5" t="s">
        <v>6937</v>
      </c>
    </row>
    <row r="2832" spans="1:21" x14ac:dyDescent="0.2">
      <c r="A2832" s="5">
        <v>1259</v>
      </c>
      <c r="B2832" s="11" t="s">
        <v>6938</v>
      </c>
      <c r="C2832" s="11"/>
      <c r="D2832" s="11"/>
      <c r="E2832" s="26"/>
      <c r="F2832" s="11"/>
      <c r="G2832" s="11"/>
      <c r="H2832" s="8" t="s">
        <v>6938</v>
      </c>
      <c r="I2832" s="8" t="s">
        <v>6938</v>
      </c>
      <c r="J2832" s="5">
        <f>18-2-1-6-1+20</f>
        <v>28</v>
      </c>
      <c r="K2832" s="5" t="s">
        <v>21</v>
      </c>
      <c r="L2832" s="5" t="s">
        <v>6383</v>
      </c>
      <c r="M2832" s="5">
        <v>4</v>
      </c>
      <c r="N2832" s="10" t="s">
        <v>553</v>
      </c>
      <c r="O2832" s="5" t="s">
        <v>6907</v>
      </c>
      <c r="Q2832" s="5" t="s">
        <v>6939</v>
      </c>
    </row>
    <row r="2833" spans="1:21" x14ac:dyDescent="0.2">
      <c r="A2833" s="5">
        <v>1260</v>
      </c>
      <c r="B2833" s="8" t="s">
        <v>6940</v>
      </c>
      <c r="H2833" s="8" t="s">
        <v>6941</v>
      </c>
      <c r="I2833" s="8" t="s">
        <v>6941</v>
      </c>
      <c r="J2833" s="5">
        <f>20-3-1</f>
        <v>16</v>
      </c>
      <c r="K2833" s="5" t="s">
        <v>21</v>
      </c>
      <c r="L2833" s="5" t="s">
        <v>6383</v>
      </c>
      <c r="M2833" s="5">
        <v>4</v>
      </c>
      <c r="N2833" s="10" t="s">
        <v>553</v>
      </c>
      <c r="O2833" s="5" t="s">
        <v>6907</v>
      </c>
      <c r="Q2833" s="5" t="s">
        <v>6939</v>
      </c>
    </row>
    <row r="2834" spans="1:21" x14ac:dyDescent="0.2">
      <c r="A2834" s="5">
        <v>1262</v>
      </c>
      <c r="B2834" s="8" t="s">
        <v>6909</v>
      </c>
      <c r="H2834" s="8" t="s">
        <v>6942</v>
      </c>
      <c r="I2834" s="8" t="s">
        <v>6942</v>
      </c>
      <c r="J2834" s="5">
        <f>11</f>
        <v>11</v>
      </c>
      <c r="K2834" s="5" t="s">
        <v>6906</v>
      </c>
      <c r="L2834" s="70" t="s">
        <v>6383</v>
      </c>
      <c r="M2834" s="70">
        <v>5</v>
      </c>
      <c r="N2834" s="10" t="s">
        <v>553</v>
      </c>
      <c r="O2834" s="5" t="s">
        <v>6907</v>
      </c>
      <c r="Q2834" s="5" t="s">
        <v>6943</v>
      </c>
    </row>
    <row r="2835" spans="1:21" x14ac:dyDescent="0.2">
      <c r="A2835" s="5">
        <v>1263</v>
      </c>
      <c r="B2835" s="8" t="s">
        <v>6944</v>
      </c>
      <c r="H2835" s="8" t="s">
        <v>6945</v>
      </c>
      <c r="I2835" s="8" t="s">
        <v>6945</v>
      </c>
      <c r="J2835" s="5">
        <f>4-1-1</f>
        <v>2</v>
      </c>
      <c r="K2835" s="5" t="s">
        <v>6946</v>
      </c>
      <c r="L2835" s="70" t="s">
        <v>6383</v>
      </c>
      <c r="M2835" s="70">
        <v>5</v>
      </c>
      <c r="N2835" s="10" t="s">
        <v>553</v>
      </c>
      <c r="O2835" s="5" t="s">
        <v>6907</v>
      </c>
      <c r="Q2835" s="5" t="s">
        <v>6947</v>
      </c>
    </row>
    <row r="2836" spans="1:21" x14ac:dyDescent="0.2">
      <c r="A2836" s="5"/>
      <c r="B2836" s="8" t="s">
        <v>6948</v>
      </c>
      <c r="H2836" s="8" t="s">
        <v>6949</v>
      </c>
      <c r="I2836" s="8" t="s">
        <v>6949</v>
      </c>
      <c r="J2836" s="5">
        <v>73</v>
      </c>
      <c r="K2836" s="5" t="s">
        <v>6950</v>
      </c>
      <c r="L2836" s="70" t="s">
        <v>6383</v>
      </c>
      <c r="M2836" s="70">
        <v>6</v>
      </c>
      <c r="Q2836" s="5" t="s">
        <v>6951</v>
      </c>
    </row>
    <row r="2837" spans="1:21" x14ac:dyDescent="0.2">
      <c r="A2837" s="5">
        <v>273</v>
      </c>
      <c r="B2837" s="8" t="s">
        <v>6952</v>
      </c>
      <c r="H2837" s="8" t="s">
        <v>6953</v>
      </c>
      <c r="I2837" s="8" t="s">
        <v>6954</v>
      </c>
      <c r="J2837" s="5">
        <f>2-2+5-1-1-1-1</f>
        <v>1</v>
      </c>
      <c r="K2837" s="5" t="s">
        <v>6950</v>
      </c>
      <c r="L2837" s="70" t="s">
        <v>6383</v>
      </c>
      <c r="M2837" s="70">
        <v>6</v>
      </c>
      <c r="O2837" s="5" t="s">
        <v>520</v>
      </c>
      <c r="Q2837" s="5" t="s">
        <v>6955</v>
      </c>
    </row>
    <row r="2838" spans="1:21" x14ac:dyDescent="0.2">
      <c r="A2838" s="5"/>
      <c r="B2838" s="8" t="s">
        <v>6956</v>
      </c>
      <c r="H2838" s="8" t="s">
        <v>6957</v>
      </c>
      <c r="I2838" s="8" t="s">
        <v>6957</v>
      </c>
      <c r="J2838" s="5">
        <f>0</f>
        <v>0</v>
      </c>
      <c r="K2838" s="5" t="s">
        <v>6950</v>
      </c>
      <c r="L2838" s="70" t="s">
        <v>6383</v>
      </c>
      <c r="M2838" s="70">
        <v>6</v>
      </c>
    </row>
    <row r="2839" spans="1:21" x14ac:dyDescent="0.2">
      <c r="A2839" s="5"/>
      <c r="B2839" s="11" t="s">
        <v>6958</v>
      </c>
      <c r="C2839" s="11"/>
      <c r="D2839" s="11"/>
      <c r="E2839" s="26"/>
      <c r="F2839" s="11"/>
      <c r="G2839" s="11"/>
      <c r="H2839" s="8" t="s">
        <v>6959</v>
      </c>
      <c r="I2839" s="8" t="s">
        <v>6959</v>
      </c>
      <c r="J2839" s="5">
        <f>5</f>
        <v>5</v>
      </c>
      <c r="K2839" s="5" t="s">
        <v>21</v>
      </c>
      <c r="L2839" s="70" t="s">
        <v>6383</v>
      </c>
      <c r="M2839" s="70">
        <v>6</v>
      </c>
      <c r="N2839" s="10" t="s">
        <v>553</v>
      </c>
    </row>
    <row r="2840" spans="1:21" x14ac:dyDescent="0.2">
      <c r="A2840" s="5"/>
      <c r="B2840" s="130" t="s">
        <v>6960</v>
      </c>
      <c r="C2840" s="11"/>
      <c r="D2840" s="11"/>
      <c r="E2840" s="26"/>
      <c r="F2840" s="11"/>
      <c r="G2840" s="11"/>
      <c r="H2840" s="8" t="s">
        <v>6959</v>
      </c>
      <c r="I2840" s="8" t="s">
        <v>6959</v>
      </c>
      <c r="J2840" s="5">
        <f>10</f>
        <v>10</v>
      </c>
      <c r="K2840" s="5" t="s">
        <v>21</v>
      </c>
      <c r="L2840" s="70" t="s">
        <v>6383</v>
      </c>
      <c r="M2840" s="70">
        <v>6</v>
      </c>
      <c r="N2840" s="10" t="s">
        <v>553</v>
      </c>
    </row>
    <row r="2841" spans="1:21" x14ac:dyDescent="0.2">
      <c r="A2841" s="5"/>
      <c r="B2841" s="11" t="s">
        <v>6961</v>
      </c>
      <c r="C2841" s="11"/>
      <c r="D2841" s="11"/>
      <c r="E2841" s="26"/>
      <c r="F2841" s="11"/>
      <c r="G2841" s="11"/>
      <c r="H2841" s="8" t="s">
        <v>6962</v>
      </c>
      <c r="I2841" s="11" t="s">
        <v>6962</v>
      </c>
      <c r="J2841" s="5">
        <f>10</f>
        <v>10</v>
      </c>
      <c r="K2841" s="5" t="s">
        <v>21</v>
      </c>
      <c r="L2841" s="70" t="s">
        <v>6383</v>
      </c>
      <c r="M2841" s="70">
        <v>6</v>
      </c>
      <c r="N2841" s="10" t="s">
        <v>553</v>
      </c>
      <c r="Q2841" s="107" t="s">
        <v>6963</v>
      </c>
    </row>
    <row r="2842" spans="1:21" x14ac:dyDescent="0.2">
      <c r="A2842" s="5">
        <v>1264</v>
      </c>
      <c r="B2842" s="11" t="s">
        <v>553</v>
      </c>
      <c r="C2842" s="11"/>
      <c r="D2842" s="11"/>
      <c r="E2842" s="26"/>
      <c r="F2842" s="11"/>
      <c r="G2842" s="11"/>
      <c r="H2842" s="8" t="s">
        <v>6964</v>
      </c>
      <c r="I2842" s="11" t="s">
        <v>553</v>
      </c>
      <c r="J2842" s="5">
        <v>0</v>
      </c>
      <c r="K2842" s="5" t="s">
        <v>21</v>
      </c>
      <c r="L2842" s="5" t="s">
        <v>6383</v>
      </c>
      <c r="M2842" s="5">
        <v>6</v>
      </c>
      <c r="N2842" s="10" t="s">
        <v>553</v>
      </c>
      <c r="O2842" s="5" t="s">
        <v>6907</v>
      </c>
      <c r="Q2842" s="5" t="s">
        <v>6965</v>
      </c>
    </row>
    <row r="2843" spans="1:21" x14ac:dyDescent="0.2">
      <c r="A2843" s="5"/>
      <c r="B2843" s="11" t="s">
        <v>6966</v>
      </c>
      <c r="C2843" s="11"/>
      <c r="D2843" s="11"/>
      <c r="E2843" s="26"/>
      <c r="F2843" s="11"/>
      <c r="G2843" s="11"/>
      <c r="H2843" s="8" t="s">
        <v>6967</v>
      </c>
      <c r="I2843" s="11" t="s">
        <v>6967</v>
      </c>
      <c r="J2843" s="5">
        <f>3</f>
        <v>3</v>
      </c>
      <c r="K2843" s="5" t="s">
        <v>2621</v>
      </c>
      <c r="L2843" s="5" t="s">
        <v>6383</v>
      </c>
      <c r="M2843" s="5">
        <v>6</v>
      </c>
      <c r="N2843" s="10" t="s">
        <v>553</v>
      </c>
      <c r="Q2843" s="107" t="s">
        <v>6968</v>
      </c>
    </row>
    <row r="2844" spans="1:21" x14ac:dyDescent="0.2">
      <c r="A2844" s="5">
        <v>1265</v>
      </c>
      <c r="B2844" s="8" t="s">
        <v>6969</v>
      </c>
      <c r="H2844" s="8" t="s">
        <v>6970</v>
      </c>
      <c r="I2844" s="11" t="s">
        <v>553</v>
      </c>
      <c r="J2844" s="5">
        <f>161-12-24-12-12-36-12-17-32-4</f>
        <v>0</v>
      </c>
      <c r="K2844" s="5" t="s">
        <v>6971</v>
      </c>
      <c r="L2844" s="70" t="s">
        <v>6383</v>
      </c>
      <c r="M2844" s="70">
        <v>7</v>
      </c>
      <c r="N2844" s="10" t="s">
        <v>553</v>
      </c>
      <c r="O2844" s="5" t="s">
        <v>6907</v>
      </c>
      <c r="Q2844" s="5" t="s">
        <v>6972</v>
      </c>
    </row>
    <row r="2845" spans="1:21" x14ac:dyDescent="0.2">
      <c r="A2845" s="5"/>
      <c r="B2845" s="8" t="s">
        <v>6973</v>
      </c>
      <c r="H2845" s="8" t="s">
        <v>6970</v>
      </c>
      <c r="I2845" s="11" t="s">
        <v>553</v>
      </c>
      <c r="J2845" s="5">
        <f>360-80-12-1-24-50-48-1-60-3-12-12-12+3-2-1-12-1+360-24-1</f>
        <v>367</v>
      </c>
      <c r="K2845" s="5" t="s">
        <v>6971</v>
      </c>
      <c r="L2845" s="70" t="s">
        <v>6383</v>
      </c>
      <c r="M2845" s="70">
        <v>7</v>
      </c>
      <c r="N2845" s="10" t="s">
        <v>553</v>
      </c>
    </row>
    <row r="2846" spans="1:21" x14ac:dyDescent="0.2">
      <c r="A2846" s="5">
        <v>1266</v>
      </c>
      <c r="B2846" s="8" t="s">
        <v>6974</v>
      </c>
      <c r="H2846" s="8" t="s">
        <v>6905</v>
      </c>
      <c r="I2846" s="11" t="s">
        <v>553</v>
      </c>
      <c r="J2846" s="5">
        <f>201-32-29-57</f>
        <v>83</v>
      </c>
      <c r="K2846" s="5" t="s">
        <v>6971</v>
      </c>
      <c r="L2846" s="70" t="s">
        <v>6383</v>
      </c>
      <c r="M2846" s="70">
        <v>8</v>
      </c>
      <c r="N2846" s="10" t="s">
        <v>553</v>
      </c>
      <c r="O2846" s="5" t="s">
        <v>6907</v>
      </c>
      <c r="Q2846" s="5" t="s">
        <v>6975</v>
      </c>
    </row>
    <row r="2847" spans="1:21" x14ac:dyDescent="0.2">
      <c r="A2847" s="5"/>
      <c r="B2847" s="8" t="s">
        <v>6976</v>
      </c>
      <c r="H2847" s="108" t="s">
        <v>6977</v>
      </c>
      <c r="I2847" s="8" t="s">
        <v>1904</v>
      </c>
      <c r="J2847" s="5">
        <f>3-1</f>
        <v>2</v>
      </c>
      <c r="K2847" s="5" t="s">
        <v>6978</v>
      </c>
      <c r="L2847" s="70" t="s">
        <v>6383</v>
      </c>
      <c r="M2847" s="70">
        <v>9</v>
      </c>
      <c r="N2847" s="10" t="s">
        <v>553</v>
      </c>
    </row>
    <row r="2848" spans="1:21" x14ac:dyDescent="0.2">
      <c r="A2848" s="5">
        <v>1269</v>
      </c>
      <c r="B2848" s="8" t="s">
        <v>3808</v>
      </c>
      <c r="H2848" s="8" t="s">
        <v>6979</v>
      </c>
      <c r="I2848" s="11" t="s">
        <v>553</v>
      </c>
      <c r="J2848" s="5">
        <v>5</v>
      </c>
      <c r="K2848" s="5" t="s">
        <v>21</v>
      </c>
      <c r="L2848" s="70" t="s">
        <v>6383</v>
      </c>
      <c r="M2848" s="70">
        <v>9</v>
      </c>
      <c r="N2848" s="10" t="s">
        <v>553</v>
      </c>
      <c r="O2848" s="5" t="s">
        <v>6907</v>
      </c>
      <c r="S2848" s="5" t="s">
        <v>1139</v>
      </c>
      <c r="U2848" t="s">
        <v>288</v>
      </c>
    </row>
    <row r="2849" spans="1:21" x14ac:dyDescent="0.2">
      <c r="A2849" s="5">
        <v>1270</v>
      </c>
      <c r="B2849" s="8" t="s">
        <v>6980</v>
      </c>
      <c r="H2849" s="8" t="s">
        <v>6979</v>
      </c>
      <c r="I2849" s="11" t="s">
        <v>553</v>
      </c>
      <c r="J2849" s="5">
        <f>11-3+3</f>
        <v>11</v>
      </c>
      <c r="K2849" s="5" t="s">
        <v>21</v>
      </c>
      <c r="L2849" s="70" t="s">
        <v>6383</v>
      </c>
      <c r="M2849" s="70">
        <v>9</v>
      </c>
      <c r="N2849" s="10" t="s">
        <v>553</v>
      </c>
      <c r="O2849" s="5" t="s">
        <v>6907</v>
      </c>
      <c r="S2849" s="5" t="s">
        <v>1139</v>
      </c>
      <c r="U2849" t="s">
        <v>288</v>
      </c>
    </row>
    <row r="2850" spans="1:21" x14ac:dyDescent="0.2">
      <c r="A2850" s="5">
        <v>1267</v>
      </c>
      <c r="B2850" s="8" t="s">
        <v>2766</v>
      </c>
      <c r="H2850" s="8" t="s">
        <v>6979</v>
      </c>
      <c r="I2850" s="11" t="s">
        <v>553</v>
      </c>
      <c r="J2850" s="5">
        <f>4-3+3</f>
        <v>4</v>
      </c>
      <c r="K2850" s="5" t="s">
        <v>21</v>
      </c>
      <c r="L2850" s="70" t="s">
        <v>6383</v>
      </c>
      <c r="M2850" s="70">
        <v>9</v>
      </c>
      <c r="N2850" s="10" t="s">
        <v>553</v>
      </c>
      <c r="O2850" s="5" t="s">
        <v>6907</v>
      </c>
      <c r="S2850" s="5" t="s">
        <v>1139</v>
      </c>
      <c r="U2850" t="s">
        <v>288</v>
      </c>
    </row>
    <row r="2851" spans="1:21" x14ac:dyDescent="0.2">
      <c r="A2851" s="5">
        <v>1328</v>
      </c>
      <c r="B2851" t="s">
        <v>6981</v>
      </c>
      <c r="C2851"/>
      <c r="D2851"/>
      <c r="E2851" s="27"/>
      <c r="F2851"/>
      <c r="G2851"/>
      <c r="H2851" t="s">
        <v>6982</v>
      </c>
      <c r="I2851" s="11" t="s">
        <v>553</v>
      </c>
      <c r="J2851" s="5">
        <f>5</f>
        <v>5</v>
      </c>
      <c r="K2851" s="5" t="s">
        <v>21</v>
      </c>
      <c r="L2851" s="70" t="s">
        <v>6383</v>
      </c>
      <c r="M2851" s="70">
        <v>9</v>
      </c>
      <c r="N2851" s="10"/>
      <c r="O2851" s="5" t="s">
        <v>6907</v>
      </c>
      <c r="Q2851" s="5" t="s">
        <v>6983</v>
      </c>
    </row>
    <row r="2852" spans="1:21" x14ac:dyDescent="0.2">
      <c r="A2852" s="5">
        <v>1336</v>
      </c>
      <c r="B2852" t="s">
        <v>6984</v>
      </c>
      <c r="C2852"/>
      <c r="D2852"/>
      <c r="E2852" s="27"/>
      <c r="F2852"/>
      <c r="G2852"/>
      <c r="H2852" s="8" t="s">
        <v>6982</v>
      </c>
      <c r="I2852" s="11" t="s">
        <v>553</v>
      </c>
      <c r="J2852" s="5">
        <f>5-2</f>
        <v>3</v>
      </c>
      <c r="K2852" s="5" t="s">
        <v>21</v>
      </c>
      <c r="L2852" s="70" t="s">
        <v>6383</v>
      </c>
      <c r="M2852" s="70">
        <v>9</v>
      </c>
      <c r="N2852" s="10" t="s">
        <v>553</v>
      </c>
      <c r="O2852" s="5" t="s">
        <v>6907</v>
      </c>
      <c r="Q2852" s="5" t="s">
        <v>6985</v>
      </c>
    </row>
    <row r="2853" spans="1:21" x14ac:dyDescent="0.2">
      <c r="A2853" s="5">
        <v>1337</v>
      </c>
      <c r="B2853" t="s">
        <v>6986</v>
      </c>
      <c r="C2853"/>
      <c r="D2853"/>
      <c r="E2853" s="27"/>
      <c r="F2853"/>
      <c r="G2853"/>
      <c r="H2853" s="8" t="s">
        <v>6982</v>
      </c>
      <c r="I2853" s="11" t="s">
        <v>553</v>
      </c>
      <c r="J2853" s="5">
        <f>5-2</f>
        <v>3</v>
      </c>
      <c r="K2853" s="5" t="s">
        <v>21</v>
      </c>
      <c r="L2853" s="70" t="s">
        <v>6383</v>
      </c>
      <c r="M2853" s="70">
        <v>9</v>
      </c>
      <c r="N2853" s="10" t="s">
        <v>553</v>
      </c>
      <c r="O2853" s="5" t="s">
        <v>6907</v>
      </c>
      <c r="Q2853" s="5" t="s">
        <v>6985</v>
      </c>
    </row>
    <row r="2854" spans="1:21" x14ac:dyDescent="0.2">
      <c r="A2854" s="5"/>
      <c r="B2854" t="s">
        <v>6987</v>
      </c>
      <c r="C2854"/>
      <c r="D2854"/>
      <c r="E2854" s="27"/>
      <c r="F2854"/>
      <c r="G2854"/>
      <c r="I2854" s="11" t="s">
        <v>6988</v>
      </c>
      <c r="J2854" s="5">
        <f>10-1-1</f>
        <v>8</v>
      </c>
      <c r="K2854" s="5" t="s">
        <v>21</v>
      </c>
      <c r="L2854" s="70" t="s">
        <v>6383</v>
      </c>
      <c r="M2854" s="70">
        <v>9</v>
      </c>
      <c r="N2854" s="10"/>
    </row>
    <row r="2855" spans="1:21" x14ac:dyDescent="0.2">
      <c r="A2855" s="5">
        <v>1268</v>
      </c>
      <c r="B2855" t="s">
        <v>6989</v>
      </c>
      <c r="C2855"/>
      <c r="D2855"/>
      <c r="E2855" s="27"/>
      <c r="F2855"/>
      <c r="G2855"/>
      <c r="H2855" s="8" t="s">
        <v>6990</v>
      </c>
      <c r="I2855" s="11" t="s">
        <v>553</v>
      </c>
      <c r="J2855" s="5">
        <v>0</v>
      </c>
      <c r="K2855" s="5" t="s">
        <v>21</v>
      </c>
      <c r="L2855" s="5" t="s">
        <v>6383</v>
      </c>
      <c r="M2855" s="5">
        <v>9</v>
      </c>
      <c r="N2855" s="10" t="s">
        <v>553</v>
      </c>
      <c r="O2855" s="5" t="s">
        <v>6907</v>
      </c>
      <c r="Q2855" s="5" t="s">
        <v>6991</v>
      </c>
    </row>
    <row r="2856" spans="1:21" x14ac:dyDescent="0.2">
      <c r="A2856" s="5">
        <v>1271</v>
      </c>
      <c r="B2856" s="8" t="s">
        <v>6992</v>
      </c>
      <c r="H2856" s="8" t="s">
        <v>6993</v>
      </c>
      <c r="I2856" s="11" t="s">
        <v>553</v>
      </c>
      <c r="J2856" s="5">
        <f>93-1-3-4-4-5-8-1-4-1-16-3-4-2-6+160</f>
        <v>191</v>
      </c>
      <c r="K2856" s="5" t="s">
        <v>21</v>
      </c>
      <c r="L2856" s="70" t="s">
        <v>6383</v>
      </c>
      <c r="M2856" s="70">
        <v>10</v>
      </c>
      <c r="N2856" s="10" t="s">
        <v>553</v>
      </c>
      <c r="O2856" s="5" t="s">
        <v>6907</v>
      </c>
      <c r="Q2856" s="5" t="s">
        <v>6991</v>
      </c>
    </row>
    <row r="2857" spans="1:21" x14ac:dyDescent="0.2">
      <c r="A2857" s="5">
        <v>1278</v>
      </c>
      <c r="B2857" s="108" t="s">
        <v>6994</v>
      </c>
      <c r="H2857" s="8" t="s">
        <v>6995</v>
      </c>
      <c r="I2857" s="10" t="s">
        <v>553</v>
      </c>
      <c r="J2857" s="5">
        <f>62-1-5-1</f>
        <v>55</v>
      </c>
      <c r="K2857" s="5" t="s">
        <v>6996</v>
      </c>
      <c r="L2857" s="70" t="s">
        <v>6383</v>
      </c>
      <c r="M2857" s="70">
        <v>11</v>
      </c>
      <c r="N2857" s="10" t="s">
        <v>553</v>
      </c>
      <c r="O2857" s="5" t="s">
        <v>6907</v>
      </c>
      <c r="Q2857" s="5" t="s">
        <v>6997</v>
      </c>
    </row>
    <row r="2858" spans="1:21" x14ac:dyDescent="0.2">
      <c r="A2858" s="5"/>
      <c r="B2858" s="108" t="s">
        <v>6998</v>
      </c>
      <c r="H2858" s="8" t="s">
        <v>6988</v>
      </c>
      <c r="I2858" s="11" t="s">
        <v>6988</v>
      </c>
      <c r="J2858" s="5">
        <f>1</f>
        <v>1</v>
      </c>
      <c r="K2858" s="5" t="s">
        <v>21</v>
      </c>
      <c r="L2858" s="70" t="s">
        <v>6383</v>
      </c>
      <c r="M2858" s="70">
        <v>12</v>
      </c>
      <c r="N2858" s="10"/>
      <c r="U2858" t="s">
        <v>321</v>
      </c>
    </row>
    <row r="2859" spans="1:21" x14ac:dyDescent="0.2">
      <c r="A2859" s="5">
        <v>1338</v>
      </c>
      <c r="B2859" s="8" t="s">
        <v>6999</v>
      </c>
      <c r="H2859" s="8" t="s">
        <v>7000</v>
      </c>
      <c r="I2859" s="108" t="s">
        <v>7001</v>
      </c>
      <c r="J2859" s="5">
        <v>10</v>
      </c>
      <c r="K2859" s="5" t="s">
        <v>21</v>
      </c>
      <c r="L2859" s="70" t="s">
        <v>6383</v>
      </c>
      <c r="M2859" s="70">
        <v>12</v>
      </c>
      <c r="N2859" s="10" t="s">
        <v>553</v>
      </c>
      <c r="O2859" s="5" t="s">
        <v>6907</v>
      </c>
      <c r="Q2859" s="5" t="s">
        <v>7002</v>
      </c>
    </row>
    <row r="2860" spans="1:21" x14ac:dyDescent="0.2">
      <c r="A2860" s="5"/>
      <c r="B2860" s="8" t="s">
        <v>7003</v>
      </c>
      <c r="H2860" s="8" t="s">
        <v>6988</v>
      </c>
      <c r="I2860" s="11" t="s">
        <v>6988</v>
      </c>
      <c r="J2860" s="5">
        <f>6+2-2</f>
        <v>6</v>
      </c>
      <c r="K2860" s="5" t="s">
        <v>21</v>
      </c>
      <c r="L2860" s="70" t="s">
        <v>6383</v>
      </c>
      <c r="M2860" s="70">
        <v>12</v>
      </c>
      <c r="N2860" s="10"/>
      <c r="U2860" t="s">
        <v>321</v>
      </c>
    </row>
    <row r="2861" spans="1:21" x14ac:dyDescent="0.2">
      <c r="A2861" s="5"/>
      <c r="B2861" s="8" t="s">
        <v>7004</v>
      </c>
      <c r="H2861" s="8" t="s">
        <v>6988</v>
      </c>
      <c r="I2861" s="11" t="s">
        <v>6988</v>
      </c>
      <c r="J2861" s="5">
        <f>7</f>
        <v>7</v>
      </c>
      <c r="K2861" s="5" t="s">
        <v>21</v>
      </c>
      <c r="L2861" s="70" t="s">
        <v>6383</v>
      </c>
      <c r="M2861" s="70">
        <v>12</v>
      </c>
      <c r="N2861" s="10"/>
      <c r="U2861" t="s">
        <v>321</v>
      </c>
    </row>
    <row r="2862" spans="1:21" x14ac:dyDescent="0.2">
      <c r="A2862" s="5"/>
      <c r="B2862" s="8" t="s">
        <v>7005</v>
      </c>
      <c r="H2862" s="8" t="s">
        <v>6988</v>
      </c>
      <c r="I2862" s="11" t="s">
        <v>6988</v>
      </c>
      <c r="J2862" s="5">
        <f>8</f>
        <v>8</v>
      </c>
      <c r="K2862" s="5" t="s">
        <v>21</v>
      </c>
      <c r="L2862" s="70" t="s">
        <v>6383</v>
      </c>
      <c r="M2862" s="70">
        <v>12</v>
      </c>
      <c r="N2862" s="10"/>
      <c r="U2862" t="s">
        <v>321</v>
      </c>
    </row>
    <row r="2863" spans="1:21" x14ac:dyDescent="0.2">
      <c r="A2863" s="5">
        <v>259</v>
      </c>
      <c r="B2863" s="8" t="s">
        <v>7006</v>
      </c>
      <c r="H2863" s="8" t="s">
        <v>7007</v>
      </c>
      <c r="I2863" s="8" t="s">
        <v>7007</v>
      </c>
      <c r="J2863" s="5">
        <f>10-1+1</f>
        <v>10</v>
      </c>
      <c r="K2863" s="5" t="s">
        <v>292</v>
      </c>
      <c r="L2863" s="70" t="s">
        <v>6383</v>
      </c>
      <c r="M2863" s="70">
        <v>12</v>
      </c>
      <c r="N2863" s="5" t="s">
        <v>511</v>
      </c>
      <c r="Q2863" s="5" t="s">
        <v>7008</v>
      </c>
    </row>
    <row r="2864" spans="1:21" x14ac:dyDescent="0.2">
      <c r="A2864" s="5">
        <v>262</v>
      </c>
      <c r="B2864" s="8" t="s">
        <v>7009</v>
      </c>
      <c r="H2864" s="8" t="s">
        <v>7007</v>
      </c>
      <c r="I2864" s="8" t="s">
        <v>7007</v>
      </c>
      <c r="J2864" s="5">
        <f>10-2-1-1-1</f>
        <v>5</v>
      </c>
      <c r="K2864" s="5" t="s">
        <v>292</v>
      </c>
      <c r="L2864" s="70" t="s">
        <v>6383</v>
      </c>
      <c r="M2864" s="70">
        <v>12</v>
      </c>
      <c r="N2864" s="5" t="s">
        <v>511</v>
      </c>
      <c r="Q2864" s="5" t="s">
        <v>7008</v>
      </c>
    </row>
    <row r="2865" spans="1:19" x14ac:dyDescent="0.2">
      <c r="A2865" s="5">
        <v>1273</v>
      </c>
      <c r="B2865" s="8" t="s">
        <v>7010</v>
      </c>
      <c r="H2865" s="8" t="s">
        <v>7011</v>
      </c>
      <c r="I2865" s="11"/>
      <c r="J2865" s="5">
        <f>153-2-3-2-5-6-14-1-1-2-12-2-4-12-1-1-1-1-11-1-12-5-1-10</f>
        <v>43</v>
      </c>
      <c r="K2865" s="5" t="s">
        <v>21</v>
      </c>
      <c r="L2865" s="70" t="s">
        <v>6383</v>
      </c>
      <c r="M2865" s="70">
        <v>12</v>
      </c>
      <c r="N2865" s="10" t="s">
        <v>553</v>
      </c>
      <c r="O2865" s="5" t="s">
        <v>6907</v>
      </c>
      <c r="Q2865" s="5" t="s">
        <v>7012</v>
      </c>
    </row>
    <row r="2866" spans="1:19" x14ac:dyDescent="0.2">
      <c r="A2866" s="5"/>
      <c r="B2866" s="8" t="s">
        <v>7013</v>
      </c>
      <c r="H2866" s="8" t="s">
        <v>7014</v>
      </c>
      <c r="I2866" s="11"/>
      <c r="J2866" s="5">
        <f>5-1</f>
        <v>4</v>
      </c>
      <c r="K2866" s="5" t="s">
        <v>21</v>
      </c>
      <c r="L2866" s="70" t="s">
        <v>6383</v>
      </c>
      <c r="M2866" s="70">
        <v>12</v>
      </c>
      <c r="N2866" s="10" t="s">
        <v>553</v>
      </c>
    </row>
    <row r="2867" spans="1:19" x14ac:dyDescent="0.2">
      <c r="A2867" s="5">
        <v>1274</v>
      </c>
      <c r="B2867" s="11" t="s">
        <v>7015</v>
      </c>
      <c r="C2867" s="11"/>
      <c r="D2867" s="11"/>
      <c r="E2867" s="26"/>
      <c r="F2867" s="11"/>
      <c r="G2867" s="11"/>
      <c r="H2867" s="8" t="s">
        <v>7016</v>
      </c>
      <c r="I2867" s="11" t="s">
        <v>553</v>
      </c>
      <c r="J2867" s="5">
        <f>190-8-8-4-8-5-2-5-5-5-4-1-8-16-8-10-1+1250-102-16-475-8-4-4-16-4-4-4-4-4-4-4-8-4-4-4-8-4-8-40-8-8-8+4-8-20-4-4-4-16-155-13-347+1500-18-5-4-5-46-225-8-4-4-4-4-5-4-4-1-1-4-4-2-8-8-8-6-8+1-7-7-7-19-7-7-7-17-100-32-919</f>
        <v>0</v>
      </c>
      <c r="K2867" s="5" t="s">
        <v>21</v>
      </c>
      <c r="L2867" s="70" t="s">
        <v>6383</v>
      </c>
      <c r="M2867" s="70">
        <v>13</v>
      </c>
      <c r="N2867" s="10" t="s">
        <v>553</v>
      </c>
      <c r="O2867" s="5" t="s">
        <v>6907</v>
      </c>
      <c r="Q2867" s="5" t="s">
        <v>7017</v>
      </c>
    </row>
    <row r="2868" spans="1:19" x14ac:dyDescent="0.2">
      <c r="A2868" s="5">
        <v>1272</v>
      </c>
      <c r="B2868" s="8" t="s">
        <v>7018</v>
      </c>
      <c r="H2868" s="8" t="s">
        <v>7019</v>
      </c>
      <c r="I2868" s="11" t="s">
        <v>553</v>
      </c>
      <c r="J2868" s="5">
        <f>23</f>
        <v>23</v>
      </c>
      <c r="K2868" s="5" t="s">
        <v>6996</v>
      </c>
      <c r="L2868" s="70" t="s">
        <v>6383</v>
      </c>
      <c r="M2868" s="70">
        <v>14</v>
      </c>
      <c r="N2868" s="10" t="s">
        <v>553</v>
      </c>
      <c r="O2868" s="5" t="s">
        <v>6907</v>
      </c>
      <c r="Q2868" s="5" t="s">
        <v>6997</v>
      </c>
    </row>
    <row r="2869" spans="1:19" x14ac:dyDescent="0.2">
      <c r="A2869" s="5">
        <v>1275</v>
      </c>
      <c r="B2869" s="8" t="s">
        <v>7020</v>
      </c>
      <c r="H2869" s="8" t="s">
        <v>7021</v>
      </c>
      <c r="I2869" s="10" t="s">
        <v>953</v>
      </c>
      <c r="J2869" s="5">
        <v>0</v>
      </c>
      <c r="K2869" s="5" t="s">
        <v>6996</v>
      </c>
      <c r="L2869" s="5" t="s">
        <v>6383</v>
      </c>
      <c r="M2869" s="5">
        <v>14</v>
      </c>
      <c r="N2869" s="10" t="s">
        <v>553</v>
      </c>
      <c r="O2869" s="5" t="s">
        <v>6907</v>
      </c>
      <c r="S2869" s="5" t="s">
        <v>1139</v>
      </c>
    </row>
    <row r="2870" spans="1:19" x14ac:dyDescent="0.2">
      <c r="A2870" s="5">
        <v>1276</v>
      </c>
      <c r="B2870" s="8" t="s">
        <v>7022</v>
      </c>
      <c r="H2870" s="8" t="s">
        <v>7011</v>
      </c>
      <c r="I2870" s="10" t="s">
        <v>553</v>
      </c>
      <c r="J2870" s="5">
        <f>47-1-5-1-1-1-1-5-1-4-1-2-4-3+120-1</f>
        <v>136</v>
      </c>
      <c r="K2870" s="5" t="s">
        <v>6996</v>
      </c>
      <c r="L2870" s="70" t="s">
        <v>6383</v>
      </c>
      <c r="M2870" s="70">
        <v>15</v>
      </c>
      <c r="N2870" s="10" t="s">
        <v>553</v>
      </c>
      <c r="O2870" s="5" t="s">
        <v>6907</v>
      </c>
      <c r="Q2870" s="5" t="s">
        <v>7023</v>
      </c>
    </row>
    <row r="2871" spans="1:19" x14ac:dyDescent="0.2">
      <c r="A2871" s="5"/>
      <c r="B2871" s="8" t="s">
        <v>7024</v>
      </c>
      <c r="H2871" s="8" t="s">
        <v>7025</v>
      </c>
      <c r="I2871" s="134" t="s">
        <v>7025</v>
      </c>
      <c r="J2871" s="5">
        <f>3+2-1</f>
        <v>4</v>
      </c>
      <c r="K2871" s="5" t="s">
        <v>21</v>
      </c>
      <c r="L2871" s="70" t="s">
        <v>6383</v>
      </c>
      <c r="M2871" s="70">
        <v>15</v>
      </c>
      <c r="N2871" s="10" t="s">
        <v>553</v>
      </c>
    </row>
    <row r="2872" spans="1:19" x14ac:dyDescent="0.2">
      <c r="A2872" s="5">
        <v>1339</v>
      </c>
      <c r="B2872" s="8" t="s">
        <v>6987</v>
      </c>
      <c r="H2872" s="8" t="s">
        <v>7026</v>
      </c>
      <c r="I2872" s="11" t="s">
        <v>553</v>
      </c>
      <c r="J2872" s="5">
        <f>10-4-1-1</f>
        <v>4</v>
      </c>
      <c r="K2872" s="5" t="s">
        <v>21</v>
      </c>
      <c r="L2872" s="5" t="s">
        <v>6383</v>
      </c>
      <c r="M2872" s="5">
        <v>15</v>
      </c>
      <c r="N2872" s="10" t="s">
        <v>553</v>
      </c>
      <c r="O2872" s="5" t="s">
        <v>6907</v>
      </c>
    </row>
    <row r="2873" spans="1:19" x14ac:dyDescent="0.2">
      <c r="A2873" s="5">
        <v>1335</v>
      </c>
      <c r="B2873" s="8" t="s">
        <v>7027</v>
      </c>
      <c r="H2873" s="8" t="s">
        <v>7028</v>
      </c>
      <c r="I2873" s="11" t="s">
        <v>553</v>
      </c>
      <c r="J2873" s="5">
        <v>0</v>
      </c>
      <c r="K2873" s="5" t="s">
        <v>21</v>
      </c>
      <c r="L2873" s="70" t="s">
        <v>6383</v>
      </c>
      <c r="M2873" s="70">
        <v>15</v>
      </c>
      <c r="N2873" s="10" t="s">
        <v>553</v>
      </c>
      <c r="O2873" s="5" t="s">
        <v>6907</v>
      </c>
      <c r="Q2873" s="5" t="s">
        <v>7029</v>
      </c>
    </row>
    <row r="2874" spans="1:19" x14ac:dyDescent="0.2">
      <c r="A2874" s="5"/>
      <c r="B2874" s="8" t="s">
        <v>7030</v>
      </c>
      <c r="H2874" s="8" t="s">
        <v>7031</v>
      </c>
      <c r="I2874" s="134" t="s">
        <v>7031</v>
      </c>
      <c r="J2874" s="5">
        <f>3</f>
        <v>3</v>
      </c>
      <c r="K2874" s="5" t="s">
        <v>21</v>
      </c>
      <c r="L2874" s="70" t="s">
        <v>6383</v>
      </c>
      <c r="M2874" s="70">
        <v>15</v>
      </c>
      <c r="N2874" s="10" t="s">
        <v>553</v>
      </c>
    </row>
    <row r="2875" spans="1:19" x14ac:dyDescent="0.2">
      <c r="A2875" s="5"/>
      <c r="B2875" s="8" t="s">
        <v>7032</v>
      </c>
      <c r="H2875" s="8" t="s">
        <v>7031</v>
      </c>
      <c r="I2875" s="134" t="s">
        <v>7031</v>
      </c>
      <c r="J2875" s="5">
        <f>3</f>
        <v>3</v>
      </c>
      <c r="K2875" s="5" t="s">
        <v>21</v>
      </c>
      <c r="L2875" s="70" t="s">
        <v>6383</v>
      </c>
      <c r="M2875" s="70">
        <v>15</v>
      </c>
      <c r="N2875" s="10" t="s">
        <v>553</v>
      </c>
    </row>
    <row r="2876" spans="1:19" x14ac:dyDescent="0.2">
      <c r="A2876" s="5"/>
      <c r="B2876" s="8" t="s">
        <v>7033</v>
      </c>
      <c r="H2876" s="8" t="s">
        <v>7034</v>
      </c>
      <c r="I2876" s="134" t="s">
        <v>7034</v>
      </c>
      <c r="J2876" s="5">
        <f>10-1</f>
        <v>9</v>
      </c>
      <c r="K2876" s="5" t="s">
        <v>21</v>
      </c>
      <c r="L2876" s="70" t="s">
        <v>6383</v>
      </c>
      <c r="M2876" s="70">
        <v>15</v>
      </c>
      <c r="N2876" s="10" t="s">
        <v>553</v>
      </c>
    </row>
    <row r="2877" spans="1:19" x14ac:dyDescent="0.2">
      <c r="A2877" s="5"/>
      <c r="B2877" s="8" t="s">
        <v>7035</v>
      </c>
      <c r="H2877" s="8" t="s">
        <v>7036</v>
      </c>
      <c r="I2877" s="8" t="s">
        <v>7036</v>
      </c>
      <c r="J2877" s="5">
        <f>956</f>
        <v>956</v>
      </c>
      <c r="K2877" s="5" t="s">
        <v>21</v>
      </c>
      <c r="L2877" s="5" t="s">
        <v>6383</v>
      </c>
      <c r="M2877" s="5">
        <v>15</v>
      </c>
      <c r="N2877" s="5" t="s">
        <v>320</v>
      </c>
      <c r="Q2877" s="5" t="s">
        <v>7037</v>
      </c>
    </row>
    <row r="2878" spans="1:19" x14ac:dyDescent="0.2">
      <c r="A2878" s="5">
        <v>1240</v>
      </c>
      <c r="B2878" s="8" t="s">
        <v>7038</v>
      </c>
      <c r="H2878" s="8" t="s">
        <v>7039</v>
      </c>
      <c r="I2878" s="8" t="s">
        <v>7039</v>
      </c>
      <c r="J2878" s="5">
        <f>30-4-3-4-1-2</f>
        <v>16</v>
      </c>
      <c r="K2878" s="5" t="s">
        <v>292</v>
      </c>
      <c r="L2878" s="70" t="s">
        <v>6383</v>
      </c>
      <c r="M2878" s="70">
        <v>15</v>
      </c>
      <c r="N2878" s="10" t="s">
        <v>553</v>
      </c>
      <c r="Q2878" s="107" t="s">
        <v>7040</v>
      </c>
    </row>
    <row r="2879" spans="1:19" x14ac:dyDescent="0.2">
      <c r="A2879" s="5"/>
      <c r="B2879" t="s">
        <v>7041</v>
      </c>
      <c r="C2879"/>
      <c r="D2879"/>
      <c r="E2879" s="27"/>
      <c r="F2879"/>
      <c r="G2879"/>
      <c r="H2879" s="8" t="s">
        <v>7042</v>
      </c>
      <c r="I2879" s="11" t="s">
        <v>553</v>
      </c>
      <c r="J2879" s="5">
        <f>72-12-2-3-5-1-1-12-10-12+144</f>
        <v>158</v>
      </c>
      <c r="K2879" s="5" t="s">
        <v>21</v>
      </c>
      <c r="L2879" s="70" t="s">
        <v>6383</v>
      </c>
      <c r="M2879" s="70">
        <v>16</v>
      </c>
      <c r="N2879" s="10" t="s">
        <v>553</v>
      </c>
    </row>
    <row r="2880" spans="1:19" x14ac:dyDescent="0.2">
      <c r="A2880" s="5">
        <v>1278</v>
      </c>
      <c r="B2880" s="8" t="s">
        <v>7043</v>
      </c>
      <c r="H2880" s="8" t="s">
        <v>7044</v>
      </c>
      <c r="I2880" s="10" t="s">
        <v>553</v>
      </c>
      <c r="J2880" s="5">
        <f>74-1-1-2-3-1-3-1-2-1-1-1-1-1-2+120-1-1</f>
        <v>171</v>
      </c>
      <c r="K2880" s="5" t="s">
        <v>6996</v>
      </c>
      <c r="L2880" s="70" t="s">
        <v>6383</v>
      </c>
      <c r="M2880" s="70">
        <v>17</v>
      </c>
      <c r="N2880" s="10" t="s">
        <v>553</v>
      </c>
      <c r="O2880" s="5" t="s">
        <v>6907</v>
      </c>
      <c r="Q2880" s="5" t="s">
        <v>6997</v>
      </c>
    </row>
    <row r="2881" spans="1:17" x14ac:dyDescent="0.2">
      <c r="A2881" s="5">
        <v>1279</v>
      </c>
      <c r="B2881" s="8" t="s">
        <v>3183</v>
      </c>
      <c r="H2881" s="8" t="s">
        <v>7045</v>
      </c>
      <c r="I2881" s="10" t="s">
        <v>553</v>
      </c>
      <c r="J2881" s="5">
        <f>16-1-1-1-2-1-1-2-1-1-1+20-8-1-1-1-1-1</f>
        <v>11</v>
      </c>
      <c r="K2881" s="5" t="s">
        <v>6996</v>
      </c>
      <c r="L2881" s="70" t="s">
        <v>6383</v>
      </c>
      <c r="M2881" s="70">
        <v>18</v>
      </c>
      <c r="N2881" s="10" t="s">
        <v>553</v>
      </c>
      <c r="O2881" s="5" t="s">
        <v>6907</v>
      </c>
      <c r="Q2881" s="5" t="s">
        <v>7046</v>
      </c>
    </row>
    <row r="2882" spans="1:17" x14ac:dyDescent="0.2">
      <c r="A2882" s="5">
        <v>1280</v>
      </c>
      <c r="B2882" s="8" t="s">
        <v>3183</v>
      </c>
      <c r="H2882" s="8" t="s">
        <v>7047</v>
      </c>
      <c r="I2882" s="10" t="s">
        <v>553</v>
      </c>
      <c r="J2882" s="5">
        <f>27-1</f>
        <v>26</v>
      </c>
      <c r="K2882" s="5" t="s">
        <v>6996</v>
      </c>
      <c r="L2882" s="70" t="s">
        <v>6383</v>
      </c>
      <c r="M2882" s="70">
        <v>18</v>
      </c>
      <c r="N2882" s="10" t="s">
        <v>553</v>
      </c>
      <c r="O2882" s="5" t="s">
        <v>6907</v>
      </c>
      <c r="Q2882" s="5" t="s">
        <v>7048</v>
      </c>
    </row>
    <row r="2883" spans="1:17" x14ac:dyDescent="0.2">
      <c r="A2883" s="5"/>
      <c r="B2883" s="8" t="s">
        <v>7049</v>
      </c>
      <c r="H2883" s="11" t="s">
        <v>7050</v>
      </c>
      <c r="I2883" s="11" t="s">
        <v>7050</v>
      </c>
      <c r="J2883" s="5">
        <f>10</f>
        <v>10</v>
      </c>
      <c r="K2883" s="5" t="s">
        <v>21</v>
      </c>
      <c r="L2883" s="70" t="s">
        <v>6383</v>
      </c>
      <c r="M2883" s="70">
        <v>18</v>
      </c>
      <c r="N2883" s="10"/>
      <c r="Q2883" s="107" t="s">
        <v>7051</v>
      </c>
    </row>
    <row r="2884" spans="1:17" x14ac:dyDescent="0.2">
      <c r="A2884" s="5"/>
      <c r="B2884" s="8" t="s">
        <v>7052</v>
      </c>
      <c r="H2884" s="11" t="s">
        <v>7050</v>
      </c>
      <c r="I2884" s="11" t="s">
        <v>7050</v>
      </c>
      <c r="J2884" s="5">
        <f>10</f>
        <v>10</v>
      </c>
      <c r="K2884" s="5" t="s">
        <v>21</v>
      </c>
      <c r="L2884" s="70" t="s">
        <v>6383</v>
      </c>
      <c r="M2884" s="70">
        <v>18</v>
      </c>
      <c r="Q2884" s="107" t="s">
        <v>7051</v>
      </c>
    </row>
    <row r="2885" spans="1:17" x14ac:dyDescent="0.2">
      <c r="A2885" s="5"/>
      <c r="B2885" s="8" t="s">
        <v>7053</v>
      </c>
      <c r="H2885" s="11" t="s">
        <v>7050</v>
      </c>
      <c r="I2885" s="11" t="s">
        <v>7050</v>
      </c>
      <c r="J2885" s="5">
        <f>10</f>
        <v>10</v>
      </c>
      <c r="K2885" s="5" t="s">
        <v>21</v>
      </c>
      <c r="L2885" s="70" t="s">
        <v>6383</v>
      </c>
      <c r="M2885" s="70">
        <v>18</v>
      </c>
      <c r="Q2885" s="107" t="s">
        <v>7051</v>
      </c>
    </row>
    <row r="2886" spans="1:17" x14ac:dyDescent="0.2">
      <c r="A2886" s="5"/>
      <c r="B2886" s="8" t="s">
        <v>7054</v>
      </c>
      <c r="H2886" s="11" t="s">
        <v>7050</v>
      </c>
      <c r="I2886" s="11" t="s">
        <v>7050</v>
      </c>
      <c r="J2886" s="5">
        <f>10</f>
        <v>10</v>
      </c>
      <c r="K2886" s="5" t="s">
        <v>21</v>
      </c>
      <c r="L2886" s="70" t="s">
        <v>6383</v>
      </c>
      <c r="M2886" s="70">
        <v>18</v>
      </c>
      <c r="Q2886" s="107" t="s">
        <v>7051</v>
      </c>
    </row>
    <row r="2887" spans="1:17" x14ac:dyDescent="0.2">
      <c r="A2887" s="5">
        <v>1281</v>
      </c>
      <c r="B2887" s="8" t="s">
        <v>7055</v>
      </c>
      <c r="H2887" s="8" t="s">
        <v>7056</v>
      </c>
      <c r="I2887" s="10" t="s">
        <v>553</v>
      </c>
      <c r="J2887" s="5">
        <f>0</f>
        <v>0</v>
      </c>
      <c r="K2887" s="5" t="s">
        <v>21</v>
      </c>
      <c r="L2887" s="70" t="s">
        <v>6383</v>
      </c>
      <c r="M2887" s="70">
        <v>19</v>
      </c>
      <c r="N2887" s="10" t="s">
        <v>553</v>
      </c>
      <c r="O2887" s="5" t="s">
        <v>6907</v>
      </c>
      <c r="Q2887" s="5" t="s">
        <v>7057</v>
      </c>
    </row>
    <row r="2888" spans="1:17" x14ac:dyDescent="0.2">
      <c r="A2888" s="5"/>
      <c r="B2888" s="8" t="s">
        <v>7058</v>
      </c>
      <c r="H2888" s="8" t="s">
        <v>7056</v>
      </c>
      <c r="I2888" s="10" t="s">
        <v>553</v>
      </c>
      <c r="J2888" s="5">
        <f>161-4-38-41-1-1-2+100-2-2-2-2-2+1-2-1-2-2-1-2-2-2-3-4-16-2-2-2-2-2-2-2-2-2-2-2-2-2-1-1-2-3-4+200-2-2-3</f>
        <v>284</v>
      </c>
      <c r="K2888" s="5" t="s">
        <v>21</v>
      </c>
      <c r="L2888" s="70" t="s">
        <v>6383</v>
      </c>
      <c r="M2888" s="70">
        <v>19</v>
      </c>
      <c r="N2888" s="10" t="s">
        <v>553</v>
      </c>
      <c r="O2888" s="5" t="s">
        <v>6907</v>
      </c>
      <c r="Q2888" s="5" t="s">
        <v>7059</v>
      </c>
    </row>
    <row r="2889" spans="1:17" x14ac:dyDescent="0.2">
      <c r="A2889" s="5">
        <v>1282</v>
      </c>
      <c r="B2889" s="8" t="s">
        <v>7060</v>
      </c>
      <c r="H2889" s="8" t="s">
        <v>7061</v>
      </c>
      <c r="I2889" s="10" t="s">
        <v>553</v>
      </c>
      <c r="J2889" s="5">
        <f>367-23-12-18-4-3-5-5-4-5-4-4+3-4-4-2-1-4-4-2-8-4-4-2-1-8-4-3-4-5-4-4-6-4-5-1-4-3-3-2-4-4-4-2-2-1-4</f>
        <v>162</v>
      </c>
      <c r="K2889" s="5" t="s">
        <v>21</v>
      </c>
      <c r="L2889" s="70" t="s">
        <v>6383</v>
      </c>
      <c r="M2889" s="70">
        <v>20</v>
      </c>
      <c r="N2889" s="10" t="s">
        <v>553</v>
      </c>
      <c r="O2889" s="5" t="s">
        <v>6907</v>
      </c>
      <c r="Q2889" s="5" t="s">
        <v>7062</v>
      </c>
    </row>
    <row r="2890" spans="1:17" x14ac:dyDescent="0.2">
      <c r="A2890" s="5"/>
      <c r="B2890" s="8" t="s">
        <v>7063</v>
      </c>
      <c r="H2890" s="8" t="s">
        <v>7064</v>
      </c>
      <c r="I2890" s="10" t="s">
        <v>553</v>
      </c>
      <c r="J2890" s="5">
        <f>140-3-5-5-5-5-5-4-4-4-4-6-10-3-4-8-3-4+128</f>
        <v>186</v>
      </c>
      <c r="K2890" s="5" t="s">
        <v>21</v>
      </c>
      <c r="L2890" s="70" t="s">
        <v>6383</v>
      </c>
      <c r="M2890" s="70">
        <v>21</v>
      </c>
      <c r="N2890" s="10" t="s">
        <v>553</v>
      </c>
    </row>
    <row r="2891" spans="1:17" x14ac:dyDescent="0.2">
      <c r="A2891" s="5"/>
      <c r="B2891" s="8" t="s">
        <v>7065</v>
      </c>
      <c r="H2891" s="8" t="s">
        <v>7064</v>
      </c>
      <c r="I2891" s="8" t="s">
        <v>7064</v>
      </c>
      <c r="J2891" s="5">
        <f>36</f>
        <v>36</v>
      </c>
      <c r="K2891" s="5" t="s">
        <v>21</v>
      </c>
      <c r="L2891" s="70" t="s">
        <v>6383</v>
      </c>
      <c r="M2891" s="70">
        <v>21</v>
      </c>
      <c r="N2891" s="10" t="s">
        <v>553</v>
      </c>
      <c r="Q2891" s="107" t="s">
        <v>7066</v>
      </c>
    </row>
    <row r="2892" spans="1:17" x14ac:dyDescent="0.2">
      <c r="A2892" s="5"/>
      <c r="B2892" s="8" t="s">
        <v>7067</v>
      </c>
      <c r="H2892" s="8" t="s">
        <v>7064</v>
      </c>
      <c r="I2892" s="8" t="s">
        <v>7064</v>
      </c>
      <c r="J2892" s="5">
        <f>84-7</f>
        <v>77</v>
      </c>
      <c r="K2892" s="5" t="s">
        <v>21</v>
      </c>
      <c r="L2892" s="70" t="s">
        <v>6383</v>
      </c>
      <c r="M2892" s="70">
        <v>21</v>
      </c>
      <c r="N2892" s="10" t="s">
        <v>553</v>
      </c>
      <c r="Q2892" s="107" t="s">
        <v>7066</v>
      </c>
    </row>
    <row r="2893" spans="1:17" x14ac:dyDescent="0.2">
      <c r="A2893" s="5"/>
      <c r="B2893" s="8" t="s">
        <v>7068</v>
      </c>
      <c r="H2893" s="8" t="s">
        <v>7064</v>
      </c>
      <c r="I2893" s="10" t="s">
        <v>553</v>
      </c>
      <c r="J2893" s="5">
        <f>100-10-20-5-1+1-5-2-5-5-3-3-4-4-4-1</f>
        <v>29</v>
      </c>
      <c r="K2893" s="5" t="s">
        <v>21</v>
      </c>
      <c r="L2893" s="70" t="s">
        <v>6383</v>
      </c>
      <c r="M2893" s="70">
        <v>22</v>
      </c>
      <c r="N2893" s="10" t="s">
        <v>553</v>
      </c>
    </row>
    <row r="2894" spans="1:17" x14ac:dyDescent="0.2">
      <c r="A2894" s="5">
        <v>1284</v>
      </c>
      <c r="B2894" s="8" t="s">
        <v>7069</v>
      </c>
      <c r="H2894" s="8" t="s">
        <v>7070</v>
      </c>
      <c r="I2894" s="10" t="s">
        <v>553</v>
      </c>
      <c r="J2894" s="5">
        <f>199-2-2-1-2-2-1-2-2-2-1-1-2-3-2-2-4-2-1-1-2-2-1-1-2-2-2-2-2-2-2-2-2-2-2-2-2-2-1-2-2-2-2-2-1-2-2+1-2-3-2-4-2-2-2</f>
        <v>98</v>
      </c>
      <c r="K2894" s="5" t="s">
        <v>21</v>
      </c>
      <c r="L2894" s="70" t="s">
        <v>6383</v>
      </c>
      <c r="M2894" s="70">
        <v>22</v>
      </c>
      <c r="N2894" s="10" t="s">
        <v>553</v>
      </c>
      <c r="O2894" s="5" t="s">
        <v>6907</v>
      </c>
      <c r="Q2894" s="5" t="s">
        <v>7057</v>
      </c>
    </row>
    <row r="2895" spans="1:17" x14ac:dyDescent="0.2">
      <c r="A2895" s="5">
        <v>288</v>
      </c>
      <c r="B2895" s="8" t="s">
        <v>7071</v>
      </c>
      <c r="H2895" s="8" t="s">
        <v>7072</v>
      </c>
      <c r="I2895" s="8" t="s">
        <v>7072</v>
      </c>
      <c r="J2895" s="5">
        <f>52-4-3</f>
        <v>45</v>
      </c>
      <c r="K2895" s="5" t="s">
        <v>292</v>
      </c>
      <c r="L2895" s="70" t="s">
        <v>6383</v>
      </c>
      <c r="M2895" s="70">
        <v>23</v>
      </c>
      <c r="N2895" s="5" t="s">
        <v>6907</v>
      </c>
      <c r="O2895" s="5" t="s">
        <v>520</v>
      </c>
      <c r="Q2895" s="5" t="s">
        <v>7073</v>
      </c>
    </row>
    <row r="2896" spans="1:17" x14ac:dyDescent="0.2">
      <c r="A2896" s="5">
        <v>1313</v>
      </c>
      <c r="B2896" s="108" t="s">
        <v>7074</v>
      </c>
      <c r="H2896" s="11" t="s">
        <v>7075</v>
      </c>
      <c r="I2896" s="10" t="s">
        <v>7076</v>
      </c>
      <c r="J2896" s="5">
        <f>97-1-26-2-1-1-1+100-2-3-1-2-4-1-1-2-2-2-2-2-2-2-2-1-72-2-2-1-2-1-1-1-2-2-1-1-2-3-17-2-2-2-2-2-1-3-5-5</f>
        <v>0</v>
      </c>
      <c r="K2896" s="5" t="s">
        <v>21</v>
      </c>
      <c r="L2896" s="70" t="s">
        <v>6383</v>
      </c>
      <c r="M2896" s="70">
        <v>23</v>
      </c>
      <c r="N2896" s="10" t="s">
        <v>553</v>
      </c>
      <c r="O2896" s="5" t="s">
        <v>6907</v>
      </c>
      <c r="Q2896" s="5" t="s">
        <v>7077</v>
      </c>
    </row>
    <row r="2897" spans="1:18" x14ac:dyDescent="0.2">
      <c r="A2897" s="5"/>
      <c r="B2897" s="108" t="s">
        <v>7078</v>
      </c>
      <c r="H2897" s="11" t="s">
        <v>7079</v>
      </c>
      <c r="I2897" s="10" t="s">
        <v>7079</v>
      </c>
      <c r="J2897" s="5">
        <f>200-1-2-2-1-2-2-2-1-2-2-2-2-2-1</f>
        <v>176</v>
      </c>
      <c r="K2897" s="5" t="s">
        <v>21</v>
      </c>
      <c r="L2897" s="70" t="s">
        <v>6383</v>
      </c>
      <c r="M2897" s="70">
        <v>23</v>
      </c>
      <c r="N2897" s="10" t="s">
        <v>553</v>
      </c>
      <c r="Q2897" s="107" t="s">
        <v>7080</v>
      </c>
    </row>
    <row r="2898" spans="1:18" x14ac:dyDescent="0.2">
      <c r="A2898" s="5">
        <v>1285</v>
      </c>
      <c r="B2898" s="108" t="s">
        <v>7081</v>
      </c>
      <c r="H2898" s="8" t="s">
        <v>7082</v>
      </c>
      <c r="I2898" s="10" t="s">
        <v>6980</v>
      </c>
      <c r="J2898" s="5">
        <f>351-2-2-1-1-10-1-2-2-2-2</f>
        <v>326</v>
      </c>
      <c r="K2898" s="5" t="s">
        <v>21</v>
      </c>
      <c r="L2898" s="70" t="s">
        <v>6383</v>
      </c>
      <c r="M2898" s="70">
        <v>23</v>
      </c>
      <c r="N2898" s="10" t="s">
        <v>553</v>
      </c>
      <c r="O2898" s="5" t="s">
        <v>6907</v>
      </c>
      <c r="Q2898" s="5" t="s">
        <v>7017</v>
      </c>
    </row>
    <row r="2899" spans="1:18" x14ac:dyDescent="0.2">
      <c r="A2899" s="5">
        <v>301</v>
      </c>
      <c r="B2899" t="s">
        <v>7083</v>
      </c>
      <c r="C2899"/>
      <c r="D2899"/>
      <c r="E2899" s="27"/>
      <c r="F2899"/>
      <c r="G2899"/>
      <c r="H2899" s="8" t="s">
        <v>7072</v>
      </c>
      <c r="I2899" s="8" t="s">
        <v>7072</v>
      </c>
      <c r="J2899" s="5">
        <f>113</f>
        <v>113</v>
      </c>
      <c r="K2899" s="5" t="s">
        <v>292</v>
      </c>
      <c r="L2899" s="70" t="s">
        <v>6383</v>
      </c>
      <c r="M2899" s="70">
        <v>23</v>
      </c>
      <c r="N2899" s="5" t="s">
        <v>6907</v>
      </c>
      <c r="O2899" s="5" t="s">
        <v>520</v>
      </c>
      <c r="Q2899" s="5" t="s">
        <v>7073</v>
      </c>
    </row>
    <row r="2900" spans="1:18" x14ac:dyDescent="0.2">
      <c r="A2900" s="5"/>
      <c r="B2900" s="8" t="s">
        <v>7084</v>
      </c>
      <c r="H2900" s="8" t="s">
        <v>7064</v>
      </c>
      <c r="I2900" s="10"/>
      <c r="J2900" s="5">
        <f>194-3-3-5-4-4-5-3-2-4-4-1-4-4-4-5-6-3-5-4-6-1-3</f>
        <v>111</v>
      </c>
      <c r="K2900" s="5" t="s">
        <v>21</v>
      </c>
      <c r="L2900" s="70" t="s">
        <v>6383</v>
      </c>
      <c r="M2900" s="70">
        <v>24</v>
      </c>
      <c r="N2900" s="10" t="s">
        <v>553</v>
      </c>
    </row>
    <row r="2901" spans="1:18" x14ac:dyDescent="0.2">
      <c r="A2901" s="5"/>
      <c r="B2901" s="108" t="s">
        <v>7085</v>
      </c>
      <c r="H2901" s="108" t="s">
        <v>7086</v>
      </c>
      <c r="I2901" s="10"/>
      <c r="J2901" s="5">
        <f>490-20-24-15-5-1-4-4-3-2-4-3-3-30-6-3-4-4-4-4-4-3-4-2-4-6-5-3-4-4-4-4-1-4-4-4-1-4-3-40-4-144</f>
        <v>91</v>
      </c>
      <c r="K2901" s="5" t="s">
        <v>21</v>
      </c>
      <c r="L2901" s="70" t="s">
        <v>6383</v>
      </c>
      <c r="M2901" s="70">
        <v>25</v>
      </c>
      <c r="N2901" s="10" t="s">
        <v>553</v>
      </c>
    </row>
    <row r="2902" spans="1:18" x14ac:dyDescent="0.2">
      <c r="A2902" s="5">
        <v>1288</v>
      </c>
      <c r="B2902" s="8" t="s">
        <v>7087</v>
      </c>
      <c r="H2902" s="8" t="s">
        <v>7088</v>
      </c>
      <c r="I2902" s="10" t="s">
        <v>553</v>
      </c>
      <c r="J2902" s="5">
        <f>72-1</f>
        <v>71</v>
      </c>
      <c r="K2902" s="5" t="s">
        <v>21</v>
      </c>
      <c r="L2902" s="70" t="s">
        <v>6383</v>
      </c>
      <c r="M2902" s="70">
        <v>25</v>
      </c>
      <c r="N2902" s="10" t="s">
        <v>553</v>
      </c>
      <c r="O2902" s="5" t="s">
        <v>6907</v>
      </c>
      <c r="Q2902" s="5" t="s">
        <v>7089</v>
      </c>
    </row>
    <row r="2903" spans="1:18" x14ac:dyDescent="0.2">
      <c r="A2903" s="5">
        <v>1287</v>
      </c>
      <c r="B2903" s="8" t="s">
        <v>7090</v>
      </c>
      <c r="H2903" s="8" t="s">
        <v>7091</v>
      </c>
      <c r="I2903" s="10" t="s">
        <v>553</v>
      </c>
      <c r="J2903" s="5">
        <f>63-3-2+100-4-1-2-1-24-14-2-1-2-2-2-2-2-2-2-2-2-3-2-1-16+1-22-2-2-3-2-1-3-1-2-2-2-1-2-1+200-1+1</f>
        <v>224</v>
      </c>
      <c r="K2903" s="5" t="s">
        <v>21</v>
      </c>
      <c r="L2903" s="70" t="s">
        <v>6383</v>
      </c>
      <c r="M2903" s="70">
        <v>26</v>
      </c>
      <c r="N2903" s="10" t="s">
        <v>553</v>
      </c>
      <c r="O2903" s="5" t="s">
        <v>6907</v>
      </c>
      <c r="Q2903" s="5" t="s">
        <v>7057</v>
      </c>
      <c r="R2903" s="5" t="s">
        <v>7092</v>
      </c>
    </row>
    <row r="2904" spans="1:18" x14ac:dyDescent="0.2">
      <c r="A2904" s="5"/>
      <c r="B2904" s="147" t="s">
        <v>7093</v>
      </c>
      <c r="H2904" s="8" t="s">
        <v>7094</v>
      </c>
      <c r="I2904" s="8" t="s">
        <v>7094</v>
      </c>
      <c r="J2904" s="5">
        <v>0</v>
      </c>
      <c r="K2904" s="5" t="s">
        <v>21</v>
      </c>
      <c r="L2904" s="70" t="s">
        <v>6383</v>
      </c>
      <c r="M2904" s="70">
        <v>27</v>
      </c>
      <c r="N2904" s="10" t="s">
        <v>553</v>
      </c>
    </row>
    <row r="2905" spans="1:18" x14ac:dyDescent="0.2">
      <c r="A2905" s="5">
        <v>1290</v>
      </c>
      <c r="B2905" s="8" t="s">
        <v>7095</v>
      </c>
      <c r="H2905" s="8" t="s">
        <v>7094</v>
      </c>
      <c r="I2905" s="8" t="s">
        <v>7094</v>
      </c>
      <c r="J2905" s="5">
        <f>0+25+1-1</f>
        <v>25</v>
      </c>
      <c r="K2905" s="5" t="s">
        <v>21</v>
      </c>
      <c r="L2905" s="5" t="s">
        <v>6383</v>
      </c>
      <c r="M2905" s="5">
        <v>27</v>
      </c>
      <c r="N2905" s="10" t="s">
        <v>553</v>
      </c>
      <c r="O2905" s="5" t="s">
        <v>6907</v>
      </c>
      <c r="Q2905" s="107" t="s">
        <v>7096</v>
      </c>
    </row>
    <row r="2906" spans="1:18" x14ac:dyDescent="0.2">
      <c r="A2906" s="5"/>
      <c r="B2906" s="8" t="s">
        <v>7097</v>
      </c>
      <c r="H2906" s="8" t="s">
        <v>7094</v>
      </c>
      <c r="I2906" s="8" t="s">
        <v>7094</v>
      </c>
      <c r="J2906" s="5">
        <f>0+14-1-1-2-2-1-1-1-2-1-2+10-1-2-1-2-2-2+34</f>
        <v>34</v>
      </c>
      <c r="K2906" s="5" t="s">
        <v>21</v>
      </c>
      <c r="L2906" s="5" t="s">
        <v>6383</v>
      </c>
      <c r="M2906" s="5">
        <v>27</v>
      </c>
      <c r="N2906" s="10" t="s">
        <v>553</v>
      </c>
      <c r="Q2906" s="107"/>
    </row>
    <row r="2907" spans="1:18" x14ac:dyDescent="0.2">
      <c r="A2907" s="5"/>
      <c r="B2907" s="8" t="s">
        <v>7098</v>
      </c>
      <c r="H2907" s="8" t="s">
        <v>7094</v>
      </c>
      <c r="I2907" s="8" t="s">
        <v>7094</v>
      </c>
      <c r="J2907" s="5">
        <f>14-2-2-1-2-2-1-2-2+45</f>
        <v>45</v>
      </c>
      <c r="K2907" s="5" t="s">
        <v>21</v>
      </c>
      <c r="L2907" s="5" t="s">
        <v>6383</v>
      </c>
      <c r="M2907" s="5">
        <v>27</v>
      </c>
      <c r="N2907" s="10" t="s">
        <v>553</v>
      </c>
      <c r="Q2907" s="107" t="s">
        <v>7096</v>
      </c>
    </row>
    <row r="2908" spans="1:18" x14ac:dyDescent="0.2">
      <c r="A2908" s="5">
        <v>1291</v>
      </c>
      <c r="B2908" s="8" t="s">
        <v>7099</v>
      </c>
      <c r="H2908" s="8" t="s">
        <v>7100</v>
      </c>
      <c r="I2908" s="10" t="s">
        <v>553</v>
      </c>
      <c r="J2908" s="5">
        <f>160-15-15-22-11-26+47</f>
        <v>118</v>
      </c>
      <c r="K2908" s="5" t="s">
        <v>21</v>
      </c>
      <c r="L2908" s="70" t="s">
        <v>6383</v>
      </c>
      <c r="M2908" s="70">
        <v>28</v>
      </c>
      <c r="N2908" s="10" t="s">
        <v>553</v>
      </c>
      <c r="O2908" s="5" t="s">
        <v>6907</v>
      </c>
      <c r="Q2908" s="5" t="s">
        <v>7017</v>
      </c>
    </row>
    <row r="2909" spans="1:18" x14ac:dyDescent="0.2">
      <c r="A2909" s="5">
        <v>1292</v>
      </c>
      <c r="B2909" s="8" t="s">
        <v>7101</v>
      </c>
      <c r="H2909" s="8" t="s">
        <v>7102</v>
      </c>
      <c r="I2909" s="10" t="s">
        <v>7102</v>
      </c>
      <c r="J2909" s="5">
        <f>36-22-7-1-2+60-1-2-2-2-1-1-2-25-1-2-2-3+80-5-2-2-1-2-1-10-2-1-3-4-2-3-4-2+2-23</f>
        <v>35</v>
      </c>
      <c r="K2909" s="5" t="s">
        <v>21</v>
      </c>
      <c r="L2909" s="70" t="s">
        <v>6383</v>
      </c>
      <c r="M2909" s="70">
        <v>29</v>
      </c>
      <c r="N2909" s="10" t="s">
        <v>553</v>
      </c>
      <c r="O2909" s="5" t="s">
        <v>6907</v>
      </c>
      <c r="Q2909" s="5" t="s">
        <v>7017</v>
      </c>
    </row>
    <row r="2910" spans="1:18" x14ac:dyDescent="0.2">
      <c r="A2910" s="5">
        <v>1293</v>
      </c>
      <c r="B2910" s="8" t="s">
        <v>4184</v>
      </c>
      <c r="H2910" s="8" t="s">
        <v>7103</v>
      </c>
      <c r="I2910" s="10" t="s">
        <v>553</v>
      </c>
      <c r="J2910" s="5">
        <f>194-1</f>
        <v>193</v>
      </c>
      <c r="K2910" s="5" t="s">
        <v>21</v>
      </c>
      <c r="L2910" s="70" t="s">
        <v>6383</v>
      </c>
      <c r="M2910" s="70">
        <v>30</v>
      </c>
      <c r="N2910" s="10" t="s">
        <v>553</v>
      </c>
      <c r="O2910" s="5" t="s">
        <v>6907</v>
      </c>
      <c r="Q2910" s="5" t="s">
        <v>7057</v>
      </c>
    </row>
    <row r="2911" spans="1:18" x14ac:dyDescent="0.2">
      <c r="A2911" s="5">
        <v>1294</v>
      </c>
      <c r="B2911" s="8" t="s">
        <v>7104</v>
      </c>
      <c r="H2911" s="8" t="s">
        <v>7105</v>
      </c>
      <c r="I2911" s="10" t="s">
        <v>553</v>
      </c>
      <c r="J2911" s="5">
        <f>48</f>
        <v>48</v>
      </c>
      <c r="K2911" s="5" t="s">
        <v>21</v>
      </c>
      <c r="L2911" s="70" t="s">
        <v>6383</v>
      </c>
      <c r="M2911" s="70">
        <v>30</v>
      </c>
      <c r="N2911" s="10" t="s">
        <v>553</v>
      </c>
      <c r="O2911" s="5" t="s">
        <v>6907</v>
      </c>
      <c r="Q2911" s="5" t="s">
        <v>7106</v>
      </c>
    </row>
    <row r="2912" spans="1:18" x14ac:dyDescent="0.2">
      <c r="A2912" s="5">
        <v>1295</v>
      </c>
      <c r="B2912" s="34" t="s">
        <v>7107</v>
      </c>
      <c r="H2912" s="8" t="s">
        <v>7108</v>
      </c>
      <c r="I2912" s="10" t="s">
        <v>553</v>
      </c>
      <c r="J2912" s="5">
        <f>73-20-2-1-2-2-2-2-2-2-1-6-2-1-1-2-1+1-1-1-1</f>
        <v>22</v>
      </c>
      <c r="K2912" s="5" t="s">
        <v>848</v>
      </c>
      <c r="L2912" s="70" t="s">
        <v>6383</v>
      </c>
      <c r="M2912" s="70">
        <v>31</v>
      </c>
      <c r="N2912" s="10" t="s">
        <v>553</v>
      </c>
      <c r="O2912" s="5" t="s">
        <v>6907</v>
      </c>
      <c r="Q2912" s="5" t="s">
        <v>7017</v>
      </c>
    </row>
    <row r="2913" spans="1:17" x14ac:dyDescent="0.2">
      <c r="A2913" s="5">
        <v>1296</v>
      </c>
      <c r="B2913" s="8" t="s">
        <v>7109</v>
      </c>
      <c r="H2913" s="8" t="s">
        <v>7110</v>
      </c>
      <c r="I2913" s="10" t="s">
        <v>553</v>
      </c>
      <c r="J2913" s="5">
        <f>6-1-1-1-1-1-1+6-1+14</f>
        <v>19</v>
      </c>
      <c r="K2913" s="5" t="s">
        <v>21</v>
      </c>
      <c r="L2913" s="70" t="s">
        <v>6383</v>
      </c>
      <c r="M2913" s="70">
        <v>32</v>
      </c>
      <c r="N2913" s="10" t="s">
        <v>553</v>
      </c>
      <c r="O2913" s="5" t="s">
        <v>6907</v>
      </c>
      <c r="Q2913" s="107" t="s">
        <v>7111</v>
      </c>
    </row>
    <row r="2914" spans="1:17" x14ac:dyDescent="0.2">
      <c r="A2914" s="5">
        <v>1298</v>
      </c>
      <c r="B2914" s="8" t="s">
        <v>7112</v>
      </c>
      <c r="H2914" s="8" t="s">
        <v>7113</v>
      </c>
      <c r="I2914" s="8" t="s">
        <v>7113</v>
      </c>
      <c r="J2914" s="5">
        <f>150-8-4-16-4-4-4-4-2-4-4+50-4-142</f>
        <v>0</v>
      </c>
      <c r="K2914" s="5" t="s">
        <v>21</v>
      </c>
      <c r="L2914" s="70" t="s">
        <v>6383</v>
      </c>
      <c r="M2914" s="70">
        <v>33</v>
      </c>
      <c r="N2914" s="10" t="s">
        <v>553</v>
      </c>
      <c r="O2914" s="5" t="s">
        <v>6907</v>
      </c>
      <c r="Q2914" s="5" t="s">
        <v>7114</v>
      </c>
    </row>
    <row r="2915" spans="1:17" x14ac:dyDescent="0.2">
      <c r="A2915" s="5"/>
      <c r="B2915" s="8" t="s">
        <v>7115</v>
      </c>
      <c r="H2915" s="108" t="s">
        <v>7116</v>
      </c>
      <c r="I2915" s="108" t="s">
        <v>7116</v>
      </c>
      <c r="J2915" s="5">
        <f>100-6-4-4-4-4-6-4-4-6-4-4-6-4-4-8-6-4-18</f>
        <v>0</v>
      </c>
      <c r="K2915" s="5" t="s">
        <v>21</v>
      </c>
      <c r="L2915" s="70" t="s">
        <v>6383</v>
      </c>
      <c r="M2915" s="70">
        <v>33</v>
      </c>
      <c r="N2915" s="10" t="s">
        <v>553</v>
      </c>
      <c r="Q2915" s="107" t="s">
        <v>7117</v>
      </c>
    </row>
    <row r="2916" spans="1:17" x14ac:dyDescent="0.2">
      <c r="A2916" s="5">
        <v>1299</v>
      </c>
      <c r="B2916" s="34" t="s">
        <v>7118</v>
      </c>
      <c r="H2916" s="8" t="s">
        <v>7119</v>
      </c>
      <c r="I2916" s="10" t="s">
        <v>553</v>
      </c>
      <c r="J2916" s="5">
        <f>5-1+5</f>
        <v>9</v>
      </c>
      <c r="K2916" s="5" t="s">
        <v>21</v>
      </c>
      <c r="L2916" s="70" t="s">
        <v>6383</v>
      </c>
      <c r="M2916" s="70">
        <v>34</v>
      </c>
      <c r="N2916" s="10" t="s">
        <v>553</v>
      </c>
      <c r="O2916" s="5" t="s">
        <v>6907</v>
      </c>
      <c r="Q2916" s="5" t="s">
        <v>7120</v>
      </c>
    </row>
    <row r="2917" spans="1:17" x14ac:dyDescent="0.2">
      <c r="A2917" s="5">
        <v>1300</v>
      </c>
      <c r="B2917" s="8" t="s">
        <v>7121</v>
      </c>
      <c r="H2917" s="8" t="s">
        <v>7122</v>
      </c>
      <c r="I2917" s="10" t="s">
        <v>553</v>
      </c>
      <c r="J2917" s="5">
        <f>152-4-4-1-1-1-1+1-7-1-1-1-1-5-6-2-1-1-3-1-2-1-1-1-29</f>
        <v>77</v>
      </c>
      <c r="K2917" s="5" t="s">
        <v>21</v>
      </c>
      <c r="L2917" s="70" t="s">
        <v>6383</v>
      </c>
      <c r="M2917" s="70">
        <v>35</v>
      </c>
      <c r="N2917" s="10" t="s">
        <v>553</v>
      </c>
      <c r="O2917" s="5" t="s">
        <v>6907</v>
      </c>
      <c r="Q2917" s="5" t="s">
        <v>7123</v>
      </c>
    </row>
    <row r="2918" spans="1:17" x14ac:dyDescent="0.2">
      <c r="A2918" s="5">
        <v>1301</v>
      </c>
      <c r="B2918" s="8" t="s">
        <v>7124</v>
      </c>
      <c r="H2918" s="8" t="s">
        <v>7125</v>
      </c>
      <c r="I2918" s="10" t="s">
        <v>553</v>
      </c>
      <c r="J2918" s="5">
        <f>28-2-3-1-1-1-1-3-1-1-1-2-2-3-1-1-1-1-1-1+10-2-1-1-1-1</f>
        <v>4</v>
      </c>
      <c r="K2918" s="5" t="s">
        <v>21</v>
      </c>
      <c r="L2918" s="70" t="s">
        <v>6383</v>
      </c>
      <c r="M2918" s="70">
        <v>35</v>
      </c>
      <c r="N2918" s="10" t="s">
        <v>553</v>
      </c>
      <c r="O2918" s="5" t="s">
        <v>6907</v>
      </c>
      <c r="Q2918" s="5" t="s">
        <v>7017</v>
      </c>
    </row>
    <row r="2919" spans="1:17" x14ac:dyDescent="0.2">
      <c r="A2919" s="5"/>
      <c r="B2919" s="8" t="s">
        <v>7126</v>
      </c>
      <c r="H2919" s="8" t="s">
        <v>7127</v>
      </c>
      <c r="I2919" s="10"/>
      <c r="J2919" s="5">
        <f>3-3+5-1-1-1--1-1+15-2-1+18-1-1+6-1-1</f>
        <v>34</v>
      </c>
      <c r="K2919" s="5" t="s">
        <v>21</v>
      </c>
      <c r="L2919" s="70" t="s">
        <v>6383</v>
      </c>
      <c r="M2919" s="70">
        <v>36</v>
      </c>
      <c r="N2919" s="10" t="s">
        <v>553</v>
      </c>
    </row>
    <row r="2920" spans="1:17" x14ac:dyDescent="0.2">
      <c r="A2920" s="5"/>
      <c r="B2920" s="8" t="s">
        <v>7128</v>
      </c>
      <c r="H2920" s="8" t="s">
        <v>7129</v>
      </c>
      <c r="I2920" s="10" t="s">
        <v>7129</v>
      </c>
      <c r="J2920" s="5">
        <f>7-7</f>
        <v>0</v>
      </c>
      <c r="K2920" s="5" t="s">
        <v>21</v>
      </c>
      <c r="L2920" s="70" t="s">
        <v>6383</v>
      </c>
      <c r="M2920" s="70">
        <v>36</v>
      </c>
      <c r="N2920" s="10" t="s">
        <v>553</v>
      </c>
      <c r="Q2920" s="107" t="s">
        <v>7130</v>
      </c>
    </row>
    <row r="2921" spans="1:17" x14ac:dyDescent="0.2">
      <c r="A2921" s="5">
        <v>1303</v>
      </c>
      <c r="B2921" s="8" t="s">
        <v>7131</v>
      </c>
      <c r="H2921" s="8" t="s">
        <v>7127</v>
      </c>
      <c r="I2921" s="10" t="s">
        <v>553</v>
      </c>
      <c r="J2921" s="5">
        <f>4</f>
        <v>4</v>
      </c>
      <c r="K2921" s="5" t="s">
        <v>21</v>
      </c>
      <c r="L2921" s="70" t="s">
        <v>6383</v>
      </c>
      <c r="M2921" s="70">
        <v>36</v>
      </c>
      <c r="N2921" s="10" t="s">
        <v>553</v>
      </c>
      <c r="O2921" s="5" t="s">
        <v>6907</v>
      </c>
      <c r="Q2921" s="5" t="s">
        <v>7132</v>
      </c>
    </row>
    <row r="2922" spans="1:17" x14ac:dyDescent="0.2">
      <c r="A2922" s="77"/>
      <c r="B2922" s="8" t="s">
        <v>4184</v>
      </c>
      <c r="H2922" s="8" t="s">
        <v>7133</v>
      </c>
      <c r="I2922" s="10" t="s">
        <v>553</v>
      </c>
      <c r="J2922" s="5">
        <f>6</f>
        <v>6</v>
      </c>
      <c r="K2922" s="5" t="s">
        <v>21</v>
      </c>
      <c r="L2922" s="70" t="s">
        <v>6383</v>
      </c>
      <c r="M2922" s="70">
        <v>36</v>
      </c>
      <c r="N2922" s="10" t="s">
        <v>553</v>
      </c>
    </row>
    <row r="2923" spans="1:17" x14ac:dyDescent="0.2">
      <c r="A2923" s="5">
        <v>1302</v>
      </c>
      <c r="B2923" s="8" t="s">
        <v>7134</v>
      </c>
      <c r="H2923" s="8" t="s">
        <v>7135</v>
      </c>
      <c r="I2923" s="10" t="s">
        <v>553</v>
      </c>
      <c r="J2923" s="5">
        <f>56-3-1-1</f>
        <v>51</v>
      </c>
      <c r="K2923" s="5" t="s">
        <v>21</v>
      </c>
      <c r="L2923" s="70" t="s">
        <v>6383</v>
      </c>
      <c r="M2923" s="70">
        <v>36</v>
      </c>
      <c r="N2923" s="10" t="s">
        <v>553</v>
      </c>
      <c r="O2923" s="5" t="s">
        <v>6907</v>
      </c>
      <c r="Q2923" s="5" t="s">
        <v>7136</v>
      </c>
    </row>
    <row r="2924" spans="1:17" x14ac:dyDescent="0.2">
      <c r="A2924" s="5">
        <v>1304</v>
      </c>
      <c r="B2924" s="8" t="s">
        <v>4184</v>
      </c>
      <c r="H2924" s="8" t="s">
        <v>7137</v>
      </c>
      <c r="I2924" s="10" t="s">
        <v>553</v>
      </c>
      <c r="J2924" s="5">
        <f>15-2-1-1-1-1-1-1</f>
        <v>7</v>
      </c>
      <c r="K2924" s="5" t="s">
        <v>21</v>
      </c>
      <c r="L2924" s="70" t="s">
        <v>6383</v>
      </c>
      <c r="M2924" s="70">
        <v>37</v>
      </c>
      <c r="N2924" s="10" t="s">
        <v>553</v>
      </c>
      <c r="O2924" s="5" t="s">
        <v>6907</v>
      </c>
      <c r="Q2924" s="5" t="s">
        <v>7138</v>
      </c>
    </row>
    <row r="2925" spans="1:17" x14ac:dyDescent="0.2">
      <c r="A2925" s="5">
        <v>1305</v>
      </c>
      <c r="B2925" s="8" t="s">
        <v>7087</v>
      </c>
      <c r="H2925" s="8" t="s">
        <v>7139</v>
      </c>
      <c r="I2925" s="10" t="s">
        <v>553</v>
      </c>
      <c r="J2925" s="5">
        <f>9-1+1-2</f>
        <v>7</v>
      </c>
      <c r="K2925" s="5" t="s">
        <v>21</v>
      </c>
      <c r="L2925" s="70" t="s">
        <v>6383</v>
      </c>
      <c r="M2925" s="70">
        <v>37</v>
      </c>
      <c r="N2925" s="10" t="s">
        <v>553</v>
      </c>
      <c r="O2925" s="5" t="s">
        <v>6907</v>
      </c>
      <c r="Q2925" s="5" t="s">
        <v>7140</v>
      </c>
    </row>
    <row r="2926" spans="1:17" x14ac:dyDescent="0.2">
      <c r="A2926" s="5">
        <v>1308</v>
      </c>
      <c r="B2926" s="8" t="s">
        <v>7141</v>
      </c>
      <c r="H2926" s="8" t="s">
        <v>7142</v>
      </c>
      <c r="I2926" s="10" t="s">
        <v>553</v>
      </c>
      <c r="J2926" s="5">
        <f>10</f>
        <v>10</v>
      </c>
      <c r="K2926" s="5" t="s">
        <v>7143</v>
      </c>
      <c r="L2926" s="70" t="s">
        <v>6383</v>
      </c>
      <c r="M2926" s="70">
        <v>39</v>
      </c>
      <c r="N2926" s="10" t="s">
        <v>553</v>
      </c>
      <c r="O2926" s="5" t="s">
        <v>6907</v>
      </c>
      <c r="Q2926" s="5" t="s">
        <v>7144</v>
      </c>
    </row>
    <row r="2927" spans="1:17" x14ac:dyDescent="0.2">
      <c r="A2927" s="5">
        <v>295</v>
      </c>
      <c r="B2927" s="8" t="s">
        <v>7145</v>
      </c>
      <c r="H2927" s="8" t="s">
        <v>7146</v>
      </c>
      <c r="I2927" s="8" t="s">
        <v>553</v>
      </c>
      <c r="J2927" s="5">
        <f>7</f>
        <v>7</v>
      </c>
      <c r="K2927" s="5" t="s">
        <v>7143</v>
      </c>
      <c r="L2927" s="70" t="s">
        <v>6383</v>
      </c>
      <c r="M2927" s="70">
        <v>39</v>
      </c>
      <c r="N2927" s="5" t="s">
        <v>553</v>
      </c>
      <c r="O2927" s="5" t="s">
        <v>6907</v>
      </c>
      <c r="Q2927" s="5" t="s">
        <v>7147</v>
      </c>
    </row>
    <row r="2928" spans="1:17" x14ac:dyDescent="0.2">
      <c r="A2928" s="5">
        <v>1340</v>
      </c>
      <c r="B2928" s="8" t="s">
        <v>7148</v>
      </c>
      <c r="H2928" s="8" t="s">
        <v>7149</v>
      </c>
      <c r="I2928" s="11" t="s">
        <v>553</v>
      </c>
      <c r="J2928" s="5">
        <v>5</v>
      </c>
      <c r="K2928" s="5" t="s">
        <v>7143</v>
      </c>
      <c r="L2928" s="70" t="s">
        <v>6383</v>
      </c>
      <c r="M2928" s="70">
        <v>39</v>
      </c>
      <c r="N2928" s="10" t="s">
        <v>553</v>
      </c>
      <c r="O2928" s="5" t="s">
        <v>6907</v>
      </c>
      <c r="Q2928" s="5" t="s">
        <v>7150</v>
      </c>
    </row>
    <row r="2929" spans="1:21" x14ac:dyDescent="0.2">
      <c r="A2929" s="5"/>
      <c r="B2929" s="8" t="s">
        <v>7151</v>
      </c>
      <c r="H2929" s="8" t="s">
        <v>7152</v>
      </c>
      <c r="I2929" s="11" t="s">
        <v>553</v>
      </c>
      <c r="J2929" s="5">
        <f>1-1</f>
        <v>0</v>
      </c>
      <c r="K2929" s="5" t="s">
        <v>7143</v>
      </c>
      <c r="L2929" s="70" t="s">
        <v>6383</v>
      </c>
      <c r="M2929" s="70">
        <v>39</v>
      </c>
      <c r="N2929" s="10"/>
    </row>
    <row r="2930" spans="1:21" x14ac:dyDescent="0.2">
      <c r="A2930" s="5"/>
      <c r="B2930" s="8" t="s">
        <v>7153</v>
      </c>
      <c r="H2930" s="8" t="s">
        <v>7154</v>
      </c>
      <c r="I2930" s="11"/>
      <c r="J2930" s="5">
        <f>4-1-1</f>
        <v>2</v>
      </c>
      <c r="K2930" s="5" t="s">
        <v>7143</v>
      </c>
      <c r="L2930" s="70" t="s">
        <v>6383</v>
      </c>
      <c r="M2930" s="70">
        <v>39</v>
      </c>
      <c r="N2930" s="10"/>
    </row>
    <row r="2931" spans="1:21" x14ac:dyDescent="0.2">
      <c r="A2931" s="5"/>
      <c r="B2931" s="8" t="s">
        <v>7155</v>
      </c>
      <c r="H2931" s="8" t="s">
        <v>7156</v>
      </c>
      <c r="I2931" s="11"/>
      <c r="J2931" s="5">
        <f>11</f>
        <v>11</v>
      </c>
      <c r="K2931" s="5" t="s">
        <v>7143</v>
      </c>
      <c r="L2931" s="70" t="s">
        <v>6383</v>
      </c>
      <c r="M2931" s="70">
        <v>39</v>
      </c>
      <c r="N2931" s="10"/>
    </row>
    <row r="2932" spans="1:21" x14ac:dyDescent="0.2">
      <c r="A2932" s="5">
        <v>1311</v>
      </c>
      <c r="B2932" s="8" t="s">
        <v>7145</v>
      </c>
      <c r="H2932" s="8" t="s">
        <v>7157</v>
      </c>
      <c r="I2932" s="10" t="s">
        <v>553</v>
      </c>
      <c r="J2932" s="5">
        <f>11-4</f>
        <v>7</v>
      </c>
      <c r="K2932" s="5" t="s">
        <v>7143</v>
      </c>
      <c r="L2932" s="70" t="s">
        <v>6383</v>
      </c>
      <c r="M2932" s="70">
        <v>39</v>
      </c>
      <c r="N2932" s="10" t="s">
        <v>553</v>
      </c>
      <c r="O2932" s="5" t="s">
        <v>6907</v>
      </c>
      <c r="Q2932" s="5" t="s">
        <v>7158</v>
      </c>
    </row>
    <row r="2933" spans="1:21" x14ac:dyDescent="0.2">
      <c r="A2933" s="5">
        <v>1314</v>
      </c>
      <c r="B2933" s="8" t="s">
        <v>7159</v>
      </c>
      <c r="H2933" s="8" t="s">
        <v>7160</v>
      </c>
      <c r="I2933" s="11" t="s">
        <v>553</v>
      </c>
      <c r="J2933" s="5">
        <f>11</f>
        <v>11</v>
      </c>
      <c r="K2933" s="5" t="s">
        <v>21</v>
      </c>
      <c r="L2933" s="70" t="s">
        <v>6383</v>
      </c>
      <c r="M2933" s="70">
        <v>40</v>
      </c>
      <c r="N2933" s="10" t="s">
        <v>553</v>
      </c>
      <c r="O2933" s="5" t="s">
        <v>6907</v>
      </c>
      <c r="Q2933" s="5" t="s">
        <v>7161</v>
      </c>
    </row>
    <row r="2934" spans="1:21" x14ac:dyDescent="0.2">
      <c r="A2934" s="5">
        <v>1315</v>
      </c>
      <c r="B2934" s="11" t="s">
        <v>553</v>
      </c>
      <c r="C2934" s="11"/>
      <c r="D2934" s="11"/>
      <c r="E2934" s="26"/>
      <c r="F2934" s="11"/>
      <c r="G2934" s="11"/>
      <c r="H2934" s="8" t="s">
        <v>7162</v>
      </c>
      <c r="I2934" s="11" t="s">
        <v>553</v>
      </c>
      <c r="J2934" s="5">
        <f>2</f>
        <v>2</v>
      </c>
      <c r="K2934" s="5" t="s">
        <v>21</v>
      </c>
      <c r="L2934" s="70" t="s">
        <v>6383</v>
      </c>
      <c r="M2934" s="70">
        <v>40</v>
      </c>
      <c r="N2934" s="10" t="s">
        <v>553</v>
      </c>
      <c r="O2934" s="5" t="s">
        <v>6907</v>
      </c>
      <c r="S2934" s="5" t="s">
        <v>1139</v>
      </c>
      <c r="U2934" t="s">
        <v>288</v>
      </c>
    </row>
    <row r="2935" spans="1:21" x14ac:dyDescent="0.2">
      <c r="A2935" s="5">
        <v>1316</v>
      </c>
      <c r="B2935" s="8" t="s">
        <v>7163</v>
      </c>
      <c r="H2935" s="8" t="s">
        <v>7164</v>
      </c>
      <c r="I2935" s="11" t="s">
        <v>553</v>
      </c>
      <c r="J2935" s="5">
        <f>8-1-1-1-2</f>
        <v>3</v>
      </c>
      <c r="K2935" s="5" t="s">
        <v>21</v>
      </c>
      <c r="L2935" s="70" t="s">
        <v>6383</v>
      </c>
      <c r="M2935" s="70">
        <v>41</v>
      </c>
      <c r="N2935" s="10" t="s">
        <v>553</v>
      </c>
      <c r="O2935" s="5" t="s">
        <v>6907</v>
      </c>
      <c r="Q2935" s="5" t="s">
        <v>7165</v>
      </c>
    </row>
    <row r="2936" spans="1:21" x14ac:dyDescent="0.2">
      <c r="A2936" s="5">
        <v>1317</v>
      </c>
      <c r="B2936" s="8" t="s">
        <v>7166</v>
      </c>
      <c r="H2936" s="8" t="s">
        <v>7164</v>
      </c>
      <c r="I2936" s="11" t="s">
        <v>553</v>
      </c>
      <c r="J2936" s="5">
        <f>5</f>
        <v>5</v>
      </c>
      <c r="K2936" s="5" t="s">
        <v>21</v>
      </c>
      <c r="L2936" s="70" t="s">
        <v>6383</v>
      </c>
      <c r="M2936" s="70">
        <v>41</v>
      </c>
      <c r="N2936" s="10" t="s">
        <v>553</v>
      </c>
      <c r="O2936" s="5" t="s">
        <v>6907</v>
      </c>
      <c r="Q2936" s="5" t="s">
        <v>7167</v>
      </c>
    </row>
    <row r="2937" spans="1:21" x14ac:dyDescent="0.2">
      <c r="A2937" s="5">
        <v>1318</v>
      </c>
      <c r="B2937" s="8" t="s">
        <v>7168</v>
      </c>
      <c r="H2937" s="8" t="s">
        <v>7169</v>
      </c>
      <c r="I2937" s="11" t="s">
        <v>553</v>
      </c>
      <c r="J2937" s="5">
        <f>7-1-1-1-1-1-1-1</f>
        <v>0</v>
      </c>
      <c r="K2937" s="5" t="s">
        <v>7143</v>
      </c>
      <c r="L2937" s="70" t="s">
        <v>6383</v>
      </c>
      <c r="M2937" s="70">
        <v>42</v>
      </c>
      <c r="N2937" s="10" t="s">
        <v>553</v>
      </c>
      <c r="O2937" s="5" t="s">
        <v>6907</v>
      </c>
      <c r="Q2937" s="5" t="s">
        <v>7170</v>
      </c>
    </row>
    <row r="2938" spans="1:21" x14ac:dyDescent="0.2">
      <c r="A2938" s="5"/>
      <c r="B2938" s="8" t="s">
        <v>7171</v>
      </c>
      <c r="H2938" s="8" t="s">
        <v>7169</v>
      </c>
      <c r="I2938" s="11"/>
      <c r="J2938" s="5">
        <f>10-1-1-1-1-1+10</f>
        <v>15</v>
      </c>
      <c r="K2938" s="5" t="s">
        <v>7143</v>
      </c>
      <c r="L2938" s="70" t="s">
        <v>6383</v>
      </c>
      <c r="M2938" s="70">
        <v>42</v>
      </c>
      <c r="N2938" s="10"/>
    </row>
    <row r="2939" spans="1:21" x14ac:dyDescent="0.2">
      <c r="A2939" s="5">
        <v>1319</v>
      </c>
      <c r="B2939" s="8" t="s">
        <v>7172</v>
      </c>
      <c r="H2939" s="8" t="s">
        <v>7173</v>
      </c>
      <c r="I2939" s="11" t="s">
        <v>553</v>
      </c>
      <c r="J2939" s="5">
        <f>5-1-1-1-1+5-1-1-1+2</f>
        <v>5</v>
      </c>
      <c r="K2939" s="5" t="s">
        <v>7143</v>
      </c>
      <c r="L2939" s="70" t="s">
        <v>6383</v>
      </c>
      <c r="M2939" s="70">
        <v>42</v>
      </c>
      <c r="N2939" s="10" t="s">
        <v>553</v>
      </c>
      <c r="O2939" s="5" t="s">
        <v>6907</v>
      </c>
      <c r="Q2939" s="5" t="s">
        <v>7174</v>
      </c>
    </row>
    <row r="2940" spans="1:21" x14ac:dyDescent="0.2">
      <c r="A2940" s="5">
        <v>1320</v>
      </c>
      <c r="B2940" s="8" t="s">
        <v>7175</v>
      </c>
      <c r="H2940" s="8" t="s">
        <v>7176</v>
      </c>
      <c r="I2940" s="11" t="s">
        <v>553</v>
      </c>
      <c r="J2940" s="5">
        <f>22-2-2-1-1</f>
        <v>16</v>
      </c>
      <c r="K2940" s="5" t="s">
        <v>21</v>
      </c>
      <c r="L2940" s="70" t="s">
        <v>6383</v>
      </c>
      <c r="M2940" s="70">
        <v>43</v>
      </c>
      <c r="N2940" s="10" t="s">
        <v>553</v>
      </c>
      <c r="O2940" s="5" t="s">
        <v>6907</v>
      </c>
      <c r="Q2940" s="5" t="s">
        <v>7177</v>
      </c>
    </row>
    <row r="2941" spans="1:21" x14ac:dyDescent="0.2">
      <c r="A2941" s="5">
        <v>1321</v>
      </c>
      <c r="B2941" s="8">
        <v>303</v>
      </c>
      <c r="H2941" s="8" t="s">
        <v>7178</v>
      </c>
      <c r="I2941" s="11" t="s">
        <v>553</v>
      </c>
      <c r="J2941" s="5">
        <f>16</f>
        <v>16</v>
      </c>
      <c r="K2941" s="5" t="s">
        <v>21</v>
      </c>
      <c r="L2941" s="70" t="s">
        <v>6383</v>
      </c>
      <c r="M2941" s="70">
        <v>43</v>
      </c>
      <c r="N2941" s="10" t="s">
        <v>553</v>
      </c>
      <c r="O2941" s="5" t="s">
        <v>6907</v>
      </c>
      <c r="Q2941" s="5" t="s">
        <v>6927</v>
      </c>
    </row>
    <row r="2942" spans="1:21" x14ac:dyDescent="0.2">
      <c r="A2942" s="5"/>
      <c r="B2942" s="8" t="s">
        <v>7131</v>
      </c>
      <c r="H2942" s="8" t="s">
        <v>7179</v>
      </c>
      <c r="I2942" s="11"/>
      <c r="J2942" s="5">
        <f>6-1</f>
        <v>5</v>
      </c>
      <c r="K2942" s="5" t="s">
        <v>21</v>
      </c>
      <c r="L2942" s="70" t="s">
        <v>6383</v>
      </c>
      <c r="M2942" s="70">
        <v>44</v>
      </c>
      <c r="N2942" s="10"/>
    </row>
    <row r="2943" spans="1:21" x14ac:dyDescent="0.2">
      <c r="A2943" s="5">
        <v>1323</v>
      </c>
      <c r="B2943" s="8" t="s">
        <v>7180</v>
      </c>
      <c r="H2943" s="8" t="s">
        <v>7181</v>
      </c>
      <c r="I2943" s="11" t="s">
        <v>553</v>
      </c>
      <c r="J2943" s="5">
        <v>5</v>
      </c>
      <c r="K2943" s="5" t="s">
        <v>21</v>
      </c>
      <c r="L2943" s="70" t="s">
        <v>6383</v>
      </c>
      <c r="M2943" s="70">
        <v>44</v>
      </c>
      <c r="N2943" s="10" t="s">
        <v>553</v>
      </c>
      <c r="O2943" s="5" t="s">
        <v>6907</v>
      </c>
      <c r="S2943" s="5" t="s">
        <v>1139</v>
      </c>
      <c r="U2943" t="s">
        <v>321</v>
      </c>
    </row>
    <row r="2944" spans="1:21" x14ac:dyDescent="0.2">
      <c r="A2944" s="5">
        <v>1324</v>
      </c>
      <c r="B2944" s="8" t="s">
        <v>7182</v>
      </c>
      <c r="H2944" s="8" t="s">
        <v>7183</v>
      </c>
      <c r="I2944" s="11" t="s">
        <v>553</v>
      </c>
      <c r="J2944" s="5">
        <f>6-1</f>
        <v>5</v>
      </c>
      <c r="K2944" s="5" t="s">
        <v>21</v>
      </c>
      <c r="L2944" s="70" t="s">
        <v>6383</v>
      </c>
      <c r="M2944" s="70">
        <v>44</v>
      </c>
      <c r="N2944" s="10" t="s">
        <v>553</v>
      </c>
      <c r="O2944" s="5" t="s">
        <v>6907</v>
      </c>
      <c r="Q2944" s="5" t="s">
        <v>7184</v>
      </c>
    </row>
    <row r="2945" spans="1:21" x14ac:dyDescent="0.2">
      <c r="A2945" s="5">
        <v>1325</v>
      </c>
      <c r="B2945" s="8" t="s">
        <v>7185</v>
      </c>
      <c r="H2945" s="8" t="s">
        <v>7186</v>
      </c>
      <c r="I2945" s="11" t="s">
        <v>553</v>
      </c>
      <c r="J2945" s="5">
        <v>10</v>
      </c>
      <c r="K2945" s="5" t="s">
        <v>21</v>
      </c>
      <c r="L2945" s="70" t="s">
        <v>6383</v>
      </c>
      <c r="M2945" s="70">
        <v>44</v>
      </c>
      <c r="N2945" s="10" t="s">
        <v>553</v>
      </c>
      <c r="O2945" s="5" t="s">
        <v>6907</v>
      </c>
      <c r="Q2945" s="5" t="s">
        <v>7184</v>
      </c>
    </row>
    <row r="2946" spans="1:21" ht="16.5" customHeight="1" x14ac:dyDescent="0.2">
      <c r="A2946" s="5"/>
      <c r="B2946" s="8" t="s">
        <v>553</v>
      </c>
      <c r="H2946" s="8" t="s">
        <v>7187</v>
      </c>
      <c r="I2946" s="11"/>
      <c r="J2946" s="5">
        <f>2-1</f>
        <v>1</v>
      </c>
      <c r="K2946" s="5" t="s">
        <v>7143</v>
      </c>
      <c r="L2946" s="70" t="s">
        <v>6383</v>
      </c>
      <c r="M2946" s="70">
        <v>45</v>
      </c>
      <c r="N2946" s="10"/>
      <c r="U2946" t="s">
        <v>2789</v>
      </c>
    </row>
    <row r="2947" spans="1:21" x14ac:dyDescent="0.2">
      <c r="A2947" s="5">
        <v>1326</v>
      </c>
      <c r="B2947" s="108" t="s">
        <v>7188</v>
      </c>
      <c r="H2947" s="8" t="s">
        <v>7189</v>
      </c>
      <c r="I2947" s="11" t="s">
        <v>553</v>
      </c>
      <c r="J2947" s="5">
        <f>2-1+1-1</f>
        <v>1</v>
      </c>
      <c r="K2947" s="5" t="s">
        <v>7143</v>
      </c>
      <c r="L2947" s="70" t="s">
        <v>6383</v>
      </c>
      <c r="M2947" s="70">
        <v>45</v>
      </c>
      <c r="N2947" s="10" t="s">
        <v>553</v>
      </c>
      <c r="O2947" s="5" t="s">
        <v>6907</v>
      </c>
      <c r="Q2947" s="5" t="s">
        <v>7190</v>
      </c>
    </row>
    <row r="2948" spans="1:21" x14ac:dyDescent="0.2">
      <c r="A2948" s="5">
        <v>1327</v>
      </c>
      <c r="B2948" s="8" t="s">
        <v>7191</v>
      </c>
      <c r="H2948" s="8" t="s">
        <v>7192</v>
      </c>
      <c r="I2948" s="11"/>
      <c r="J2948" s="5">
        <f>6-2-2-1+10-1-1-1</f>
        <v>8</v>
      </c>
      <c r="K2948" s="5" t="s">
        <v>7143</v>
      </c>
      <c r="L2948" s="70" t="s">
        <v>6383</v>
      </c>
      <c r="M2948" s="70">
        <v>45</v>
      </c>
      <c r="N2948" s="10"/>
      <c r="O2948" s="5" t="s">
        <v>6907</v>
      </c>
      <c r="Q2948" s="5" t="s">
        <v>7193</v>
      </c>
    </row>
    <row r="2949" spans="1:21" x14ac:dyDescent="0.2">
      <c r="A2949" s="5"/>
      <c r="B2949" s="8" t="s">
        <v>7194</v>
      </c>
      <c r="H2949" s="8" t="s">
        <v>7195</v>
      </c>
      <c r="I2949" s="11" t="s">
        <v>7195</v>
      </c>
      <c r="J2949" s="5">
        <f>3-1+2</f>
        <v>4</v>
      </c>
      <c r="K2949" s="5" t="s">
        <v>7143</v>
      </c>
      <c r="L2949" s="70" t="s">
        <v>6383</v>
      </c>
      <c r="M2949" s="70">
        <v>45</v>
      </c>
      <c r="N2949" s="10"/>
      <c r="Q2949" s="107" t="s">
        <v>7196</v>
      </c>
    </row>
    <row r="2950" spans="1:21" x14ac:dyDescent="0.2">
      <c r="A2950" s="5"/>
      <c r="B2950" s="8" t="s">
        <v>7197</v>
      </c>
      <c r="H2950" s="8" t="s">
        <v>7198</v>
      </c>
      <c r="I2950" s="8" t="s">
        <v>7198</v>
      </c>
      <c r="J2950" s="5">
        <f>20-1-1</f>
        <v>18</v>
      </c>
      <c r="K2950" s="5" t="s">
        <v>4027</v>
      </c>
      <c r="L2950" s="70" t="s">
        <v>6383</v>
      </c>
      <c r="M2950" s="70">
        <v>46</v>
      </c>
      <c r="N2950" s="5" t="s">
        <v>7199</v>
      </c>
      <c r="Q2950" s="107" t="s">
        <v>7200</v>
      </c>
    </row>
    <row r="2951" spans="1:21" x14ac:dyDescent="0.2">
      <c r="A2951" s="5">
        <v>282</v>
      </c>
      <c r="B2951" s="8" t="s">
        <v>7201</v>
      </c>
      <c r="H2951" s="8" t="s">
        <v>7202</v>
      </c>
      <c r="I2951" s="8" t="s">
        <v>7202</v>
      </c>
      <c r="J2951" s="5">
        <f>30-1-2-1</f>
        <v>26</v>
      </c>
      <c r="K2951" s="5" t="s">
        <v>4027</v>
      </c>
      <c r="L2951" s="70" t="s">
        <v>6383</v>
      </c>
      <c r="M2951" s="70">
        <v>47</v>
      </c>
      <c r="N2951" s="5" t="s">
        <v>7203</v>
      </c>
      <c r="O2951" s="5" t="s">
        <v>520</v>
      </c>
      <c r="Q2951" s="5" t="s">
        <v>7204</v>
      </c>
    </row>
    <row r="2952" spans="1:21" x14ac:dyDescent="0.2">
      <c r="A2952" s="5">
        <v>1330</v>
      </c>
      <c r="B2952" s="8" t="s">
        <v>7205</v>
      </c>
      <c r="H2952" s="8" t="s">
        <v>7206</v>
      </c>
      <c r="I2952" s="11" t="s">
        <v>7206</v>
      </c>
      <c r="J2952" s="5">
        <f>167-3-2-5-3-2-2-20-2-15-2-4-2-3-2-5-3-5-15-2-2-2-31+360-1-15-3-16-4-1-20-5-2-2-15-2-15-2-112-2-4-2-2-5-3-2-15</f>
        <v>145</v>
      </c>
      <c r="K2952" s="5" t="s">
        <v>21</v>
      </c>
      <c r="L2952" s="70" t="s">
        <v>6383</v>
      </c>
      <c r="M2952" s="70">
        <v>48</v>
      </c>
      <c r="N2952" s="10" t="s">
        <v>553</v>
      </c>
      <c r="O2952" s="5" t="s">
        <v>6907</v>
      </c>
      <c r="Q2952" s="5" t="s">
        <v>7207</v>
      </c>
    </row>
    <row r="2953" spans="1:21" x14ac:dyDescent="0.2">
      <c r="A2953" s="5">
        <v>279</v>
      </c>
      <c r="B2953" s="8" t="s">
        <v>7208</v>
      </c>
      <c r="H2953" s="8" t="s">
        <v>7202</v>
      </c>
      <c r="I2953" s="8" t="s">
        <v>7202</v>
      </c>
      <c r="J2953" s="5">
        <f>23-1-1-1-3-1-1-1-1-1-1-1-1-1-1-1-6</f>
        <v>0</v>
      </c>
      <c r="K2953" s="5" t="s">
        <v>4027</v>
      </c>
      <c r="L2953" s="70" t="s">
        <v>6383</v>
      </c>
      <c r="M2953" s="70">
        <v>50</v>
      </c>
      <c r="N2953" s="5" t="s">
        <v>7199</v>
      </c>
      <c r="O2953" s="5" t="s">
        <v>520</v>
      </c>
      <c r="Q2953" s="5" t="s">
        <v>7209</v>
      </c>
    </row>
    <row r="2954" spans="1:21" x14ac:dyDescent="0.2">
      <c r="A2954" s="5"/>
      <c r="B2954" s="8" t="s">
        <v>7210</v>
      </c>
      <c r="H2954" s="8" t="s">
        <v>7198</v>
      </c>
      <c r="I2954" s="8" t="s">
        <v>7198</v>
      </c>
      <c r="J2954" s="5">
        <f>20-10-1</f>
        <v>9</v>
      </c>
      <c r="K2954" s="5" t="s">
        <v>4027</v>
      </c>
      <c r="L2954" s="70" t="s">
        <v>6383</v>
      </c>
      <c r="M2954" s="70">
        <v>50</v>
      </c>
      <c r="N2954" s="5" t="s">
        <v>7199</v>
      </c>
      <c r="Q2954" s="107" t="s">
        <v>7200</v>
      </c>
    </row>
    <row r="2955" spans="1:21" x14ac:dyDescent="0.2">
      <c r="A2955" s="5">
        <v>278</v>
      </c>
      <c r="B2955" s="8" t="s">
        <v>7211</v>
      </c>
      <c r="H2955" s="8" t="s">
        <v>7202</v>
      </c>
      <c r="I2955" s="8" t="s">
        <v>7202</v>
      </c>
      <c r="J2955" s="5">
        <f>8-1-1-4-1-1</f>
        <v>0</v>
      </c>
      <c r="K2955" s="5" t="s">
        <v>4027</v>
      </c>
      <c r="L2955" s="70" t="s">
        <v>6383</v>
      </c>
      <c r="M2955" s="70">
        <v>50</v>
      </c>
      <c r="N2955" s="5" t="s">
        <v>7199</v>
      </c>
      <c r="O2955" s="5" t="s">
        <v>520</v>
      </c>
      <c r="Q2955" s="5" t="s">
        <v>7212</v>
      </c>
    </row>
    <row r="2956" spans="1:21" x14ac:dyDescent="0.2">
      <c r="A2956" s="5"/>
      <c r="B2956" s="8" t="s">
        <v>7213</v>
      </c>
      <c r="H2956" s="8" t="s">
        <v>7198</v>
      </c>
      <c r="I2956" s="8" t="s">
        <v>7198</v>
      </c>
      <c r="J2956" s="5">
        <f>20-1-1-1-1-1-1-2-3-1-1</f>
        <v>7</v>
      </c>
      <c r="K2956" s="5" t="s">
        <v>4027</v>
      </c>
      <c r="L2956" s="70" t="s">
        <v>6383</v>
      </c>
      <c r="M2956" s="70">
        <v>50</v>
      </c>
      <c r="N2956" s="5" t="s">
        <v>7199</v>
      </c>
      <c r="Q2956" s="107" t="s">
        <v>7200</v>
      </c>
    </row>
    <row r="2957" spans="1:21" x14ac:dyDescent="0.2">
      <c r="A2957" s="5">
        <v>281</v>
      </c>
      <c r="B2957" s="8" t="s">
        <v>7214</v>
      </c>
      <c r="H2957" s="8" t="s">
        <v>7202</v>
      </c>
      <c r="I2957" s="8" t="s">
        <v>7202</v>
      </c>
      <c r="J2957" s="5">
        <f>7-1+2-1-1-2-4</f>
        <v>0</v>
      </c>
      <c r="K2957" s="5" t="s">
        <v>4027</v>
      </c>
      <c r="L2957" s="70" t="s">
        <v>6383</v>
      </c>
      <c r="M2957" s="70">
        <v>50</v>
      </c>
      <c r="N2957" s="5" t="s">
        <v>7203</v>
      </c>
      <c r="O2957" s="5" t="s">
        <v>520</v>
      </c>
      <c r="Q2957" s="5" t="s">
        <v>7215</v>
      </c>
    </row>
    <row r="2958" spans="1:21" x14ac:dyDescent="0.2">
      <c r="A2958" s="5"/>
      <c r="B2958" s="8" t="s">
        <v>7216</v>
      </c>
      <c r="H2958" s="8" t="s">
        <v>7198</v>
      </c>
      <c r="I2958" s="8" t="s">
        <v>7198</v>
      </c>
      <c r="J2958" s="5">
        <f>4+21-1-1-2-1-1-1-1-1-3-1-1-1-1</f>
        <v>9</v>
      </c>
      <c r="K2958" s="5" t="s">
        <v>4027</v>
      </c>
      <c r="L2958" s="70" t="s">
        <v>6383</v>
      </c>
      <c r="M2958" s="70">
        <v>50</v>
      </c>
      <c r="N2958" s="5" t="s">
        <v>7203</v>
      </c>
      <c r="Q2958" s="107" t="s">
        <v>7200</v>
      </c>
    </row>
    <row r="2959" spans="1:21" x14ac:dyDescent="0.2">
      <c r="A2959" s="5">
        <v>1329</v>
      </c>
      <c r="B2959" s="8" t="s">
        <v>7217</v>
      </c>
      <c r="H2959" s="8" t="s">
        <v>7218</v>
      </c>
      <c r="I2959" s="8" t="s">
        <v>7218</v>
      </c>
      <c r="J2959" s="5">
        <f>43-4-6-2-1-6-1-1-1-6-3-8+60-1-1-1-6-1-6-3-29-1-1+120</f>
        <v>134</v>
      </c>
      <c r="K2959" s="5" t="s">
        <v>6996</v>
      </c>
      <c r="L2959" s="70" t="s">
        <v>6383</v>
      </c>
      <c r="M2959" s="70">
        <v>51</v>
      </c>
      <c r="N2959" s="10" t="s">
        <v>553</v>
      </c>
      <c r="O2959" s="5" t="s">
        <v>6907</v>
      </c>
      <c r="Q2959" s="5" t="s">
        <v>7207</v>
      </c>
    </row>
    <row r="2960" spans="1:21" x14ac:dyDescent="0.2">
      <c r="A2960" s="5">
        <v>280</v>
      </c>
      <c r="B2960" s="8" t="s">
        <v>7219</v>
      </c>
      <c r="H2960" s="8" t="s">
        <v>7220</v>
      </c>
      <c r="I2960" s="8" t="s">
        <v>7220</v>
      </c>
      <c r="J2960" s="5">
        <f>9-1-3</f>
        <v>5</v>
      </c>
      <c r="K2960" s="5" t="s">
        <v>7221</v>
      </c>
      <c r="L2960" s="70" t="s">
        <v>6383</v>
      </c>
      <c r="M2960" s="70">
        <v>52</v>
      </c>
      <c r="N2960" s="5" t="s">
        <v>511</v>
      </c>
      <c r="O2960" s="5" t="s">
        <v>520</v>
      </c>
      <c r="Q2960" s="5" t="s">
        <v>7222</v>
      </c>
    </row>
    <row r="2961" spans="1:21" x14ac:dyDescent="0.2">
      <c r="A2961" s="5"/>
      <c r="B2961" s="8" t="s">
        <v>7223</v>
      </c>
      <c r="H2961" s="8" t="s">
        <v>7224</v>
      </c>
      <c r="I2961" s="8" t="s">
        <v>7224</v>
      </c>
      <c r="J2961" s="5">
        <v>3</v>
      </c>
      <c r="K2961" s="5" t="s">
        <v>4027</v>
      </c>
      <c r="L2961" s="70" t="s">
        <v>6383</v>
      </c>
      <c r="M2961" s="70">
        <v>53</v>
      </c>
      <c r="Q2961" s="5" t="s">
        <v>7225</v>
      </c>
    </row>
    <row r="2962" spans="1:21" x14ac:dyDescent="0.2">
      <c r="A2962" s="5"/>
      <c r="B2962" s="8" t="s">
        <v>7226</v>
      </c>
      <c r="H2962" s="8" t="s">
        <v>7224</v>
      </c>
      <c r="I2962" s="8" t="s">
        <v>7224</v>
      </c>
      <c r="J2962" s="5">
        <f>2-1-1</f>
        <v>0</v>
      </c>
      <c r="K2962" s="5" t="s">
        <v>4027</v>
      </c>
      <c r="L2962" s="70" t="s">
        <v>6383</v>
      </c>
      <c r="M2962" s="70">
        <v>53</v>
      </c>
      <c r="U2962" t="s">
        <v>321</v>
      </c>
    </row>
    <row r="2963" spans="1:21" x14ac:dyDescent="0.2">
      <c r="A2963" s="5"/>
      <c r="B2963" s="8" t="s">
        <v>7227</v>
      </c>
      <c r="H2963" s="8" t="s">
        <v>7228</v>
      </c>
      <c r="I2963" s="8" t="s">
        <v>7228</v>
      </c>
      <c r="J2963" s="5">
        <f>6</f>
        <v>6</v>
      </c>
      <c r="K2963" s="5" t="s">
        <v>6996</v>
      </c>
      <c r="L2963" s="70" t="s">
        <v>6383</v>
      </c>
      <c r="M2963" s="70">
        <v>54</v>
      </c>
      <c r="N2963" s="10"/>
      <c r="U2963" t="s">
        <v>321</v>
      </c>
    </row>
    <row r="2964" spans="1:21" x14ac:dyDescent="0.2">
      <c r="A2964" s="5">
        <v>250</v>
      </c>
      <c r="B2964" s="8" t="s">
        <v>7229</v>
      </c>
      <c r="H2964" s="8" t="s">
        <v>7230</v>
      </c>
      <c r="I2964" s="8" t="s">
        <v>7230</v>
      </c>
      <c r="J2964" s="5">
        <v>0</v>
      </c>
      <c r="K2964" s="5" t="s">
        <v>292</v>
      </c>
      <c r="L2964" s="5" t="s">
        <v>6383</v>
      </c>
      <c r="M2964" s="5">
        <v>6</v>
      </c>
      <c r="N2964" s="5" t="s">
        <v>7231</v>
      </c>
    </row>
    <row r="2965" spans="1:21" x14ac:dyDescent="0.2">
      <c r="A2965" s="5">
        <v>265</v>
      </c>
      <c r="B2965" s="34" t="s">
        <v>7232</v>
      </c>
      <c r="H2965" s="8" t="s">
        <v>7232</v>
      </c>
      <c r="I2965" s="8" t="s">
        <v>7232</v>
      </c>
      <c r="J2965" s="5">
        <v>0</v>
      </c>
      <c r="K2965" s="5" t="s">
        <v>292</v>
      </c>
      <c r="L2965" s="5" t="s">
        <v>6383</v>
      </c>
      <c r="M2965" s="5">
        <v>9</v>
      </c>
      <c r="N2965" s="5" t="s">
        <v>511</v>
      </c>
      <c r="Q2965" s="5" t="s">
        <v>7233</v>
      </c>
    </row>
    <row r="2966" spans="1:21" x14ac:dyDescent="0.2">
      <c r="A2966" s="5">
        <v>1307</v>
      </c>
      <c r="B2966" s="8" t="s">
        <v>2766</v>
      </c>
      <c r="H2966" s="8" t="s">
        <v>7234</v>
      </c>
      <c r="I2966" s="8" t="s">
        <v>7234</v>
      </c>
      <c r="J2966" s="5">
        <v>0</v>
      </c>
      <c r="K2966" s="5" t="s">
        <v>21</v>
      </c>
      <c r="L2966" s="5" t="s">
        <v>6383</v>
      </c>
      <c r="M2966" s="5">
        <v>13</v>
      </c>
      <c r="N2966" s="10" t="s">
        <v>553</v>
      </c>
      <c r="O2966" s="5" t="s">
        <v>6907</v>
      </c>
      <c r="Q2966" s="5" t="s">
        <v>7235</v>
      </c>
    </row>
    <row r="2967" spans="1:21" x14ac:dyDescent="0.2">
      <c r="A2967" s="5">
        <v>282</v>
      </c>
      <c r="B2967" s="8" t="s">
        <v>7099</v>
      </c>
      <c r="H2967" s="8" t="s">
        <v>7236</v>
      </c>
      <c r="I2967" s="8" t="s">
        <v>7236</v>
      </c>
      <c r="J2967" s="5">
        <v>0</v>
      </c>
      <c r="K2967" s="5" t="s">
        <v>292</v>
      </c>
      <c r="L2967" s="5" t="s">
        <v>6383</v>
      </c>
      <c r="M2967" s="5">
        <v>18</v>
      </c>
      <c r="N2967" s="5" t="s">
        <v>511</v>
      </c>
      <c r="O2967" s="5" t="s">
        <v>520</v>
      </c>
      <c r="Q2967" s="5" t="s">
        <v>7237</v>
      </c>
    </row>
    <row r="2968" spans="1:21" x14ac:dyDescent="0.2">
      <c r="A2968" s="5">
        <v>283</v>
      </c>
      <c r="B2968" s="8" t="s">
        <v>7238</v>
      </c>
      <c r="H2968" s="8" t="s">
        <v>7239</v>
      </c>
      <c r="I2968" s="8" t="s">
        <v>7239</v>
      </c>
      <c r="J2968" s="5">
        <v>0</v>
      </c>
      <c r="K2968" s="5" t="s">
        <v>292</v>
      </c>
      <c r="L2968" s="5" t="s">
        <v>6383</v>
      </c>
      <c r="M2968" s="5">
        <v>18</v>
      </c>
      <c r="N2968" s="5" t="s">
        <v>511</v>
      </c>
      <c r="O2968" s="5" t="s">
        <v>520</v>
      </c>
      <c r="Q2968" s="5" t="s">
        <v>7237</v>
      </c>
    </row>
    <row r="2969" spans="1:21" x14ac:dyDescent="0.2">
      <c r="A2969" s="5">
        <v>374</v>
      </c>
      <c r="B2969" s="8" t="s">
        <v>7240</v>
      </c>
      <c r="H2969" s="8" t="s">
        <v>7241</v>
      </c>
      <c r="I2969" s="8" t="s">
        <v>7241</v>
      </c>
      <c r="J2969" s="5">
        <v>0</v>
      </c>
      <c r="K2969" s="5" t="s">
        <v>292</v>
      </c>
      <c r="L2969" s="5" t="s">
        <v>6383</v>
      </c>
      <c r="M2969" s="5">
        <v>38</v>
      </c>
      <c r="Q2969" s="5" t="s">
        <v>7242</v>
      </c>
    </row>
    <row r="2970" spans="1:21" x14ac:dyDescent="0.2">
      <c r="A2970" s="5">
        <v>1283</v>
      </c>
      <c r="B2970" s="8" t="s">
        <v>7243</v>
      </c>
      <c r="H2970" s="8" t="s">
        <v>7064</v>
      </c>
      <c r="I2970" s="8" t="s">
        <v>7064</v>
      </c>
      <c r="J2970" s="5">
        <v>0</v>
      </c>
      <c r="K2970" s="5" t="s">
        <v>21</v>
      </c>
      <c r="L2970" s="5" t="s">
        <v>6383</v>
      </c>
      <c r="M2970" s="5">
        <v>21</v>
      </c>
      <c r="N2970" s="10" t="s">
        <v>553</v>
      </c>
      <c r="O2970" s="5" t="s">
        <v>6907</v>
      </c>
      <c r="Q2970" s="5" t="s">
        <v>7244</v>
      </c>
    </row>
    <row r="2971" spans="1:21" x14ac:dyDescent="0.2">
      <c r="A2971" s="5">
        <v>1297</v>
      </c>
      <c r="B2971" s="8" t="s">
        <v>7245</v>
      </c>
      <c r="H2971" s="8" t="s">
        <v>7127</v>
      </c>
      <c r="I2971" s="8" t="s">
        <v>7127</v>
      </c>
      <c r="J2971" s="5">
        <v>0</v>
      </c>
      <c r="K2971" s="5" t="s">
        <v>21</v>
      </c>
      <c r="L2971" s="5" t="s">
        <v>6383</v>
      </c>
      <c r="M2971" s="5">
        <v>32</v>
      </c>
      <c r="N2971" s="10" t="s">
        <v>553</v>
      </c>
      <c r="O2971" s="5" t="s">
        <v>6907</v>
      </c>
      <c r="Q2971" s="5" t="s">
        <v>7057</v>
      </c>
    </row>
    <row r="2972" spans="1:21" x14ac:dyDescent="0.2">
      <c r="A2972" s="5">
        <v>1306</v>
      </c>
      <c r="B2972" s="8" t="s">
        <v>7246</v>
      </c>
      <c r="C2972" s="23"/>
      <c r="D2972" s="23"/>
      <c r="E2972" s="28"/>
      <c r="F2972" s="23"/>
      <c r="G2972" s="23"/>
      <c r="H2972" s="8" t="s">
        <v>7247</v>
      </c>
      <c r="I2972" s="8" t="s">
        <v>7247</v>
      </c>
      <c r="J2972" s="5">
        <v>0</v>
      </c>
      <c r="K2972" s="5" t="s">
        <v>21</v>
      </c>
      <c r="L2972" s="5" t="s">
        <v>6383</v>
      </c>
      <c r="M2972" s="5">
        <v>38</v>
      </c>
      <c r="N2972" s="10" t="s">
        <v>553</v>
      </c>
      <c r="O2972" s="5" t="s">
        <v>6907</v>
      </c>
      <c r="Q2972" s="5" t="s">
        <v>7248</v>
      </c>
    </row>
    <row r="2973" spans="1:21" x14ac:dyDescent="0.2">
      <c r="A2973" s="5">
        <v>1312</v>
      </c>
      <c r="B2973" s="8" t="s">
        <v>553</v>
      </c>
      <c r="C2973" s="11"/>
      <c r="D2973" s="11"/>
      <c r="E2973" s="26"/>
      <c r="F2973" s="11"/>
      <c r="G2973" s="11"/>
      <c r="H2973" s="8" t="s">
        <v>7249</v>
      </c>
      <c r="I2973" s="8" t="s">
        <v>7249</v>
      </c>
      <c r="J2973" s="5">
        <v>0</v>
      </c>
      <c r="K2973" s="5" t="s">
        <v>21</v>
      </c>
      <c r="L2973" s="5" t="s">
        <v>6383</v>
      </c>
      <c r="M2973" s="5">
        <v>40</v>
      </c>
      <c r="N2973" s="10" t="s">
        <v>553</v>
      </c>
      <c r="O2973" s="5" t="s">
        <v>6907</v>
      </c>
      <c r="S2973" s="5" t="s">
        <v>1139</v>
      </c>
    </row>
    <row r="2974" spans="1:21" x14ac:dyDescent="0.2">
      <c r="A2974" s="5">
        <v>1322</v>
      </c>
      <c r="B2974" s="8" t="s">
        <v>7250</v>
      </c>
      <c r="H2974" s="8" t="s">
        <v>7135</v>
      </c>
      <c r="I2974" s="11" t="s">
        <v>553</v>
      </c>
      <c r="J2974" s="5">
        <v>0</v>
      </c>
      <c r="K2974" s="5" t="s">
        <v>21</v>
      </c>
      <c r="L2974" s="5" t="s">
        <v>6383</v>
      </c>
      <c r="M2974" s="5">
        <v>44</v>
      </c>
      <c r="N2974" s="10" t="s">
        <v>553</v>
      </c>
      <c r="O2974" s="5" t="s">
        <v>6907</v>
      </c>
      <c r="S2974" s="5" t="s">
        <v>1139</v>
      </c>
    </row>
    <row r="2975" spans="1:21" x14ac:dyDescent="0.2">
      <c r="A2975" s="5">
        <v>1331</v>
      </c>
      <c r="B2975" s="8">
        <v>4157446</v>
      </c>
      <c r="H2975" s="8" t="s">
        <v>7251</v>
      </c>
      <c r="I2975" s="11" t="s">
        <v>553</v>
      </c>
      <c r="J2975" s="5">
        <v>0</v>
      </c>
      <c r="K2975" s="5" t="s">
        <v>21</v>
      </c>
      <c r="L2975" s="5" t="s">
        <v>6383</v>
      </c>
      <c r="M2975" s="5">
        <v>48</v>
      </c>
      <c r="N2975" s="10" t="s">
        <v>553</v>
      </c>
      <c r="O2975" s="5" t="s">
        <v>6907</v>
      </c>
      <c r="Q2975" s="5" t="s">
        <v>7252</v>
      </c>
    </row>
    <row r="2976" spans="1:21" x14ac:dyDescent="0.2">
      <c r="A2976" s="5">
        <v>1332</v>
      </c>
      <c r="B2976" s="8">
        <v>4157447</v>
      </c>
      <c r="H2976" s="8" t="s">
        <v>7253</v>
      </c>
      <c r="I2976" s="11" t="s">
        <v>553</v>
      </c>
      <c r="J2976" s="5">
        <v>0</v>
      </c>
      <c r="K2976" s="5" t="s">
        <v>21</v>
      </c>
      <c r="L2976" s="5" t="s">
        <v>6383</v>
      </c>
      <c r="M2976" s="5">
        <v>48</v>
      </c>
      <c r="N2976" s="10" t="s">
        <v>553</v>
      </c>
      <c r="O2976" s="5" t="s">
        <v>6907</v>
      </c>
      <c r="Q2976" s="5" t="s">
        <v>7252</v>
      </c>
    </row>
    <row r="2977" spans="1:17" x14ac:dyDescent="0.2">
      <c r="A2977" s="5">
        <v>1334</v>
      </c>
      <c r="B2977" s="8" t="s">
        <v>7254</v>
      </c>
      <c r="H2977" s="8" t="s">
        <v>7255</v>
      </c>
      <c r="I2977" s="11" t="s">
        <v>3808</v>
      </c>
      <c r="J2977" s="5">
        <v>0</v>
      </c>
      <c r="K2977" s="5" t="s">
        <v>21</v>
      </c>
      <c r="L2977" s="5" t="s">
        <v>6383</v>
      </c>
      <c r="M2977" s="5">
        <v>48</v>
      </c>
      <c r="N2977" s="10" t="s">
        <v>553</v>
      </c>
      <c r="O2977" s="5" t="s">
        <v>6907</v>
      </c>
      <c r="Q2977" s="5" t="s">
        <v>7256</v>
      </c>
    </row>
    <row r="2978" spans="1:17" x14ac:dyDescent="0.2">
      <c r="A2978" s="5">
        <v>1309</v>
      </c>
      <c r="B2978" s="8" t="s">
        <v>7155</v>
      </c>
      <c r="H2978" s="8" t="s">
        <v>7257</v>
      </c>
      <c r="I2978" s="8" t="s">
        <v>7257</v>
      </c>
      <c r="J2978" s="5">
        <v>11</v>
      </c>
      <c r="K2978" s="5" t="s">
        <v>7143</v>
      </c>
      <c r="L2978" s="5" t="s">
        <v>6383</v>
      </c>
      <c r="M2978" s="5">
        <v>39</v>
      </c>
      <c r="N2978" s="10" t="s">
        <v>553</v>
      </c>
      <c r="O2978" s="5" t="s">
        <v>6907</v>
      </c>
      <c r="Q2978" s="5" t="s">
        <v>7258</v>
      </c>
    </row>
    <row r="2979" spans="1:17" x14ac:dyDescent="0.2">
      <c r="A2979" s="5">
        <v>1310</v>
      </c>
      <c r="B2979" s="8" t="s">
        <v>7259</v>
      </c>
      <c r="H2979" s="8" t="s">
        <v>7260</v>
      </c>
      <c r="I2979" s="8" t="s">
        <v>7260</v>
      </c>
      <c r="J2979" s="5">
        <v>0</v>
      </c>
      <c r="K2979" s="5" t="s">
        <v>7143</v>
      </c>
      <c r="L2979" s="5" t="s">
        <v>6383</v>
      </c>
      <c r="M2979" s="5">
        <v>39</v>
      </c>
      <c r="N2979" s="10" t="s">
        <v>553</v>
      </c>
      <c r="O2979" s="5" t="s">
        <v>6907</v>
      </c>
      <c r="Q2979" s="5" t="s">
        <v>7261</v>
      </c>
    </row>
    <row r="2980" spans="1:17" x14ac:dyDescent="0.2">
      <c r="A2980" s="5"/>
      <c r="B2980" s="8" t="s">
        <v>7192</v>
      </c>
      <c r="H2980" s="8" t="s">
        <v>7192</v>
      </c>
      <c r="I2980" s="8" t="s">
        <v>7192</v>
      </c>
      <c r="J2980" s="5">
        <v>0</v>
      </c>
      <c r="K2980" s="5" t="s">
        <v>7143</v>
      </c>
      <c r="L2980" s="5" t="s">
        <v>6383</v>
      </c>
      <c r="M2980" s="5">
        <v>44</v>
      </c>
      <c r="N2980" s="10"/>
      <c r="Q2980" s="5" t="s">
        <v>7193</v>
      </c>
    </row>
    <row r="2981" spans="1:17" x14ac:dyDescent="0.2">
      <c r="A2981" s="5">
        <v>1289</v>
      </c>
      <c r="B2981" s="8" t="s">
        <v>7262</v>
      </c>
      <c r="H2981" s="8" t="s">
        <v>7064</v>
      </c>
      <c r="I2981" s="8" t="s">
        <v>7064</v>
      </c>
      <c r="J2981" s="5">
        <v>0</v>
      </c>
      <c r="K2981" s="5" t="s">
        <v>21</v>
      </c>
      <c r="L2981" s="5" t="s">
        <v>6383</v>
      </c>
      <c r="M2981" s="5">
        <v>26</v>
      </c>
      <c r="N2981" s="10" t="s">
        <v>553</v>
      </c>
      <c r="O2981" s="5" t="s">
        <v>6907</v>
      </c>
      <c r="Q2981" s="5" t="s">
        <v>7263</v>
      </c>
    </row>
    <row r="2982" spans="1:17" x14ac:dyDescent="0.2">
      <c r="A2982" s="5">
        <v>1286</v>
      </c>
      <c r="B2982" s="8" t="s">
        <v>7264</v>
      </c>
      <c r="H2982" s="8" t="s">
        <v>7064</v>
      </c>
      <c r="I2982" s="8" t="s">
        <v>7064</v>
      </c>
      <c r="J2982" s="5">
        <v>0</v>
      </c>
      <c r="K2982" s="5" t="s">
        <v>21</v>
      </c>
      <c r="L2982" s="5" t="s">
        <v>6383</v>
      </c>
      <c r="M2982" s="5">
        <v>24</v>
      </c>
      <c r="N2982" s="10" t="s">
        <v>553</v>
      </c>
      <c r="O2982" s="5" t="s">
        <v>6907</v>
      </c>
      <c r="Q2982" s="5" t="s">
        <v>7263</v>
      </c>
    </row>
    <row r="2983" spans="1:17" x14ac:dyDescent="0.2">
      <c r="A2983" s="5">
        <v>1333</v>
      </c>
      <c r="B2983" s="8">
        <v>4126984</v>
      </c>
      <c r="H2983" s="8" t="s">
        <v>7265</v>
      </c>
      <c r="I2983" s="11" t="s">
        <v>553</v>
      </c>
      <c r="J2983" s="5">
        <v>0</v>
      </c>
      <c r="K2983" s="5" t="s">
        <v>21</v>
      </c>
      <c r="L2983" s="5" t="s">
        <v>6383</v>
      </c>
      <c r="M2983" s="5">
        <v>21</v>
      </c>
      <c r="N2983" s="10" t="s">
        <v>553</v>
      </c>
      <c r="O2983" s="5" t="s">
        <v>6907</v>
      </c>
      <c r="Q2983" s="5" t="s">
        <v>7252</v>
      </c>
    </row>
    <row r="2984" spans="1:17" x14ac:dyDescent="0.2">
      <c r="A2984" s="5">
        <v>193</v>
      </c>
      <c r="B2984" s="8" t="s">
        <v>7266</v>
      </c>
      <c r="H2984" s="8" t="s">
        <v>7267</v>
      </c>
      <c r="I2984" s="8" t="s">
        <v>7268</v>
      </c>
      <c r="J2984" s="5">
        <v>24</v>
      </c>
      <c r="K2984" s="5" t="s">
        <v>21</v>
      </c>
      <c r="L2984" s="5" t="s">
        <v>7269</v>
      </c>
      <c r="M2984" s="41">
        <v>1</v>
      </c>
      <c r="N2984" s="5" t="s">
        <v>7270</v>
      </c>
      <c r="O2984" s="5" t="s">
        <v>266</v>
      </c>
      <c r="Q2984" s="5" t="s">
        <v>7271</v>
      </c>
    </row>
    <row r="2985" spans="1:17" x14ac:dyDescent="0.2">
      <c r="A2985" s="5">
        <v>194</v>
      </c>
      <c r="B2985" s="8" t="s">
        <v>7272</v>
      </c>
      <c r="H2985" s="8" t="s">
        <v>7267</v>
      </c>
      <c r="I2985" s="8" t="s">
        <v>7268</v>
      </c>
      <c r="J2985" s="5">
        <f>24-1</f>
        <v>23</v>
      </c>
      <c r="K2985" s="5" t="s">
        <v>21</v>
      </c>
      <c r="L2985" s="5" t="s">
        <v>7269</v>
      </c>
      <c r="M2985" s="41">
        <v>1</v>
      </c>
      <c r="N2985" s="5" t="s">
        <v>7270</v>
      </c>
      <c r="O2985" s="5" t="s">
        <v>266</v>
      </c>
      <c r="Q2985" s="5" t="s">
        <v>7271</v>
      </c>
    </row>
    <row r="2986" spans="1:17" x14ac:dyDescent="0.2">
      <c r="A2986" s="5">
        <v>195</v>
      </c>
      <c r="B2986" s="8" t="s">
        <v>7273</v>
      </c>
      <c r="H2986" s="8" t="s">
        <v>7267</v>
      </c>
      <c r="I2986" s="8" t="s">
        <v>7268</v>
      </c>
      <c r="J2986" s="5">
        <v>24</v>
      </c>
      <c r="K2986" s="5" t="s">
        <v>21</v>
      </c>
      <c r="L2986" s="5" t="s">
        <v>7269</v>
      </c>
      <c r="M2986" s="41">
        <v>1</v>
      </c>
      <c r="N2986" s="5" t="s">
        <v>7270</v>
      </c>
      <c r="O2986" s="5" t="s">
        <v>266</v>
      </c>
      <c r="Q2986" s="5" t="s">
        <v>7271</v>
      </c>
    </row>
    <row r="2987" spans="1:17" x14ac:dyDescent="0.2">
      <c r="A2987" s="5">
        <v>196</v>
      </c>
      <c r="B2987" s="8" t="s">
        <v>7274</v>
      </c>
      <c r="H2987" s="8" t="s">
        <v>7275</v>
      </c>
      <c r="I2987" s="8" t="s">
        <v>7276</v>
      </c>
      <c r="J2987" s="5">
        <v>24</v>
      </c>
      <c r="K2987" s="5" t="s">
        <v>21</v>
      </c>
      <c r="L2987" s="5" t="s">
        <v>7269</v>
      </c>
      <c r="M2987" s="41">
        <v>2</v>
      </c>
      <c r="N2987" s="5" t="s">
        <v>7270</v>
      </c>
      <c r="O2987" s="5" t="s">
        <v>266</v>
      </c>
      <c r="Q2987" s="5" t="s">
        <v>7271</v>
      </c>
    </row>
    <row r="2988" spans="1:17" x14ac:dyDescent="0.2">
      <c r="A2988" s="5">
        <v>197</v>
      </c>
      <c r="B2988" s="8" t="s">
        <v>7277</v>
      </c>
      <c r="H2988" s="8" t="s">
        <v>7275</v>
      </c>
      <c r="I2988" s="8" t="s">
        <v>7276</v>
      </c>
      <c r="J2988" s="5">
        <v>24</v>
      </c>
      <c r="K2988" s="5" t="s">
        <v>21</v>
      </c>
      <c r="L2988" s="5" t="s">
        <v>7269</v>
      </c>
      <c r="M2988" s="41">
        <v>2</v>
      </c>
      <c r="N2988" s="5" t="s">
        <v>7270</v>
      </c>
      <c r="O2988" s="5" t="s">
        <v>266</v>
      </c>
      <c r="Q2988" s="5" t="s">
        <v>7271</v>
      </c>
    </row>
    <row r="2989" spans="1:17" x14ac:dyDescent="0.2">
      <c r="A2989" s="5">
        <v>198</v>
      </c>
      <c r="B2989" s="8" t="s">
        <v>7278</v>
      </c>
      <c r="H2989" s="8" t="s">
        <v>7275</v>
      </c>
      <c r="I2989" s="8" t="s">
        <v>7276</v>
      </c>
      <c r="J2989" s="5">
        <v>16</v>
      </c>
      <c r="K2989" s="5" t="s">
        <v>21</v>
      </c>
      <c r="L2989" s="5" t="s">
        <v>7269</v>
      </c>
      <c r="M2989" s="41">
        <v>2</v>
      </c>
      <c r="N2989" s="5" t="s">
        <v>7270</v>
      </c>
      <c r="O2989" s="5" t="s">
        <v>266</v>
      </c>
      <c r="Q2989" s="5" t="s">
        <v>7271</v>
      </c>
    </row>
    <row r="2990" spans="1:17" x14ac:dyDescent="0.2">
      <c r="A2990" s="5">
        <v>189</v>
      </c>
      <c r="B2990" s="8" t="s">
        <v>7279</v>
      </c>
      <c r="H2990" s="8" t="s">
        <v>7267</v>
      </c>
      <c r="I2990" s="8" t="s">
        <v>7268</v>
      </c>
      <c r="J2990" s="5">
        <f>24-1</f>
        <v>23</v>
      </c>
      <c r="K2990" s="5" t="s">
        <v>21</v>
      </c>
      <c r="L2990" s="5" t="s">
        <v>7269</v>
      </c>
      <c r="M2990" s="5">
        <v>3</v>
      </c>
      <c r="N2990" s="5" t="s">
        <v>7270</v>
      </c>
      <c r="O2990" s="5" t="s">
        <v>266</v>
      </c>
      <c r="Q2990" s="5" t="s">
        <v>7271</v>
      </c>
    </row>
    <row r="2991" spans="1:17" x14ac:dyDescent="0.2">
      <c r="A2991" s="5">
        <v>190</v>
      </c>
      <c r="B2991" s="8" t="s">
        <v>7280</v>
      </c>
      <c r="H2991" s="8" t="s">
        <v>7267</v>
      </c>
      <c r="I2991" s="8" t="s">
        <v>7268</v>
      </c>
      <c r="J2991" s="5">
        <v>26</v>
      </c>
      <c r="K2991" s="5" t="s">
        <v>21</v>
      </c>
      <c r="L2991" s="5" t="s">
        <v>7269</v>
      </c>
      <c r="M2991" s="5">
        <v>3</v>
      </c>
      <c r="N2991" s="5" t="s">
        <v>7270</v>
      </c>
      <c r="O2991" s="5" t="s">
        <v>266</v>
      </c>
      <c r="Q2991" s="5" t="s">
        <v>7271</v>
      </c>
    </row>
    <row r="2992" spans="1:17" x14ac:dyDescent="0.2">
      <c r="A2992" s="5">
        <v>191</v>
      </c>
      <c r="B2992" s="8" t="s">
        <v>7281</v>
      </c>
      <c r="H2992" s="8" t="s">
        <v>7267</v>
      </c>
      <c r="I2992" s="8" t="s">
        <v>7268</v>
      </c>
      <c r="J2992" s="5">
        <v>24</v>
      </c>
      <c r="K2992" s="5" t="s">
        <v>21</v>
      </c>
      <c r="L2992" s="5" t="s">
        <v>7269</v>
      </c>
      <c r="M2992" s="5">
        <v>3</v>
      </c>
      <c r="N2992" s="5" t="s">
        <v>7270</v>
      </c>
      <c r="O2992" s="5" t="s">
        <v>266</v>
      </c>
      <c r="Q2992" s="5" t="s">
        <v>7271</v>
      </c>
    </row>
    <row r="2993" spans="1:17" x14ac:dyDescent="0.2">
      <c r="A2993" s="5">
        <v>192</v>
      </c>
      <c r="B2993" s="8" t="s">
        <v>7282</v>
      </c>
      <c r="H2993" s="8" t="s">
        <v>7267</v>
      </c>
      <c r="I2993" s="8" t="s">
        <v>7268</v>
      </c>
      <c r="J2993" s="5">
        <f>24-3</f>
        <v>21</v>
      </c>
      <c r="K2993" s="5" t="s">
        <v>21</v>
      </c>
      <c r="L2993" s="5" t="s">
        <v>7269</v>
      </c>
      <c r="M2993" s="5">
        <v>3</v>
      </c>
      <c r="N2993" s="5" t="s">
        <v>7270</v>
      </c>
      <c r="O2993" s="5" t="s">
        <v>266</v>
      </c>
      <c r="Q2993" s="5" t="s">
        <v>7271</v>
      </c>
    </row>
    <row r="2994" spans="1:17" x14ac:dyDescent="0.2">
      <c r="A2994" s="5">
        <v>202</v>
      </c>
      <c r="B2994" s="8" t="s">
        <v>7283</v>
      </c>
      <c r="C2994" s="8" t="s">
        <v>7284</v>
      </c>
      <c r="D2994" s="8" t="s">
        <v>7285</v>
      </c>
      <c r="E2994" s="24">
        <v>43676</v>
      </c>
      <c r="F2994" s="8" t="s">
        <v>259</v>
      </c>
      <c r="G2994" s="8" t="s">
        <v>276</v>
      </c>
      <c r="H2994" s="8" t="s">
        <v>7286</v>
      </c>
      <c r="I2994" s="8" t="s">
        <v>7287</v>
      </c>
      <c r="J2994" s="5">
        <f>46-1-3-2-20-6-1-1</f>
        <v>12</v>
      </c>
      <c r="K2994" s="5" t="s">
        <v>21</v>
      </c>
      <c r="L2994" s="5" t="s">
        <v>7269</v>
      </c>
      <c r="M2994" s="41">
        <v>4</v>
      </c>
      <c r="N2994" s="5" t="s">
        <v>7270</v>
      </c>
      <c r="O2994" s="5" t="s">
        <v>266</v>
      </c>
      <c r="Q2994" s="5" t="s">
        <v>7288</v>
      </c>
    </row>
    <row r="2995" spans="1:17" x14ac:dyDescent="0.2">
      <c r="A2995" s="5">
        <v>200</v>
      </c>
      <c r="B2995" s="8" t="s">
        <v>7289</v>
      </c>
      <c r="H2995" s="8" t="s">
        <v>7275</v>
      </c>
      <c r="I2995" s="8" t="s">
        <v>7276</v>
      </c>
      <c r="J2995" s="5">
        <v>24</v>
      </c>
      <c r="K2995" s="5" t="s">
        <v>21</v>
      </c>
      <c r="L2995" s="5" t="s">
        <v>7269</v>
      </c>
      <c r="M2995" s="41">
        <v>5</v>
      </c>
      <c r="N2995" s="5" t="s">
        <v>7270</v>
      </c>
      <c r="O2995" s="5" t="s">
        <v>266</v>
      </c>
      <c r="Q2995" s="5" t="s">
        <v>7271</v>
      </c>
    </row>
    <row r="2996" spans="1:17" x14ac:dyDescent="0.2">
      <c r="A2996" s="5">
        <v>201</v>
      </c>
      <c r="B2996" s="8" t="s">
        <v>7290</v>
      </c>
      <c r="H2996" s="8" t="s">
        <v>7275</v>
      </c>
      <c r="I2996" s="8" t="s">
        <v>7276</v>
      </c>
      <c r="J2996" s="5">
        <v>23</v>
      </c>
      <c r="K2996" s="5" t="s">
        <v>21</v>
      </c>
      <c r="L2996" s="5" t="s">
        <v>7269</v>
      </c>
      <c r="M2996" s="41">
        <v>5</v>
      </c>
      <c r="N2996" s="5" t="s">
        <v>7270</v>
      </c>
      <c r="O2996" s="5" t="s">
        <v>266</v>
      </c>
      <c r="Q2996" s="5" t="s">
        <v>7271</v>
      </c>
    </row>
    <row r="2997" spans="1:17" x14ac:dyDescent="0.2">
      <c r="A2997" s="5">
        <v>205</v>
      </c>
      <c r="B2997" s="8" t="s">
        <v>7291</v>
      </c>
      <c r="H2997" s="8" t="s">
        <v>7292</v>
      </c>
      <c r="I2997" s="8" t="s">
        <v>7268</v>
      </c>
      <c r="J2997" s="5">
        <v>24</v>
      </c>
      <c r="K2997" s="5" t="s">
        <v>21</v>
      </c>
      <c r="L2997" s="5" t="s">
        <v>7269</v>
      </c>
      <c r="M2997" s="5">
        <v>6</v>
      </c>
      <c r="N2997" s="5" t="s">
        <v>7270</v>
      </c>
      <c r="O2997" s="5" t="s">
        <v>266</v>
      </c>
      <c r="Q2997" s="5" t="s">
        <v>7271</v>
      </c>
    </row>
    <row r="2998" spans="1:17" x14ac:dyDescent="0.2">
      <c r="A2998" s="5">
        <v>206</v>
      </c>
      <c r="B2998" s="8" t="s">
        <v>7293</v>
      </c>
      <c r="H2998" s="8" t="s">
        <v>7292</v>
      </c>
      <c r="I2998" s="8" t="s">
        <v>7268</v>
      </c>
      <c r="J2998" s="5">
        <f>24-9</f>
        <v>15</v>
      </c>
      <c r="K2998" s="5" t="s">
        <v>21</v>
      </c>
      <c r="L2998" s="5" t="s">
        <v>7269</v>
      </c>
      <c r="M2998" s="5">
        <v>6</v>
      </c>
      <c r="N2998" s="5" t="s">
        <v>7270</v>
      </c>
      <c r="O2998" s="5" t="s">
        <v>266</v>
      </c>
      <c r="Q2998" s="5" t="s">
        <v>7271</v>
      </c>
    </row>
    <row r="2999" spans="1:17" x14ac:dyDescent="0.2">
      <c r="A2999" s="5">
        <v>207</v>
      </c>
      <c r="B2999" s="8" t="s">
        <v>7294</v>
      </c>
      <c r="H2999" s="8" t="s">
        <v>7292</v>
      </c>
      <c r="I2999" s="8" t="s">
        <v>7268</v>
      </c>
      <c r="J2999" s="5">
        <v>24</v>
      </c>
      <c r="K2999" s="5" t="s">
        <v>21</v>
      </c>
      <c r="L2999" s="5" t="s">
        <v>7269</v>
      </c>
      <c r="M2999" s="5">
        <v>6</v>
      </c>
      <c r="N2999" s="5" t="s">
        <v>7270</v>
      </c>
      <c r="O2999" s="5" t="s">
        <v>266</v>
      </c>
      <c r="Q2999" s="5" t="s">
        <v>7271</v>
      </c>
    </row>
    <row r="3000" spans="1:17" x14ac:dyDescent="0.2">
      <c r="A3000" s="5">
        <v>362</v>
      </c>
      <c r="B3000" s="8" t="s">
        <v>7295</v>
      </c>
      <c r="H3000" s="8" t="s">
        <v>7296</v>
      </c>
      <c r="I3000" s="8" t="s">
        <v>7296</v>
      </c>
      <c r="J3000" s="5">
        <f>5-1+1-1-1-1</f>
        <v>2</v>
      </c>
      <c r="K3000" s="5" t="s">
        <v>292</v>
      </c>
      <c r="L3000" s="5" t="s">
        <v>7269</v>
      </c>
      <c r="M3000" s="5">
        <v>6</v>
      </c>
      <c r="N3000" s="5" t="s">
        <v>7297</v>
      </c>
      <c r="O3000" s="5" t="s">
        <v>266</v>
      </c>
      <c r="Q3000" s="107" t="s">
        <v>7298</v>
      </c>
    </row>
    <row r="3001" spans="1:17" x14ac:dyDescent="0.2">
      <c r="A3001" s="5"/>
      <c r="B3001" s="8" t="s">
        <v>7299</v>
      </c>
      <c r="H3001" s="8" t="s">
        <v>7300</v>
      </c>
      <c r="I3001" s="8" t="s">
        <v>7300</v>
      </c>
      <c r="J3001" s="5">
        <f>75</f>
        <v>75</v>
      </c>
      <c r="K3001" s="5" t="s">
        <v>292</v>
      </c>
      <c r="L3001" s="5" t="s">
        <v>7269</v>
      </c>
      <c r="M3001" s="5">
        <v>6</v>
      </c>
      <c r="N3001" s="5" t="s">
        <v>7301</v>
      </c>
      <c r="Q3001" s="107"/>
    </row>
    <row r="3002" spans="1:17" x14ac:dyDescent="0.2">
      <c r="A3002" s="5"/>
      <c r="B3002" s="8" t="s">
        <v>7302</v>
      </c>
      <c r="H3002" s="8" t="s">
        <v>7303</v>
      </c>
      <c r="I3002" s="8" t="s">
        <v>7304</v>
      </c>
      <c r="J3002" s="5">
        <f>15</f>
        <v>15</v>
      </c>
      <c r="K3002" s="5" t="s">
        <v>292</v>
      </c>
      <c r="L3002" s="5" t="s">
        <v>7269</v>
      </c>
      <c r="M3002" s="5">
        <v>6</v>
      </c>
      <c r="N3002" s="5" t="s">
        <v>7301</v>
      </c>
      <c r="Q3002" s="107"/>
    </row>
    <row r="3003" spans="1:17" x14ac:dyDescent="0.2">
      <c r="A3003" s="5">
        <v>199</v>
      </c>
      <c r="B3003" s="8" t="s">
        <v>7283</v>
      </c>
      <c r="H3003" s="8" t="s">
        <v>7305</v>
      </c>
      <c r="I3003" s="8" t="s">
        <v>7306</v>
      </c>
      <c r="J3003" s="5">
        <v>0</v>
      </c>
      <c r="K3003" s="5" t="s">
        <v>21</v>
      </c>
      <c r="L3003" s="5" t="s">
        <v>7269</v>
      </c>
      <c r="M3003" s="41">
        <v>7</v>
      </c>
      <c r="N3003" s="5" t="s">
        <v>7270</v>
      </c>
      <c r="O3003" s="5" t="s">
        <v>266</v>
      </c>
      <c r="Q3003" s="5" t="s">
        <v>7288</v>
      </c>
    </row>
    <row r="3004" spans="1:17" x14ac:dyDescent="0.2">
      <c r="A3004" s="5">
        <v>203</v>
      </c>
      <c r="B3004" s="8" t="s">
        <v>7307</v>
      </c>
      <c r="H3004" s="8" t="s">
        <v>7275</v>
      </c>
      <c r="I3004" s="8" t="s">
        <v>7276</v>
      </c>
      <c r="J3004" s="5">
        <v>38</v>
      </c>
      <c r="K3004" s="5" t="s">
        <v>21</v>
      </c>
      <c r="L3004" s="5" t="s">
        <v>7269</v>
      </c>
      <c r="M3004" s="41">
        <v>8</v>
      </c>
      <c r="N3004" s="5" t="s">
        <v>7270</v>
      </c>
      <c r="O3004" s="5" t="s">
        <v>266</v>
      </c>
      <c r="Q3004" s="5" t="s">
        <v>7271</v>
      </c>
    </row>
    <row r="3005" spans="1:17" x14ac:dyDescent="0.2">
      <c r="A3005" s="5">
        <v>204</v>
      </c>
      <c r="B3005" s="8" t="s">
        <v>7308</v>
      </c>
      <c r="H3005" s="8" t="s">
        <v>7309</v>
      </c>
      <c r="I3005" s="8" t="s">
        <v>7268</v>
      </c>
      <c r="J3005" s="5">
        <v>24</v>
      </c>
      <c r="K3005" s="5" t="s">
        <v>21</v>
      </c>
      <c r="L3005" s="5" t="s">
        <v>7269</v>
      </c>
      <c r="M3005" s="41">
        <v>8</v>
      </c>
      <c r="N3005" s="5" t="s">
        <v>7270</v>
      </c>
      <c r="O3005" s="5" t="s">
        <v>266</v>
      </c>
      <c r="Q3005" s="5" t="s">
        <v>7271</v>
      </c>
    </row>
    <row r="3006" spans="1:17" x14ac:dyDescent="0.2">
      <c r="A3006" s="5"/>
      <c r="B3006" s="8" t="s">
        <v>7310</v>
      </c>
      <c r="H3006" s="8" t="s">
        <v>7311</v>
      </c>
      <c r="I3006" s="8" t="s">
        <v>7311</v>
      </c>
      <c r="J3006" s="5">
        <f>6344-400-400</f>
        <v>5544</v>
      </c>
      <c r="K3006" s="5" t="s">
        <v>21</v>
      </c>
      <c r="L3006" s="5" t="s">
        <v>7269</v>
      </c>
      <c r="M3006" s="41">
        <v>8</v>
      </c>
      <c r="N3006" s="5" t="s">
        <v>7312</v>
      </c>
      <c r="O3006" s="5" t="s">
        <v>520</v>
      </c>
      <c r="Q3006" s="5" t="s">
        <v>7313</v>
      </c>
    </row>
    <row r="3007" spans="1:17" x14ac:dyDescent="0.2">
      <c r="A3007" s="5">
        <v>208</v>
      </c>
      <c r="B3007" s="8" t="s">
        <v>7314</v>
      </c>
      <c r="H3007" s="8" t="s">
        <v>7309</v>
      </c>
      <c r="I3007" s="8" t="s">
        <v>7268</v>
      </c>
      <c r="J3007" s="5">
        <v>25</v>
      </c>
      <c r="K3007" s="5" t="s">
        <v>21</v>
      </c>
      <c r="L3007" s="5" t="s">
        <v>7269</v>
      </c>
      <c r="M3007" s="5">
        <v>9</v>
      </c>
      <c r="N3007" s="5" t="s">
        <v>7270</v>
      </c>
      <c r="O3007" s="5" t="s">
        <v>266</v>
      </c>
      <c r="Q3007" s="5" t="s">
        <v>7271</v>
      </c>
    </row>
    <row r="3008" spans="1:17" x14ac:dyDescent="0.2">
      <c r="A3008" s="5">
        <v>209</v>
      </c>
      <c r="B3008" s="8" t="s">
        <v>7315</v>
      </c>
      <c r="H3008" s="8" t="s">
        <v>7309</v>
      </c>
      <c r="I3008" s="8" t="s">
        <v>7268</v>
      </c>
      <c r="J3008" s="5">
        <v>23</v>
      </c>
      <c r="K3008" s="5" t="s">
        <v>21</v>
      </c>
      <c r="L3008" s="5" t="s">
        <v>7269</v>
      </c>
      <c r="M3008" s="5">
        <v>9</v>
      </c>
      <c r="N3008" s="5" t="s">
        <v>7270</v>
      </c>
      <c r="O3008" s="5" t="s">
        <v>266</v>
      </c>
      <c r="Q3008" s="5" t="s">
        <v>7271</v>
      </c>
    </row>
    <row r="3009" spans="1:21" x14ac:dyDescent="0.2">
      <c r="A3009" s="5">
        <v>210</v>
      </c>
      <c r="B3009" s="8" t="s">
        <v>7316</v>
      </c>
      <c r="H3009" s="8" t="s">
        <v>7309</v>
      </c>
      <c r="I3009" s="8" t="s">
        <v>7268</v>
      </c>
      <c r="J3009" s="5">
        <v>22</v>
      </c>
      <c r="K3009" s="5" t="s">
        <v>21</v>
      </c>
      <c r="L3009" s="5" t="s">
        <v>7269</v>
      </c>
      <c r="M3009" s="5">
        <v>9</v>
      </c>
      <c r="N3009" s="5" t="s">
        <v>7270</v>
      </c>
      <c r="O3009" s="5" t="s">
        <v>266</v>
      </c>
      <c r="Q3009" s="5" t="s">
        <v>7271</v>
      </c>
    </row>
    <row r="3010" spans="1:21" x14ac:dyDescent="0.2">
      <c r="A3010" s="5">
        <v>211</v>
      </c>
      <c r="B3010" s="8" t="s">
        <v>7317</v>
      </c>
      <c r="H3010" s="8" t="s">
        <v>7309</v>
      </c>
      <c r="I3010" s="8" t="s">
        <v>7268</v>
      </c>
      <c r="J3010" s="5">
        <v>22</v>
      </c>
      <c r="K3010" s="5" t="s">
        <v>21</v>
      </c>
      <c r="L3010" s="5" t="s">
        <v>7269</v>
      </c>
      <c r="M3010" s="5">
        <v>9</v>
      </c>
      <c r="N3010" s="5" t="s">
        <v>7270</v>
      </c>
      <c r="O3010" s="5" t="s">
        <v>266</v>
      </c>
      <c r="Q3010" s="5" t="s">
        <v>7271</v>
      </c>
    </row>
    <row r="3011" spans="1:21" x14ac:dyDescent="0.2">
      <c r="A3011" s="5">
        <v>236</v>
      </c>
      <c r="B3011" s="8" t="s">
        <v>7318</v>
      </c>
      <c r="H3011" s="8" t="s">
        <v>7309</v>
      </c>
      <c r="I3011" s="8" t="s">
        <v>7268</v>
      </c>
      <c r="J3011" s="5">
        <v>0</v>
      </c>
      <c r="K3011" s="5" t="s">
        <v>21</v>
      </c>
      <c r="L3011" s="5" t="s">
        <v>7269</v>
      </c>
      <c r="M3011" s="5">
        <v>9</v>
      </c>
      <c r="N3011" s="5" t="s">
        <v>7270</v>
      </c>
      <c r="O3011" s="5" t="s">
        <v>266</v>
      </c>
      <c r="Q3011" s="5" t="s">
        <v>7271</v>
      </c>
    </row>
    <row r="3012" spans="1:21" x14ac:dyDescent="0.2">
      <c r="A3012" s="5"/>
      <c r="B3012" s="8" t="s">
        <v>7319</v>
      </c>
      <c r="H3012" s="8" t="s">
        <v>7320</v>
      </c>
      <c r="I3012" s="8" t="s">
        <v>7321</v>
      </c>
      <c r="J3012" s="5">
        <f>18664-40-40-8-56-56-400-400-400</f>
        <v>17264</v>
      </c>
      <c r="K3012" s="5" t="s">
        <v>7322</v>
      </c>
      <c r="L3012" s="5" t="s">
        <v>7269</v>
      </c>
      <c r="M3012" s="5">
        <v>9</v>
      </c>
      <c r="N3012" s="5" t="s">
        <v>7323</v>
      </c>
      <c r="U3012" t="s">
        <v>321</v>
      </c>
    </row>
    <row r="3013" spans="1:21" x14ac:dyDescent="0.2">
      <c r="A3013" s="5">
        <v>221</v>
      </c>
      <c r="B3013" s="8" t="s">
        <v>7324</v>
      </c>
      <c r="H3013" s="8" t="s">
        <v>7309</v>
      </c>
      <c r="I3013" s="8" t="s">
        <v>7268</v>
      </c>
      <c r="J3013" s="5">
        <v>46</v>
      </c>
      <c r="K3013" s="5" t="s">
        <v>21</v>
      </c>
      <c r="L3013" s="5" t="s">
        <v>7269</v>
      </c>
      <c r="M3013" s="5">
        <v>10</v>
      </c>
      <c r="N3013" s="5" t="s">
        <v>7270</v>
      </c>
      <c r="O3013" s="5" t="s">
        <v>266</v>
      </c>
      <c r="Q3013" s="5" t="s">
        <v>7325</v>
      </c>
    </row>
    <row r="3014" spans="1:21" x14ac:dyDescent="0.2">
      <c r="A3014" s="5">
        <v>222</v>
      </c>
      <c r="B3014" s="8" t="s">
        <v>7326</v>
      </c>
      <c r="H3014" s="8" t="s">
        <v>7327</v>
      </c>
      <c r="I3014" s="8" t="s">
        <v>7328</v>
      </c>
      <c r="J3014" s="5">
        <v>137</v>
      </c>
      <c r="K3014" s="5" t="s">
        <v>21</v>
      </c>
      <c r="L3014" s="5" t="s">
        <v>7269</v>
      </c>
      <c r="M3014" s="5">
        <v>11</v>
      </c>
      <c r="N3014" s="5" t="s">
        <v>7270</v>
      </c>
      <c r="O3014" s="5" t="s">
        <v>266</v>
      </c>
      <c r="Q3014" s="5" t="s">
        <v>7271</v>
      </c>
    </row>
    <row r="3015" spans="1:21" x14ac:dyDescent="0.2">
      <c r="A3015" s="5">
        <v>212</v>
      </c>
      <c r="B3015" s="8" t="s">
        <v>7329</v>
      </c>
      <c r="H3015" s="8" t="s">
        <v>7267</v>
      </c>
      <c r="I3015" s="8" t="s">
        <v>7268</v>
      </c>
      <c r="J3015" s="5">
        <v>24</v>
      </c>
      <c r="K3015" s="5" t="s">
        <v>21</v>
      </c>
      <c r="L3015" s="5" t="s">
        <v>7269</v>
      </c>
      <c r="M3015" s="5">
        <v>12</v>
      </c>
      <c r="N3015" s="5" t="s">
        <v>7270</v>
      </c>
      <c r="O3015" s="5" t="s">
        <v>266</v>
      </c>
      <c r="Q3015" s="5" t="s">
        <v>7271</v>
      </c>
    </row>
    <row r="3016" spans="1:21" x14ac:dyDescent="0.2">
      <c r="A3016" s="5">
        <v>213</v>
      </c>
      <c r="B3016" s="8" t="s">
        <v>7330</v>
      </c>
      <c r="H3016" s="8" t="s">
        <v>7309</v>
      </c>
      <c r="I3016" s="8" t="s">
        <v>7268</v>
      </c>
      <c r="J3016" s="5">
        <v>24</v>
      </c>
      <c r="K3016" s="5" t="s">
        <v>21</v>
      </c>
      <c r="L3016" s="5" t="s">
        <v>7269</v>
      </c>
      <c r="M3016" s="5">
        <v>12</v>
      </c>
      <c r="N3016" s="5" t="s">
        <v>7270</v>
      </c>
      <c r="O3016" s="5" t="s">
        <v>266</v>
      </c>
      <c r="Q3016" s="5" t="s">
        <v>7271</v>
      </c>
    </row>
    <row r="3017" spans="1:21" x14ac:dyDescent="0.2">
      <c r="A3017" s="5">
        <v>214</v>
      </c>
      <c r="B3017" s="8" t="s">
        <v>7331</v>
      </c>
      <c r="H3017" s="8" t="s">
        <v>7275</v>
      </c>
      <c r="I3017" s="8" t="s">
        <v>7276</v>
      </c>
      <c r="J3017" s="5">
        <v>24</v>
      </c>
      <c r="K3017" s="5" t="s">
        <v>21</v>
      </c>
      <c r="L3017" s="5" t="s">
        <v>7269</v>
      </c>
      <c r="M3017" s="5">
        <v>12</v>
      </c>
      <c r="N3017" s="5" t="s">
        <v>7270</v>
      </c>
      <c r="O3017" s="5" t="s">
        <v>266</v>
      </c>
      <c r="Q3017" s="5" t="s">
        <v>7271</v>
      </c>
    </row>
    <row r="3018" spans="1:21" x14ac:dyDescent="0.2">
      <c r="A3018" s="5">
        <v>215</v>
      </c>
      <c r="B3018" s="8" t="s">
        <v>7332</v>
      </c>
      <c r="H3018" s="8" t="s">
        <v>7309</v>
      </c>
      <c r="I3018" s="8" t="s">
        <v>7268</v>
      </c>
      <c r="J3018" s="5">
        <v>25</v>
      </c>
      <c r="K3018" s="5" t="s">
        <v>21</v>
      </c>
      <c r="L3018" s="5" t="s">
        <v>7269</v>
      </c>
      <c r="M3018" s="5">
        <v>12</v>
      </c>
      <c r="N3018" s="5" t="s">
        <v>7270</v>
      </c>
      <c r="O3018" s="5" t="s">
        <v>266</v>
      </c>
      <c r="Q3018" s="5" t="s">
        <v>7271</v>
      </c>
    </row>
    <row r="3019" spans="1:21" x14ac:dyDescent="0.2">
      <c r="A3019" s="5">
        <v>223</v>
      </c>
      <c r="B3019" s="8" t="s">
        <v>7333</v>
      </c>
      <c r="H3019" s="8" t="s">
        <v>7334</v>
      </c>
      <c r="I3019" s="8" t="s">
        <v>7268</v>
      </c>
      <c r="J3019" s="5">
        <f>38-1</f>
        <v>37</v>
      </c>
      <c r="K3019" s="5" t="s">
        <v>21</v>
      </c>
      <c r="L3019" s="5" t="s">
        <v>7269</v>
      </c>
      <c r="M3019" s="5">
        <v>13</v>
      </c>
      <c r="N3019" s="5" t="s">
        <v>7270</v>
      </c>
      <c r="O3019" s="5" t="s">
        <v>266</v>
      </c>
      <c r="Q3019" s="5" t="s">
        <v>7325</v>
      </c>
    </row>
    <row r="3020" spans="1:21" x14ac:dyDescent="0.2">
      <c r="A3020" s="5">
        <v>224</v>
      </c>
      <c r="B3020" s="8" t="s">
        <v>7335</v>
      </c>
      <c r="H3020" s="8" t="s">
        <v>7336</v>
      </c>
      <c r="I3020" s="8" t="s">
        <v>7336</v>
      </c>
      <c r="J3020" s="5">
        <v>48</v>
      </c>
      <c r="K3020" s="5" t="s">
        <v>21</v>
      </c>
      <c r="L3020" s="5" t="s">
        <v>7269</v>
      </c>
      <c r="M3020" s="5">
        <v>14</v>
      </c>
      <c r="N3020" s="5" t="s">
        <v>7270</v>
      </c>
      <c r="O3020" s="5" t="s">
        <v>266</v>
      </c>
      <c r="Q3020" s="5" t="s">
        <v>7325</v>
      </c>
    </row>
    <row r="3021" spans="1:21" x14ac:dyDescent="0.2">
      <c r="A3021" s="5">
        <v>216</v>
      </c>
      <c r="B3021" s="8" t="s">
        <v>7337</v>
      </c>
      <c r="H3021" s="8" t="s">
        <v>7275</v>
      </c>
      <c r="I3021" s="8" t="s">
        <v>7276</v>
      </c>
      <c r="J3021" s="5">
        <v>22</v>
      </c>
      <c r="K3021" s="5" t="s">
        <v>21</v>
      </c>
      <c r="L3021" s="5" t="s">
        <v>7269</v>
      </c>
      <c r="M3021" s="5">
        <v>15</v>
      </c>
      <c r="N3021" s="5" t="s">
        <v>7270</v>
      </c>
      <c r="O3021" s="5" t="s">
        <v>266</v>
      </c>
      <c r="Q3021" s="5" t="s">
        <v>7271</v>
      </c>
    </row>
    <row r="3022" spans="1:21" x14ac:dyDescent="0.2">
      <c r="A3022" s="5">
        <v>217</v>
      </c>
      <c r="B3022" s="8" t="s">
        <v>7338</v>
      </c>
      <c r="H3022" s="8" t="s">
        <v>7292</v>
      </c>
      <c r="I3022" s="8" t="s">
        <v>7268</v>
      </c>
      <c r="J3022" s="5">
        <v>24</v>
      </c>
      <c r="K3022" s="5" t="s">
        <v>21</v>
      </c>
      <c r="L3022" s="5" t="s">
        <v>7269</v>
      </c>
      <c r="M3022" s="5">
        <v>15</v>
      </c>
      <c r="N3022" s="5" t="s">
        <v>7270</v>
      </c>
      <c r="O3022" s="5" t="s">
        <v>266</v>
      </c>
      <c r="Q3022" s="5" t="s">
        <v>7271</v>
      </c>
    </row>
    <row r="3023" spans="1:21" x14ac:dyDescent="0.2">
      <c r="A3023" s="5">
        <v>218</v>
      </c>
      <c r="B3023" s="8" t="s">
        <v>7339</v>
      </c>
      <c r="H3023" s="8" t="s">
        <v>7292</v>
      </c>
      <c r="I3023" s="8" t="s">
        <v>7268</v>
      </c>
      <c r="J3023" s="5">
        <v>24</v>
      </c>
      <c r="K3023" s="5" t="s">
        <v>21</v>
      </c>
      <c r="L3023" s="5" t="s">
        <v>7269</v>
      </c>
      <c r="M3023" s="5">
        <v>15</v>
      </c>
      <c r="N3023" s="5" t="s">
        <v>7270</v>
      </c>
      <c r="O3023" s="5" t="s">
        <v>266</v>
      </c>
      <c r="Q3023" s="5" t="s">
        <v>7271</v>
      </c>
    </row>
    <row r="3024" spans="1:21" x14ac:dyDescent="0.2">
      <c r="A3024" s="5">
        <v>219</v>
      </c>
      <c r="B3024" s="8" t="s">
        <v>7266</v>
      </c>
      <c r="H3024" s="8" t="s">
        <v>7268</v>
      </c>
      <c r="I3024" s="8" t="s">
        <v>7268</v>
      </c>
      <c r="J3024" s="5">
        <v>20</v>
      </c>
      <c r="K3024" s="5" t="s">
        <v>21</v>
      </c>
      <c r="L3024" s="5" t="s">
        <v>7269</v>
      </c>
      <c r="M3024" s="5">
        <v>15</v>
      </c>
      <c r="N3024" s="5" t="s">
        <v>7270</v>
      </c>
      <c r="O3024" s="5" t="s">
        <v>266</v>
      </c>
      <c r="Q3024" s="5" t="s">
        <v>7271</v>
      </c>
    </row>
    <row r="3025" spans="1:21" x14ac:dyDescent="0.2">
      <c r="A3025" s="5"/>
      <c r="B3025" s="8" t="s">
        <v>7340</v>
      </c>
      <c r="H3025" s="8" t="s">
        <v>7292</v>
      </c>
      <c r="I3025" s="8" t="s">
        <v>7268</v>
      </c>
      <c r="J3025" s="5">
        <v>26</v>
      </c>
      <c r="K3025" s="5" t="s">
        <v>21</v>
      </c>
      <c r="L3025" s="5" t="s">
        <v>7269</v>
      </c>
      <c r="M3025" s="5">
        <v>15</v>
      </c>
      <c r="N3025" s="5" t="s">
        <v>7270</v>
      </c>
    </row>
    <row r="3026" spans="1:21" x14ac:dyDescent="0.2">
      <c r="A3026" s="5"/>
      <c r="B3026" s="8" t="s">
        <v>7341</v>
      </c>
      <c r="H3026" s="8" t="s">
        <v>7292</v>
      </c>
      <c r="I3026" s="8" t="s">
        <v>7268</v>
      </c>
      <c r="J3026" s="5">
        <v>24</v>
      </c>
      <c r="K3026" s="5" t="s">
        <v>21</v>
      </c>
      <c r="L3026" s="5" t="s">
        <v>7269</v>
      </c>
      <c r="M3026" s="5">
        <v>15</v>
      </c>
      <c r="N3026" s="5" t="s">
        <v>7270</v>
      </c>
    </row>
    <row r="3027" spans="1:21" x14ac:dyDescent="0.2">
      <c r="A3027" s="5"/>
      <c r="B3027" s="8" t="s">
        <v>7342</v>
      </c>
      <c r="H3027" s="8" t="s">
        <v>7343</v>
      </c>
      <c r="I3027" s="8" t="s">
        <v>7343</v>
      </c>
      <c r="J3027" s="5">
        <f>7-2</f>
        <v>5</v>
      </c>
      <c r="K3027" s="5" t="s">
        <v>21</v>
      </c>
      <c r="L3027" s="5" t="s">
        <v>7269</v>
      </c>
      <c r="M3027" s="5">
        <v>15</v>
      </c>
      <c r="N3027" s="5" t="s">
        <v>7343</v>
      </c>
      <c r="U3027" t="s">
        <v>321</v>
      </c>
    </row>
    <row r="3028" spans="1:21" x14ac:dyDescent="0.2">
      <c r="A3028" s="5"/>
      <c r="B3028" s="8" t="s">
        <v>7344</v>
      </c>
      <c r="H3028" s="8" t="s">
        <v>7345</v>
      </c>
      <c r="I3028" s="8" t="s">
        <v>7345</v>
      </c>
      <c r="J3028" s="5">
        <v>15</v>
      </c>
      <c r="K3028" s="5" t="s">
        <v>21</v>
      </c>
      <c r="L3028" s="5" t="s">
        <v>7269</v>
      </c>
      <c r="M3028" s="5">
        <v>15</v>
      </c>
      <c r="N3028" s="5" t="s">
        <v>7343</v>
      </c>
      <c r="Q3028" s="5" t="s">
        <v>7346</v>
      </c>
    </row>
    <row r="3029" spans="1:21" x14ac:dyDescent="0.2">
      <c r="A3029" s="5"/>
      <c r="B3029" s="8" t="s">
        <v>7347</v>
      </c>
      <c r="H3029" s="8" t="s">
        <v>7348</v>
      </c>
      <c r="I3029" s="8" t="s">
        <v>7348</v>
      </c>
      <c r="J3029" s="5">
        <f>200-7-8-2</f>
        <v>183</v>
      </c>
      <c r="K3029" s="5" t="s">
        <v>21</v>
      </c>
      <c r="L3029" s="5" t="s">
        <v>7269</v>
      </c>
      <c r="M3029" s="5">
        <v>15</v>
      </c>
      <c r="Q3029" s="107" t="s">
        <v>7349</v>
      </c>
    </row>
    <row r="3030" spans="1:21" x14ac:dyDescent="0.2">
      <c r="A3030" s="5"/>
      <c r="B3030" s="8" t="s">
        <v>7350</v>
      </c>
      <c r="H3030" s="8" t="s">
        <v>7351</v>
      </c>
      <c r="I3030" s="8" t="s">
        <v>7351</v>
      </c>
      <c r="J3030" s="5">
        <v>300</v>
      </c>
      <c r="K3030" s="5" t="s">
        <v>21</v>
      </c>
      <c r="L3030" s="5" t="s">
        <v>7269</v>
      </c>
      <c r="M3030" s="5" t="s">
        <v>7352</v>
      </c>
      <c r="N3030" s="5" t="s">
        <v>7202</v>
      </c>
      <c r="Q3030" s="107"/>
    </row>
    <row r="3031" spans="1:21" x14ac:dyDescent="0.2">
      <c r="A3031" s="5">
        <v>226</v>
      </c>
      <c r="B3031" s="11"/>
      <c r="C3031" s="11"/>
      <c r="D3031" s="11"/>
      <c r="E3031" s="26"/>
      <c r="F3031" s="11"/>
      <c r="G3031" s="11"/>
      <c r="H3031" s="8" t="s">
        <v>5580</v>
      </c>
      <c r="I3031" s="8" t="s">
        <v>7268</v>
      </c>
      <c r="J3031" s="5">
        <v>28</v>
      </c>
      <c r="K3031" s="5" t="s">
        <v>21</v>
      </c>
      <c r="L3031" s="5" t="s">
        <v>7269</v>
      </c>
      <c r="M3031" s="5">
        <v>16</v>
      </c>
      <c r="N3031" s="5" t="s">
        <v>7270</v>
      </c>
      <c r="O3031" s="5" t="s">
        <v>266</v>
      </c>
      <c r="S3031" s="5" t="s">
        <v>1139</v>
      </c>
      <c r="U3031" t="s">
        <v>288</v>
      </c>
    </row>
    <row r="3032" spans="1:21" x14ac:dyDescent="0.2">
      <c r="A3032" s="5">
        <v>225</v>
      </c>
      <c r="B3032" s="8" t="s">
        <v>7353</v>
      </c>
      <c r="H3032" s="8" t="s">
        <v>7354</v>
      </c>
      <c r="I3032" s="8" t="s">
        <v>7354</v>
      </c>
      <c r="J3032" s="5">
        <v>46</v>
      </c>
      <c r="K3032" s="5" t="s">
        <v>21</v>
      </c>
      <c r="L3032" s="5" t="s">
        <v>7269</v>
      </c>
      <c r="M3032" s="5">
        <v>17</v>
      </c>
      <c r="N3032" s="5" t="s">
        <v>7270</v>
      </c>
      <c r="O3032" s="5" t="s">
        <v>266</v>
      </c>
      <c r="Q3032" s="5" t="s">
        <v>7325</v>
      </c>
    </row>
    <row r="3033" spans="1:21" x14ac:dyDescent="0.2">
      <c r="A3033" s="5">
        <v>220</v>
      </c>
      <c r="B3033" s="8" t="s">
        <v>7283</v>
      </c>
      <c r="C3033" s="8" t="s">
        <v>7355</v>
      </c>
      <c r="D3033" s="8" t="s">
        <v>370</v>
      </c>
      <c r="E3033" s="24">
        <v>43676</v>
      </c>
      <c r="F3033" s="8" t="s">
        <v>259</v>
      </c>
      <c r="G3033" s="8" t="s">
        <v>276</v>
      </c>
      <c r="H3033" s="8" t="s">
        <v>7356</v>
      </c>
      <c r="I3033" s="8" t="s">
        <v>7357</v>
      </c>
      <c r="J3033" s="5">
        <v>0</v>
      </c>
      <c r="K3033" s="5" t="s">
        <v>21</v>
      </c>
      <c r="L3033" s="5" t="s">
        <v>7269</v>
      </c>
      <c r="M3033" s="5">
        <v>18</v>
      </c>
      <c r="N3033" s="5" t="s">
        <v>7270</v>
      </c>
      <c r="O3033" s="5" t="s">
        <v>266</v>
      </c>
      <c r="Q3033" s="5" t="s">
        <v>7358</v>
      </c>
    </row>
    <row r="3034" spans="1:21" x14ac:dyDescent="0.2">
      <c r="A3034" s="5"/>
      <c r="B3034" s="8" t="s">
        <v>7359</v>
      </c>
      <c r="H3034" s="8" t="s">
        <v>7360</v>
      </c>
      <c r="I3034" s="40" t="s">
        <v>7361</v>
      </c>
      <c r="J3034" s="5">
        <f>83-20-2+10-3-6-3-20+3</f>
        <v>42</v>
      </c>
      <c r="K3034" s="5" t="s">
        <v>21</v>
      </c>
      <c r="L3034" s="5" t="s">
        <v>7269</v>
      </c>
      <c r="M3034" s="5">
        <v>18</v>
      </c>
      <c r="N3034" s="5" t="s">
        <v>7270</v>
      </c>
      <c r="Q3034" s="5" t="s">
        <v>7362</v>
      </c>
    </row>
    <row r="3035" spans="1:21" x14ac:dyDescent="0.2">
      <c r="A3035" s="5"/>
      <c r="B3035" s="8" t="s">
        <v>7363</v>
      </c>
      <c r="H3035" s="8" t="s">
        <v>7364</v>
      </c>
      <c r="I3035" s="8" t="s">
        <v>7364</v>
      </c>
      <c r="J3035" s="5">
        <f>24-4-9-4-3-2+2-3+10</f>
        <v>11</v>
      </c>
      <c r="K3035" s="5" t="s">
        <v>21</v>
      </c>
      <c r="L3035" s="5" t="s">
        <v>7269</v>
      </c>
      <c r="M3035" s="5">
        <v>18</v>
      </c>
      <c r="N3035" s="5" t="s">
        <v>7343</v>
      </c>
      <c r="Q3035" s="5" t="s">
        <v>7365</v>
      </c>
    </row>
    <row r="3036" spans="1:21" x14ac:dyDescent="0.2">
      <c r="A3036" s="5"/>
      <c r="B3036" s="108" t="s">
        <v>7366</v>
      </c>
      <c r="H3036" s="108" t="s">
        <v>7367</v>
      </c>
      <c r="I3036" s="108" t="s">
        <v>7367</v>
      </c>
      <c r="J3036" s="5">
        <f>1+10-2-1-1</f>
        <v>7</v>
      </c>
      <c r="K3036" s="5" t="s">
        <v>21</v>
      </c>
      <c r="L3036" s="5" t="s">
        <v>7269</v>
      </c>
      <c r="M3036" s="5">
        <v>18</v>
      </c>
      <c r="N3036" s="5" t="s">
        <v>7343</v>
      </c>
      <c r="Q3036" s="5" t="s">
        <v>7368</v>
      </c>
    </row>
    <row r="3037" spans="1:21" x14ac:dyDescent="0.2">
      <c r="A3037" s="5"/>
      <c r="B3037" s="108" t="s">
        <v>7369</v>
      </c>
      <c r="H3037" s="108" t="s">
        <v>7370</v>
      </c>
      <c r="I3037" s="108" t="s">
        <v>7370</v>
      </c>
      <c r="J3037" s="5">
        <f>10</f>
        <v>10</v>
      </c>
      <c r="K3037" s="5" t="s">
        <v>21</v>
      </c>
      <c r="L3037" s="5" t="s">
        <v>7269</v>
      </c>
      <c r="M3037" s="5">
        <v>18</v>
      </c>
      <c r="N3037" s="5" t="s">
        <v>7343</v>
      </c>
      <c r="Q3037" s="107" t="s">
        <v>7371</v>
      </c>
    </row>
    <row r="3038" spans="1:21" x14ac:dyDescent="0.2">
      <c r="A3038" s="5"/>
      <c r="B3038" s="8">
        <v>801759</v>
      </c>
      <c r="H3038" s="8" t="s">
        <v>7372</v>
      </c>
      <c r="I3038" s="8" t="s">
        <v>7372</v>
      </c>
      <c r="J3038" s="5">
        <f>10-2-6-1-1</f>
        <v>0</v>
      </c>
      <c r="K3038" s="5" t="s">
        <v>21</v>
      </c>
      <c r="L3038" s="5" t="s">
        <v>7269</v>
      </c>
      <c r="M3038" s="5">
        <v>18</v>
      </c>
      <c r="Q3038" s="107" t="s">
        <v>7373</v>
      </c>
    </row>
    <row r="3039" spans="1:21" x14ac:dyDescent="0.2">
      <c r="A3039" s="5"/>
      <c r="B3039" s="11" t="s">
        <v>7374</v>
      </c>
      <c r="H3039" s="8" t="s">
        <v>7372</v>
      </c>
      <c r="I3039" s="8" t="s">
        <v>7372</v>
      </c>
      <c r="J3039" s="5">
        <f>9+1-5-1-2-1</f>
        <v>1</v>
      </c>
      <c r="K3039" s="5" t="s">
        <v>21</v>
      </c>
      <c r="L3039" s="5" t="s">
        <v>7269</v>
      </c>
      <c r="M3039" s="5">
        <v>18</v>
      </c>
      <c r="Q3039" s="107" t="s">
        <v>7375</v>
      </c>
    </row>
    <row r="3040" spans="1:21" x14ac:dyDescent="0.2">
      <c r="A3040" s="5">
        <v>238</v>
      </c>
      <c r="B3040" s="8" t="s">
        <v>7376</v>
      </c>
      <c r="H3040" s="8" t="s">
        <v>7377</v>
      </c>
      <c r="I3040" s="8" t="s">
        <v>7377</v>
      </c>
      <c r="J3040" s="5">
        <f>109-1</f>
        <v>108</v>
      </c>
      <c r="K3040" s="5" t="s">
        <v>21</v>
      </c>
      <c r="L3040" s="5" t="s">
        <v>7269</v>
      </c>
      <c r="M3040" s="5">
        <v>19</v>
      </c>
      <c r="N3040" s="5" t="s">
        <v>5586</v>
      </c>
      <c r="O3040" s="5" t="s">
        <v>266</v>
      </c>
      <c r="Q3040" s="5" t="s">
        <v>7378</v>
      </c>
    </row>
    <row r="3041" spans="1:21" x14ac:dyDescent="0.2">
      <c r="A3041" s="5">
        <v>240</v>
      </c>
      <c r="B3041" s="8" t="s">
        <v>7379</v>
      </c>
      <c r="H3041" s="8" t="s">
        <v>7380</v>
      </c>
      <c r="I3041" s="8" t="s">
        <v>7381</v>
      </c>
      <c r="J3041" s="5">
        <v>187</v>
      </c>
      <c r="K3041" s="5" t="s">
        <v>21</v>
      </c>
      <c r="L3041" s="5" t="s">
        <v>7269</v>
      </c>
      <c r="M3041" s="5">
        <v>20</v>
      </c>
      <c r="N3041" s="5" t="s">
        <v>5586</v>
      </c>
      <c r="O3041" s="5" t="s">
        <v>266</v>
      </c>
      <c r="S3041" s="5" t="s">
        <v>1139</v>
      </c>
    </row>
    <row r="3042" spans="1:21" x14ac:dyDescent="0.2">
      <c r="A3042" s="5">
        <v>227</v>
      </c>
      <c r="B3042" s="11" t="s">
        <v>553</v>
      </c>
      <c r="C3042" s="11"/>
      <c r="D3042" s="11"/>
      <c r="E3042" s="26"/>
      <c r="F3042" s="11"/>
      <c r="G3042" s="11"/>
      <c r="H3042" s="8" t="s">
        <v>5580</v>
      </c>
      <c r="I3042" s="8" t="s">
        <v>7268</v>
      </c>
      <c r="J3042" s="5">
        <v>0</v>
      </c>
      <c r="K3042" s="5" t="s">
        <v>21</v>
      </c>
      <c r="L3042" s="5" t="s">
        <v>7269</v>
      </c>
      <c r="M3042" s="5">
        <v>21</v>
      </c>
      <c r="N3042" s="5" t="s">
        <v>7270</v>
      </c>
      <c r="O3042" s="5" t="s">
        <v>266</v>
      </c>
      <c r="S3042" s="5" t="s">
        <v>1139</v>
      </c>
    </row>
    <row r="3043" spans="1:21" x14ac:dyDescent="0.2">
      <c r="A3043" s="5">
        <v>228</v>
      </c>
      <c r="B3043" s="11" t="s">
        <v>553</v>
      </c>
      <c r="C3043" s="11"/>
      <c r="D3043" s="11"/>
      <c r="E3043" s="26"/>
      <c r="F3043" s="11"/>
      <c r="G3043" s="11"/>
      <c r="H3043" s="8" t="s">
        <v>7382</v>
      </c>
      <c r="I3043" s="8" t="s">
        <v>7268</v>
      </c>
      <c r="J3043" s="5">
        <v>0</v>
      </c>
      <c r="K3043" s="5" t="s">
        <v>21</v>
      </c>
      <c r="L3043" s="5" t="s">
        <v>7269</v>
      </c>
      <c r="M3043" s="5">
        <v>21</v>
      </c>
      <c r="N3043" s="5" t="s">
        <v>7270</v>
      </c>
      <c r="O3043" s="5" t="s">
        <v>266</v>
      </c>
      <c r="S3043" s="5" t="s">
        <v>1139</v>
      </c>
    </row>
    <row r="3044" spans="1:21" x14ac:dyDescent="0.2">
      <c r="A3044" s="5">
        <v>229</v>
      </c>
      <c r="B3044" s="11" t="s">
        <v>553</v>
      </c>
      <c r="C3044" s="11"/>
      <c r="D3044" s="11"/>
      <c r="E3044" s="26"/>
      <c r="F3044" s="11"/>
      <c r="G3044" s="11"/>
      <c r="H3044" s="8" t="s">
        <v>5580</v>
      </c>
      <c r="I3044" s="8" t="s">
        <v>7268</v>
      </c>
      <c r="J3044" s="5">
        <v>0</v>
      </c>
      <c r="K3044" s="5" t="s">
        <v>21</v>
      </c>
      <c r="L3044" s="5" t="s">
        <v>7269</v>
      </c>
      <c r="M3044" s="5">
        <v>21</v>
      </c>
      <c r="N3044" s="5" t="s">
        <v>7270</v>
      </c>
      <c r="O3044" s="5" t="s">
        <v>266</v>
      </c>
      <c r="S3044" s="5" t="s">
        <v>1139</v>
      </c>
    </row>
    <row r="3045" spans="1:21" x14ac:dyDescent="0.2">
      <c r="A3045" s="5">
        <v>231</v>
      </c>
      <c r="B3045" s="11"/>
      <c r="C3045" s="11"/>
      <c r="D3045" s="11"/>
      <c r="E3045" s="26"/>
      <c r="F3045" s="11"/>
      <c r="G3045" s="11"/>
      <c r="H3045" s="8" t="s">
        <v>7383</v>
      </c>
      <c r="I3045" s="8" t="s">
        <v>7268</v>
      </c>
      <c r="J3045" s="5">
        <v>47</v>
      </c>
      <c r="K3045" s="5" t="s">
        <v>21</v>
      </c>
      <c r="L3045" s="5" t="s">
        <v>7269</v>
      </c>
      <c r="M3045" s="5">
        <v>21</v>
      </c>
      <c r="N3045" s="5" t="s">
        <v>7270</v>
      </c>
      <c r="O3045" s="5" t="s">
        <v>266</v>
      </c>
      <c r="S3045" s="5" t="s">
        <v>1139</v>
      </c>
      <c r="U3045" t="s">
        <v>288</v>
      </c>
    </row>
    <row r="3046" spans="1:21" x14ac:dyDescent="0.2">
      <c r="A3046" s="5">
        <v>235</v>
      </c>
      <c r="B3046" s="11"/>
      <c r="C3046" s="11"/>
      <c r="D3046" s="11"/>
      <c r="E3046" s="26"/>
      <c r="F3046" s="11"/>
      <c r="G3046" s="11"/>
      <c r="H3046" s="8" t="s">
        <v>7384</v>
      </c>
      <c r="I3046" s="8" t="s">
        <v>7385</v>
      </c>
      <c r="J3046" s="5">
        <v>4</v>
      </c>
      <c r="K3046" s="5" t="s">
        <v>21</v>
      </c>
      <c r="L3046" s="5" t="s">
        <v>7269</v>
      </c>
      <c r="M3046" s="5">
        <v>21</v>
      </c>
      <c r="N3046" s="5" t="s">
        <v>7270</v>
      </c>
      <c r="O3046" s="5" t="s">
        <v>266</v>
      </c>
      <c r="S3046" s="5" t="s">
        <v>1139</v>
      </c>
      <c r="U3046" t="s">
        <v>288</v>
      </c>
    </row>
    <row r="3047" spans="1:21" x14ac:dyDescent="0.2">
      <c r="A3047" s="5">
        <v>180</v>
      </c>
      <c r="B3047" s="8" t="s">
        <v>7386</v>
      </c>
      <c r="H3047" s="8" t="s">
        <v>7387</v>
      </c>
      <c r="I3047" s="8" t="s">
        <v>7387</v>
      </c>
      <c r="J3047" s="5">
        <f>7+13</f>
        <v>20</v>
      </c>
      <c r="K3047" s="5" t="s">
        <v>21</v>
      </c>
      <c r="L3047" s="5" t="s">
        <v>7269</v>
      </c>
      <c r="M3047" s="5">
        <v>22</v>
      </c>
      <c r="N3047" s="5" t="s">
        <v>71</v>
      </c>
      <c r="O3047" s="5" t="s">
        <v>266</v>
      </c>
      <c r="Q3047" s="5" t="s">
        <v>7388</v>
      </c>
    </row>
    <row r="3048" spans="1:21" x14ac:dyDescent="0.2">
      <c r="A3048" s="5">
        <v>182</v>
      </c>
      <c r="B3048" s="8" t="s">
        <v>7389</v>
      </c>
      <c r="H3048" s="8" t="s">
        <v>7387</v>
      </c>
      <c r="I3048" s="8" t="s">
        <v>7387</v>
      </c>
      <c r="J3048" s="5">
        <f>62-2</f>
        <v>60</v>
      </c>
      <c r="K3048" s="5" t="s">
        <v>21</v>
      </c>
      <c r="L3048" s="5" t="s">
        <v>7269</v>
      </c>
      <c r="M3048" s="5">
        <v>22</v>
      </c>
      <c r="N3048" s="5" t="s">
        <v>71</v>
      </c>
      <c r="O3048" s="5" t="s">
        <v>266</v>
      </c>
      <c r="Q3048" s="5" t="s">
        <v>7388</v>
      </c>
    </row>
    <row r="3049" spans="1:21" x14ac:dyDescent="0.2">
      <c r="A3049" s="5">
        <v>183</v>
      </c>
      <c r="B3049" s="8" t="s">
        <v>7390</v>
      </c>
      <c r="H3049" s="8" t="s">
        <v>7391</v>
      </c>
      <c r="I3049" s="8" t="s">
        <v>7391</v>
      </c>
      <c r="J3049" s="5">
        <f>5+25</f>
        <v>30</v>
      </c>
      <c r="K3049" s="5" t="s">
        <v>21</v>
      </c>
      <c r="L3049" s="5" t="s">
        <v>7269</v>
      </c>
      <c r="M3049" s="5">
        <v>22</v>
      </c>
      <c r="N3049" s="5" t="s">
        <v>71</v>
      </c>
      <c r="O3049" s="5" t="s">
        <v>266</v>
      </c>
      <c r="Q3049" s="5" t="s">
        <v>7388</v>
      </c>
    </row>
    <row r="3050" spans="1:21" x14ac:dyDescent="0.2">
      <c r="A3050" s="5">
        <v>242</v>
      </c>
      <c r="B3050" s="8" t="s">
        <v>7389</v>
      </c>
      <c r="H3050" s="8" t="s">
        <v>7392</v>
      </c>
      <c r="I3050" s="8" t="s">
        <v>7393</v>
      </c>
      <c r="J3050" s="5">
        <v>0</v>
      </c>
      <c r="K3050" s="5" t="s">
        <v>21</v>
      </c>
      <c r="L3050" s="5" t="s">
        <v>7269</v>
      </c>
      <c r="M3050" s="5">
        <v>22</v>
      </c>
      <c r="N3050" s="5" t="s">
        <v>5586</v>
      </c>
      <c r="O3050" s="5" t="s">
        <v>266</v>
      </c>
      <c r="Q3050" s="5" t="s">
        <v>7394</v>
      </c>
    </row>
    <row r="3051" spans="1:21" x14ac:dyDescent="0.2">
      <c r="A3051" s="5">
        <v>247</v>
      </c>
      <c r="B3051" s="8" t="s">
        <v>7395</v>
      </c>
      <c r="H3051" s="8" t="s">
        <v>7396</v>
      </c>
      <c r="I3051" s="8" t="s">
        <v>7397</v>
      </c>
      <c r="J3051" s="5">
        <v>160</v>
      </c>
      <c r="K3051" s="5" t="s">
        <v>21</v>
      </c>
      <c r="L3051" s="5" t="s">
        <v>7269</v>
      </c>
      <c r="M3051" s="5">
        <v>23</v>
      </c>
      <c r="N3051" s="5" t="s">
        <v>5586</v>
      </c>
      <c r="O3051" s="5" t="s">
        <v>266</v>
      </c>
      <c r="Q3051" s="5" t="s">
        <v>7398</v>
      </c>
    </row>
    <row r="3052" spans="1:21" x14ac:dyDescent="0.2">
      <c r="A3052" s="5"/>
      <c r="B3052" s="8" t="s">
        <v>7399</v>
      </c>
      <c r="H3052" s="8" t="s">
        <v>7400</v>
      </c>
      <c r="I3052" s="8" t="s">
        <v>7401</v>
      </c>
      <c r="J3052" s="5">
        <f>92+1</f>
        <v>93</v>
      </c>
      <c r="K3052" s="5" t="s">
        <v>21</v>
      </c>
      <c r="L3052" s="5" t="s">
        <v>7269</v>
      </c>
      <c r="M3052" s="5">
        <v>23</v>
      </c>
      <c r="N3052" s="5" t="s">
        <v>71</v>
      </c>
    </row>
    <row r="3053" spans="1:21" x14ac:dyDescent="0.2">
      <c r="A3053" s="5">
        <v>249</v>
      </c>
      <c r="H3053" s="8" t="s">
        <v>7402</v>
      </c>
      <c r="I3053" s="8" t="s">
        <v>7402</v>
      </c>
      <c r="J3053" s="5">
        <v>243</v>
      </c>
      <c r="K3053" s="5" t="s">
        <v>21</v>
      </c>
      <c r="L3053" s="5" t="s">
        <v>7269</v>
      </c>
      <c r="M3053" s="5">
        <v>24</v>
      </c>
      <c r="N3053" s="5" t="s">
        <v>5586</v>
      </c>
      <c r="O3053" s="5" t="s">
        <v>266</v>
      </c>
      <c r="Q3053" s="5" t="s">
        <v>7403</v>
      </c>
      <c r="U3053" t="s">
        <v>288</v>
      </c>
    </row>
    <row r="3054" spans="1:21" x14ac:dyDescent="0.2">
      <c r="A3054" s="5">
        <v>251</v>
      </c>
      <c r="H3054" s="8" t="s">
        <v>7404</v>
      </c>
      <c r="I3054" s="8" t="s">
        <v>7404</v>
      </c>
      <c r="J3054" s="5">
        <v>100</v>
      </c>
      <c r="K3054" s="5" t="s">
        <v>21</v>
      </c>
      <c r="L3054" s="5" t="s">
        <v>7269</v>
      </c>
      <c r="M3054" s="5">
        <v>24</v>
      </c>
      <c r="N3054" s="5" t="s">
        <v>5586</v>
      </c>
      <c r="O3054" s="5" t="s">
        <v>266</v>
      </c>
      <c r="S3054" s="5" t="s">
        <v>1139</v>
      </c>
      <c r="U3054" t="s">
        <v>288</v>
      </c>
    </row>
    <row r="3055" spans="1:21" x14ac:dyDescent="0.2">
      <c r="A3055" s="5">
        <v>181</v>
      </c>
      <c r="B3055" s="8" t="s">
        <v>7405</v>
      </c>
      <c r="H3055" s="8" t="s">
        <v>7387</v>
      </c>
      <c r="I3055" s="8" t="s">
        <v>7387</v>
      </c>
      <c r="J3055" s="5">
        <f>10+50</f>
        <v>60</v>
      </c>
      <c r="K3055" s="5" t="s">
        <v>21</v>
      </c>
      <c r="L3055" s="5" t="s">
        <v>7269</v>
      </c>
      <c r="M3055" s="5">
        <v>25</v>
      </c>
      <c r="N3055" s="5" t="s">
        <v>71</v>
      </c>
      <c r="O3055" s="5" t="s">
        <v>266</v>
      </c>
      <c r="Q3055" s="5" t="s">
        <v>7388</v>
      </c>
    </row>
    <row r="3056" spans="1:21" x14ac:dyDescent="0.2">
      <c r="A3056" s="5">
        <v>257</v>
      </c>
      <c r="B3056" s="8" t="s">
        <v>7406</v>
      </c>
      <c r="H3056" s="8" t="s">
        <v>7396</v>
      </c>
      <c r="I3056" s="8" t="s">
        <v>7407</v>
      </c>
      <c r="J3056" s="5">
        <f>192+2</f>
        <v>194</v>
      </c>
      <c r="K3056" s="5" t="s">
        <v>21</v>
      </c>
      <c r="L3056" s="5" t="s">
        <v>7269</v>
      </c>
      <c r="M3056" s="5">
        <v>25</v>
      </c>
      <c r="N3056" s="5" t="s">
        <v>5586</v>
      </c>
      <c r="O3056" s="5" t="s">
        <v>266</v>
      </c>
      <c r="Q3056" s="5" t="s">
        <v>7403</v>
      </c>
    </row>
    <row r="3057" spans="1:21" x14ac:dyDescent="0.2">
      <c r="A3057" s="5"/>
      <c r="B3057" s="8" t="s">
        <v>7408</v>
      </c>
      <c r="H3057" s="8" t="s">
        <v>7409</v>
      </c>
      <c r="I3057" s="8" t="s">
        <v>7409</v>
      </c>
      <c r="J3057" s="5">
        <v>10</v>
      </c>
      <c r="K3057" s="5" t="s">
        <v>21</v>
      </c>
      <c r="L3057" s="5" t="s">
        <v>7269</v>
      </c>
      <c r="M3057" s="5">
        <v>25</v>
      </c>
      <c r="N3057" s="5" t="s">
        <v>5586</v>
      </c>
    </row>
    <row r="3058" spans="1:21" ht="15.75" customHeight="1" x14ac:dyDescent="0.2">
      <c r="A3058" s="5">
        <v>263</v>
      </c>
      <c r="B3058" s="8" t="s">
        <v>7410</v>
      </c>
      <c r="H3058" s="8" t="s">
        <v>7411</v>
      </c>
      <c r="I3058" s="8" t="s">
        <v>7412</v>
      </c>
      <c r="J3058" s="5">
        <v>210</v>
      </c>
      <c r="K3058" s="5" t="s">
        <v>21</v>
      </c>
      <c r="L3058" s="5" t="s">
        <v>7269</v>
      </c>
      <c r="M3058" s="5">
        <v>26</v>
      </c>
      <c r="N3058" s="5" t="s">
        <v>5586</v>
      </c>
      <c r="O3058" s="5" t="s">
        <v>266</v>
      </c>
      <c r="Q3058" s="5" t="s">
        <v>7413</v>
      </c>
    </row>
    <row r="3059" spans="1:21" x14ac:dyDescent="0.2">
      <c r="A3059" s="5">
        <v>260</v>
      </c>
      <c r="B3059" s="8" t="s">
        <v>7414</v>
      </c>
      <c r="H3059" s="8" t="s">
        <v>7415</v>
      </c>
      <c r="I3059" s="8" t="s">
        <v>7415</v>
      </c>
      <c r="J3059" s="5">
        <v>301</v>
      </c>
      <c r="K3059" s="5" t="s">
        <v>21</v>
      </c>
      <c r="L3059" s="5" t="s">
        <v>7269</v>
      </c>
      <c r="M3059" s="5">
        <v>27</v>
      </c>
      <c r="N3059" s="5" t="s">
        <v>5586</v>
      </c>
      <c r="O3059" s="5" t="s">
        <v>266</v>
      </c>
      <c r="Q3059" s="5" t="s">
        <v>7413</v>
      </c>
    </row>
    <row r="3060" spans="1:21" x14ac:dyDescent="0.2">
      <c r="A3060" s="5">
        <v>266</v>
      </c>
      <c r="B3060" s="8" t="s">
        <v>7416</v>
      </c>
      <c r="H3060" s="8" t="s">
        <v>7417</v>
      </c>
      <c r="I3060" s="8" t="s">
        <v>7417</v>
      </c>
      <c r="J3060" s="5">
        <v>29</v>
      </c>
      <c r="K3060" s="5" t="s">
        <v>21</v>
      </c>
      <c r="L3060" s="5" t="s">
        <v>7269</v>
      </c>
      <c r="M3060" s="5">
        <v>28</v>
      </c>
      <c r="N3060" s="5" t="s">
        <v>5586</v>
      </c>
      <c r="O3060" s="5" t="s">
        <v>266</v>
      </c>
      <c r="Q3060" s="5" t="s">
        <v>7418</v>
      </c>
    </row>
    <row r="3061" spans="1:21" x14ac:dyDescent="0.2">
      <c r="A3061" s="5">
        <v>269</v>
      </c>
      <c r="B3061" s="8" t="s">
        <v>7419</v>
      </c>
      <c r="H3061" s="8" t="s">
        <v>7420</v>
      </c>
      <c r="I3061" s="8" t="s">
        <v>7420</v>
      </c>
      <c r="J3061" s="5">
        <v>8</v>
      </c>
      <c r="K3061" s="5" t="s">
        <v>21</v>
      </c>
      <c r="L3061" s="5" t="s">
        <v>7269</v>
      </c>
      <c r="M3061" s="5">
        <v>29</v>
      </c>
      <c r="N3061" s="5" t="s">
        <v>5586</v>
      </c>
      <c r="O3061" s="5" t="s">
        <v>266</v>
      </c>
      <c r="S3061" s="5" t="s">
        <v>1139</v>
      </c>
    </row>
    <row r="3062" spans="1:21" x14ac:dyDescent="0.2">
      <c r="A3062" s="5">
        <v>272</v>
      </c>
      <c r="B3062" s="8" t="s">
        <v>7421</v>
      </c>
      <c r="H3062" s="8" t="s">
        <v>7422</v>
      </c>
      <c r="I3062" s="8" t="s">
        <v>7422</v>
      </c>
      <c r="J3062" s="5">
        <v>10</v>
      </c>
      <c r="K3062" s="5" t="s">
        <v>21</v>
      </c>
      <c r="L3062" s="5" t="s">
        <v>7269</v>
      </c>
      <c r="M3062" s="5">
        <v>29</v>
      </c>
      <c r="N3062" s="5" t="s">
        <v>5586</v>
      </c>
      <c r="O3062" s="5" t="s">
        <v>266</v>
      </c>
      <c r="S3062" s="5" t="s">
        <v>1139</v>
      </c>
    </row>
    <row r="3063" spans="1:21" x14ac:dyDescent="0.2">
      <c r="A3063" s="5">
        <v>275</v>
      </c>
      <c r="B3063" s="8" t="s">
        <v>7423</v>
      </c>
      <c r="H3063" s="8" t="s">
        <v>7424</v>
      </c>
      <c r="I3063" s="8" t="s">
        <v>7424</v>
      </c>
      <c r="J3063" s="5">
        <v>214</v>
      </c>
      <c r="K3063" s="5" t="s">
        <v>21</v>
      </c>
      <c r="L3063" s="5" t="s">
        <v>7269</v>
      </c>
      <c r="M3063" s="5">
        <v>29</v>
      </c>
      <c r="N3063" s="5" t="s">
        <v>5586</v>
      </c>
      <c r="O3063" s="5" t="s">
        <v>266</v>
      </c>
      <c r="S3063" s="5" t="s">
        <v>1139</v>
      </c>
    </row>
    <row r="3064" spans="1:21" x14ac:dyDescent="0.2">
      <c r="A3064" s="5"/>
      <c r="B3064" s="8" t="s">
        <v>7425</v>
      </c>
      <c r="H3064" s="8" t="s">
        <v>7426</v>
      </c>
      <c r="I3064" s="8" t="s">
        <v>7426</v>
      </c>
      <c r="J3064" s="5">
        <v>15</v>
      </c>
      <c r="K3064" s="5" t="s">
        <v>21</v>
      </c>
      <c r="L3064" s="5" t="s">
        <v>7269</v>
      </c>
      <c r="M3064" s="5">
        <v>29</v>
      </c>
      <c r="N3064" s="5" t="s">
        <v>5586</v>
      </c>
    </row>
    <row r="3065" spans="1:21" x14ac:dyDescent="0.2">
      <c r="A3065" s="5">
        <v>278</v>
      </c>
      <c r="B3065" s="8" t="s">
        <v>7427</v>
      </c>
      <c r="D3065" s="8" t="s">
        <v>524</v>
      </c>
      <c r="E3065" s="24">
        <v>43676</v>
      </c>
      <c r="F3065" s="8" t="s">
        <v>259</v>
      </c>
      <c r="G3065" s="8" t="s">
        <v>260</v>
      </c>
      <c r="H3065" s="8" t="s">
        <v>7428</v>
      </c>
      <c r="I3065" s="8" t="s">
        <v>7429</v>
      </c>
      <c r="J3065" s="5">
        <v>258</v>
      </c>
      <c r="K3065" s="5" t="s">
        <v>21</v>
      </c>
      <c r="L3065" s="5" t="s">
        <v>7269</v>
      </c>
      <c r="M3065" s="5">
        <v>30</v>
      </c>
      <c r="N3065" s="5" t="s">
        <v>5586</v>
      </c>
      <c r="O3065" s="5" t="s">
        <v>266</v>
      </c>
      <c r="Q3065" s="5" t="s">
        <v>7378</v>
      </c>
    </row>
    <row r="3066" spans="1:21" x14ac:dyDescent="0.2">
      <c r="A3066" s="5">
        <v>281</v>
      </c>
      <c r="B3066" s="8" t="s">
        <v>7410</v>
      </c>
      <c r="C3066" s="34"/>
      <c r="H3066" s="8" t="s">
        <v>7430</v>
      </c>
      <c r="I3066" s="8" t="s">
        <v>7430</v>
      </c>
      <c r="J3066" s="5">
        <v>74</v>
      </c>
      <c r="K3066" s="5" t="s">
        <v>21</v>
      </c>
      <c r="L3066" s="5" t="s">
        <v>7269</v>
      </c>
      <c r="M3066" s="5">
        <v>31</v>
      </c>
      <c r="N3066" s="5" t="s">
        <v>5586</v>
      </c>
      <c r="O3066" s="5" t="s">
        <v>266</v>
      </c>
      <c r="P3066" s="5" t="s">
        <v>553</v>
      </c>
      <c r="U3066" t="s">
        <v>288</v>
      </c>
    </row>
    <row r="3067" spans="1:21" x14ac:dyDescent="0.2">
      <c r="A3067" s="5">
        <v>284</v>
      </c>
      <c r="B3067" s="8" t="s">
        <v>7410</v>
      </c>
      <c r="H3067" s="8" t="s">
        <v>7431</v>
      </c>
      <c r="I3067" s="8" t="s">
        <v>7431</v>
      </c>
      <c r="J3067" s="5">
        <v>48</v>
      </c>
      <c r="K3067" s="5" t="s">
        <v>21</v>
      </c>
      <c r="L3067" s="5" t="s">
        <v>7269</v>
      </c>
      <c r="M3067" s="5">
        <v>31</v>
      </c>
      <c r="N3067" s="5" t="s">
        <v>5586</v>
      </c>
      <c r="O3067" s="5" t="s">
        <v>266</v>
      </c>
      <c r="P3067" s="5" t="s">
        <v>553</v>
      </c>
      <c r="U3067" t="s">
        <v>288</v>
      </c>
    </row>
    <row r="3068" spans="1:21" x14ac:dyDescent="0.2">
      <c r="A3068" s="5">
        <v>287</v>
      </c>
      <c r="B3068" s="8" t="s">
        <v>7432</v>
      </c>
      <c r="H3068" s="8" t="s">
        <v>7433</v>
      </c>
      <c r="I3068" s="8" t="s">
        <v>7433</v>
      </c>
      <c r="J3068" s="5">
        <v>81</v>
      </c>
      <c r="K3068" s="5" t="s">
        <v>21</v>
      </c>
      <c r="L3068" s="5" t="s">
        <v>7269</v>
      </c>
      <c r="M3068" s="5">
        <v>32</v>
      </c>
      <c r="N3068" s="5" t="s">
        <v>5586</v>
      </c>
      <c r="O3068" s="5" t="s">
        <v>266</v>
      </c>
      <c r="P3068" s="5" t="s">
        <v>553</v>
      </c>
    </row>
    <row r="3069" spans="1:21" x14ac:dyDescent="0.2">
      <c r="A3069" s="5">
        <v>290</v>
      </c>
      <c r="B3069" s="34" t="s">
        <v>7434</v>
      </c>
      <c r="H3069" s="8" t="s">
        <v>7435</v>
      </c>
      <c r="I3069" s="8" t="s">
        <v>7435</v>
      </c>
      <c r="J3069" s="5">
        <f>122-1</f>
        <v>121</v>
      </c>
      <c r="K3069" s="5" t="s">
        <v>292</v>
      </c>
      <c r="L3069" s="5" t="s">
        <v>7269</v>
      </c>
      <c r="M3069" s="5">
        <v>33</v>
      </c>
      <c r="N3069" s="5" t="s">
        <v>5586</v>
      </c>
      <c r="O3069" s="5" t="s">
        <v>266</v>
      </c>
      <c r="Q3069" s="5" t="s">
        <v>7436</v>
      </c>
    </row>
    <row r="3070" spans="1:21" x14ac:dyDescent="0.2">
      <c r="A3070" s="5">
        <v>309</v>
      </c>
      <c r="B3070" s="8" t="s">
        <v>7437</v>
      </c>
      <c r="H3070" s="8" t="s">
        <v>7438</v>
      </c>
      <c r="I3070" s="8" t="s">
        <v>7438</v>
      </c>
      <c r="J3070" s="5">
        <f>8-1</f>
        <v>7</v>
      </c>
      <c r="K3070" s="5" t="s">
        <v>21</v>
      </c>
      <c r="L3070" s="5" t="s">
        <v>7269</v>
      </c>
      <c r="M3070" s="5">
        <v>34</v>
      </c>
      <c r="N3070" s="5" t="s">
        <v>5586</v>
      </c>
      <c r="O3070" s="5" t="s">
        <v>266</v>
      </c>
      <c r="Q3070" s="5" t="s">
        <v>7439</v>
      </c>
    </row>
    <row r="3071" spans="1:21" x14ac:dyDescent="0.2">
      <c r="A3071" s="5">
        <v>312</v>
      </c>
      <c r="B3071" s="8" t="s">
        <v>7440</v>
      </c>
      <c r="H3071" s="8" t="s">
        <v>7441</v>
      </c>
      <c r="I3071" s="8" t="s">
        <v>7441</v>
      </c>
      <c r="J3071" s="5">
        <f>5-3</f>
        <v>2</v>
      </c>
      <c r="K3071" s="5" t="s">
        <v>21</v>
      </c>
      <c r="L3071" s="5" t="s">
        <v>7269</v>
      </c>
      <c r="M3071" s="5">
        <v>34</v>
      </c>
      <c r="N3071" s="5" t="s">
        <v>5586</v>
      </c>
      <c r="O3071" s="5" t="s">
        <v>266</v>
      </c>
      <c r="Q3071" s="5" t="s">
        <v>7439</v>
      </c>
    </row>
    <row r="3072" spans="1:21" x14ac:dyDescent="0.2">
      <c r="A3072" s="5">
        <v>315</v>
      </c>
      <c r="B3072" s="8" t="s">
        <v>7442</v>
      </c>
      <c r="H3072" s="8" t="s">
        <v>7443</v>
      </c>
      <c r="I3072" s="8" t="s">
        <v>7443</v>
      </c>
      <c r="J3072" s="5">
        <v>8</v>
      </c>
      <c r="K3072" s="5" t="s">
        <v>21</v>
      </c>
      <c r="L3072" s="5" t="s">
        <v>7269</v>
      </c>
      <c r="M3072" s="5">
        <v>34</v>
      </c>
      <c r="N3072" s="5" t="s">
        <v>5586</v>
      </c>
      <c r="O3072" s="5" t="s">
        <v>266</v>
      </c>
      <c r="Q3072" s="5" t="s">
        <v>7439</v>
      </c>
    </row>
    <row r="3073" spans="1:21" x14ac:dyDescent="0.2">
      <c r="A3073" s="5">
        <v>321</v>
      </c>
      <c r="B3073" s="11" t="s">
        <v>7444</v>
      </c>
      <c r="C3073" s="11"/>
      <c r="D3073" s="11"/>
      <c r="E3073" s="26"/>
      <c r="F3073" s="11"/>
      <c r="G3073" s="11"/>
      <c r="H3073" s="8" t="s">
        <v>7445</v>
      </c>
      <c r="I3073" s="8" t="s">
        <v>7445</v>
      </c>
      <c r="J3073" s="5">
        <v>8</v>
      </c>
      <c r="K3073" s="5" t="s">
        <v>21</v>
      </c>
      <c r="L3073" s="5" t="s">
        <v>7269</v>
      </c>
      <c r="M3073" s="5">
        <v>34</v>
      </c>
      <c r="N3073" s="5" t="s">
        <v>5586</v>
      </c>
      <c r="O3073" s="5" t="s">
        <v>266</v>
      </c>
      <c r="Q3073" s="5" t="s">
        <v>7446</v>
      </c>
    </row>
    <row r="3074" spans="1:21" x14ac:dyDescent="0.2">
      <c r="A3074" s="5">
        <v>324</v>
      </c>
      <c r="B3074" s="8" t="s">
        <v>7447</v>
      </c>
      <c r="H3074" s="8" t="s">
        <v>7448</v>
      </c>
      <c r="I3074" s="8" t="s">
        <v>7448</v>
      </c>
      <c r="J3074" s="5">
        <v>1</v>
      </c>
      <c r="K3074" s="5" t="s">
        <v>21</v>
      </c>
      <c r="L3074" s="5" t="s">
        <v>7269</v>
      </c>
      <c r="M3074" s="5">
        <v>34</v>
      </c>
      <c r="N3074" s="5" t="s">
        <v>5586</v>
      </c>
      <c r="O3074" s="5" t="s">
        <v>266</v>
      </c>
      <c r="Q3074" s="5" t="s">
        <v>7449</v>
      </c>
    </row>
    <row r="3075" spans="1:21" x14ac:dyDescent="0.2">
      <c r="A3075" s="5">
        <v>326</v>
      </c>
      <c r="B3075" s="8" t="s">
        <v>7450</v>
      </c>
      <c r="H3075" s="8" t="s">
        <v>7451</v>
      </c>
      <c r="I3075" s="8" t="s">
        <v>7451</v>
      </c>
      <c r="J3075" s="5">
        <v>1</v>
      </c>
      <c r="K3075" s="5" t="s">
        <v>21</v>
      </c>
      <c r="L3075" s="5" t="s">
        <v>7269</v>
      </c>
      <c r="M3075" s="5">
        <v>34</v>
      </c>
      <c r="N3075" s="5" t="s">
        <v>5586</v>
      </c>
      <c r="O3075" s="5" t="s">
        <v>266</v>
      </c>
      <c r="Q3075" s="5" t="s">
        <v>7449</v>
      </c>
    </row>
    <row r="3076" spans="1:21" x14ac:dyDescent="0.2">
      <c r="A3076" s="5">
        <v>329</v>
      </c>
      <c r="B3076" s="8" t="s">
        <v>7452</v>
      </c>
      <c r="H3076" s="8" t="s">
        <v>7453</v>
      </c>
      <c r="I3076" s="8" t="s">
        <v>7453</v>
      </c>
      <c r="J3076" s="5">
        <v>9</v>
      </c>
      <c r="K3076" s="5" t="s">
        <v>848</v>
      </c>
      <c r="L3076" s="5" t="s">
        <v>7269</v>
      </c>
      <c r="M3076" s="5">
        <v>34</v>
      </c>
      <c r="N3076" s="5" t="s">
        <v>5586</v>
      </c>
      <c r="O3076" s="5" t="s">
        <v>266</v>
      </c>
      <c r="Q3076" s="5" t="s">
        <v>7449</v>
      </c>
    </row>
    <row r="3077" spans="1:21" x14ac:dyDescent="0.2">
      <c r="A3077" s="5"/>
      <c r="B3077" s="8" t="s">
        <v>7454</v>
      </c>
      <c r="H3077" s="8" t="s">
        <v>7455</v>
      </c>
      <c r="I3077" s="8" t="s">
        <v>7455</v>
      </c>
      <c r="J3077" s="5">
        <f>49-7-4+4</f>
        <v>42</v>
      </c>
      <c r="K3077" s="5" t="s">
        <v>21</v>
      </c>
      <c r="L3077" s="5" t="s">
        <v>7269</v>
      </c>
      <c r="M3077" s="5">
        <v>35</v>
      </c>
      <c r="N3077" s="5" t="s">
        <v>5586</v>
      </c>
    </row>
    <row r="3078" spans="1:21" x14ac:dyDescent="0.2">
      <c r="A3078" s="5">
        <v>297</v>
      </c>
      <c r="B3078" s="8" t="s">
        <v>7456</v>
      </c>
      <c r="H3078" s="8" t="s">
        <v>7457</v>
      </c>
      <c r="I3078" s="8" t="s">
        <v>7457</v>
      </c>
      <c r="J3078" s="5">
        <v>18</v>
      </c>
      <c r="K3078" s="5" t="s">
        <v>21</v>
      </c>
      <c r="L3078" s="5" t="s">
        <v>7269</v>
      </c>
      <c r="M3078" s="5">
        <v>36</v>
      </c>
      <c r="N3078" s="5" t="s">
        <v>5586</v>
      </c>
      <c r="O3078" s="5" t="s">
        <v>266</v>
      </c>
      <c r="Q3078" s="5" t="s">
        <v>7458</v>
      </c>
    </row>
    <row r="3079" spans="1:21" x14ac:dyDescent="0.2">
      <c r="A3079" s="5">
        <v>300</v>
      </c>
      <c r="B3079" s="8" t="s">
        <v>7459</v>
      </c>
      <c r="H3079" s="8" t="s">
        <v>7460</v>
      </c>
      <c r="I3079" s="8" t="s">
        <v>7460</v>
      </c>
      <c r="J3079" s="5">
        <f>10-1</f>
        <v>9</v>
      </c>
      <c r="K3079" s="5" t="s">
        <v>21</v>
      </c>
      <c r="L3079" s="5" t="s">
        <v>7269</v>
      </c>
      <c r="M3079" s="5">
        <v>36</v>
      </c>
      <c r="N3079" s="5" t="s">
        <v>5586</v>
      </c>
      <c r="O3079" s="5" t="s">
        <v>266</v>
      </c>
      <c r="Q3079" s="5" t="s">
        <v>7461</v>
      </c>
    </row>
    <row r="3080" spans="1:21" x14ac:dyDescent="0.2">
      <c r="A3080" s="5">
        <v>306</v>
      </c>
      <c r="B3080" s="8" t="s">
        <v>7462</v>
      </c>
      <c r="H3080" s="8" t="s">
        <v>7354</v>
      </c>
      <c r="I3080" s="8" t="s">
        <v>7463</v>
      </c>
      <c r="J3080" s="5">
        <v>46</v>
      </c>
      <c r="K3080" s="5" t="s">
        <v>21</v>
      </c>
      <c r="L3080" s="5" t="s">
        <v>7269</v>
      </c>
      <c r="M3080" s="5">
        <v>37</v>
      </c>
      <c r="N3080" s="5" t="s">
        <v>5586</v>
      </c>
      <c r="O3080" s="5" t="s">
        <v>266</v>
      </c>
      <c r="Q3080" s="5" t="s">
        <v>7325</v>
      </c>
    </row>
    <row r="3081" spans="1:21" x14ac:dyDescent="0.2">
      <c r="A3081" s="5">
        <v>303</v>
      </c>
      <c r="B3081" s="8" t="s">
        <v>7464</v>
      </c>
      <c r="H3081" s="8" t="s">
        <v>7465</v>
      </c>
      <c r="I3081" s="8" t="s">
        <v>7465</v>
      </c>
      <c r="J3081" s="5">
        <v>33</v>
      </c>
      <c r="K3081" s="5" t="s">
        <v>21</v>
      </c>
      <c r="L3081" s="5" t="s">
        <v>7269</v>
      </c>
      <c r="M3081" s="5">
        <v>38</v>
      </c>
      <c r="N3081" s="5" t="s">
        <v>5586</v>
      </c>
      <c r="O3081" s="5" t="s">
        <v>266</v>
      </c>
      <c r="Q3081" s="5" t="s">
        <v>7325</v>
      </c>
    </row>
    <row r="3082" spans="1:21" x14ac:dyDescent="0.2">
      <c r="A3082" s="5"/>
      <c r="H3082" s="8" t="s">
        <v>7466</v>
      </c>
      <c r="I3082" s="8" t="s">
        <v>7466</v>
      </c>
      <c r="J3082" s="5">
        <v>256</v>
      </c>
      <c r="K3082" s="5" t="s">
        <v>21</v>
      </c>
      <c r="L3082" s="5" t="s">
        <v>7269</v>
      </c>
      <c r="M3082" s="5">
        <v>39</v>
      </c>
      <c r="N3082" s="5" t="s">
        <v>7467</v>
      </c>
      <c r="U3082" t="s">
        <v>321</v>
      </c>
    </row>
    <row r="3083" spans="1:21" x14ac:dyDescent="0.2">
      <c r="A3083" s="5"/>
      <c r="H3083" s="8" t="s">
        <v>7468</v>
      </c>
      <c r="I3083" s="8" t="s">
        <v>7468</v>
      </c>
      <c r="J3083" s="5">
        <f>853-2-60</f>
        <v>791</v>
      </c>
      <c r="K3083" s="5" t="s">
        <v>21</v>
      </c>
      <c r="L3083" s="5" t="s">
        <v>7269</v>
      </c>
      <c r="M3083" s="5">
        <v>39</v>
      </c>
      <c r="N3083" s="5" t="s">
        <v>7467</v>
      </c>
      <c r="U3083" t="s">
        <v>321</v>
      </c>
    </row>
    <row r="3084" spans="1:21" x14ac:dyDescent="0.2">
      <c r="A3084" s="5"/>
      <c r="B3084" s="8" t="s">
        <v>553</v>
      </c>
      <c r="H3084" s="8" t="s">
        <v>7469</v>
      </c>
      <c r="I3084" s="8" t="s">
        <v>7469</v>
      </c>
      <c r="J3084" s="5">
        <f>1070-8-30-30-10-20-4-12-8</f>
        <v>948</v>
      </c>
      <c r="K3084" s="5" t="s">
        <v>21</v>
      </c>
      <c r="L3084" s="5" t="s">
        <v>7269</v>
      </c>
      <c r="M3084" s="5">
        <v>39</v>
      </c>
      <c r="N3084" s="5" t="s">
        <v>7467</v>
      </c>
      <c r="U3084" t="s">
        <v>2789</v>
      </c>
    </row>
    <row r="3085" spans="1:21" x14ac:dyDescent="0.2">
      <c r="A3085" s="5"/>
      <c r="B3085" s="8" t="s">
        <v>7470</v>
      </c>
      <c r="H3085" s="8" t="s">
        <v>7471</v>
      </c>
      <c r="I3085" s="8" t="s">
        <v>7471</v>
      </c>
      <c r="J3085" s="5">
        <f>36-2-2-10</f>
        <v>22</v>
      </c>
      <c r="K3085" s="5" t="s">
        <v>21</v>
      </c>
      <c r="L3085" s="5" t="s">
        <v>7269</v>
      </c>
      <c r="M3085" s="5">
        <v>39</v>
      </c>
      <c r="N3085" s="5" t="s">
        <v>7467</v>
      </c>
    </row>
    <row r="3086" spans="1:21" x14ac:dyDescent="0.2">
      <c r="A3086" s="5"/>
      <c r="B3086" s="8" t="s">
        <v>7472</v>
      </c>
      <c r="H3086" s="8" t="s">
        <v>7473</v>
      </c>
      <c r="I3086" s="8" t="s">
        <v>7473</v>
      </c>
      <c r="J3086" s="5">
        <v>3000</v>
      </c>
      <c r="K3086" s="5" t="s">
        <v>21</v>
      </c>
      <c r="L3086" s="5" t="s">
        <v>7269</v>
      </c>
      <c r="M3086" s="5">
        <v>39</v>
      </c>
      <c r="N3086" s="5" t="s">
        <v>7467</v>
      </c>
    </row>
    <row r="3087" spans="1:21" x14ac:dyDescent="0.2">
      <c r="A3087" s="5"/>
      <c r="B3087" s="8" t="s">
        <v>7474</v>
      </c>
      <c r="H3087" s="8" t="s">
        <v>7475</v>
      </c>
      <c r="I3087" s="8" t="s">
        <v>7476</v>
      </c>
      <c r="J3087" s="5">
        <f>2396-10-8-2-2-24-22-7-6-8</f>
        <v>2307</v>
      </c>
      <c r="K3087" s="5" t="s">
        <v>21</v>
      </c>
      <c r="L3087" s="5" t="s">
        <v>7269</v>
      </c>
      <c r="M3087" s="5">
        <v>39</v>
      </c>
      <c r="N3087" s="5" t="s">
        <v>7467</v>
      </c>
    </row>
    <row r="3088" spans="1:21" x14ac:dyDescent="0.2">
      <c r="A3088" s="5"/>
      <c r="B3088" s="8" t="s">
        <v>7477</v>
      </c>
      <c r="H3088" s="8" t="s">
        <v>7478</v>
      </c>
      <c r="I3088" s="8" t="s">
        <v>7478</v>
      </c>
      <c r="J3088" s="5">
        <v>2531</v>
      </c>
      <c r="K3088" s="5" t="s">
        <v>21</v>
      </c>
      <c r="L3088" s="5" t="s">
        <v>7269</v>
      </c>
      <c r="M3088" s="5">
        <v>39</v>
      </c>
      <c r="N3088" s="5" t="s">
        <v>7467</v>
      </c>
    </row>
    <row r="3089" spans="1:17" x14ac:dyDescent="0.2">
      <c r="A3089" s="5"/>
      <c r="B3089" s="8" t="s">
        <v>7479</v>
      </c>
      <c r="H3089" s="8" t="s">
        <v>7480</v>
      </c>
      <c r="I3089" s="8" t="s">
        <v>7480</v>
      </c>
      <c r="J3089" s="5">
        <v>3114</v>
      </c>
      <c r="K3089" s="5" t="s">
        <v>21</v>
      </c>
      <c r="L3089" s="5" t="s">
        <v>7269</v>
      </c>
      <c r="M3089" s="5">
        <v>39</v>
      </c>
      <c r="N3089" s="5" t="s">
        <v>7467</v>
      </c>
    </row>
    <row r="3090" spans="1:17" x14ac:dyDescent="0.2">
      <c r="A3090" s="5"/>
      <c r="B3090" s="8" t="s">
        <v>7481</v>
      </c>
      <c r="H3090" s="8" t="s">
        <v>7482</v>
      </c>
      <c r="I3090" s="8" t="s">
        <v>7482</v>
      </c>
      <c r="J3090" s="5">
        <v>5</v>
      </c>
      <c r="K3090" s="5" t="s">
        <v>21</v>
      </c>
      <c r="L3090" s="5" t="s">
        <v>7269</v>
      </c>
      <c r="M3090" s="5">
        <v>39</v>
      </c>
      <c r="N3090" s="5" t="s">
        <v>7467</v>
      </c>
    </row>
    <row r="3091" spans="1:17" x14ac:dyDescent="0.2">
      <c r="A3091" s="5"/>
      <c r="B3091" s="8" t="s">
        <v>7483</v>
      </c>
      <c r="H3091" s="8" t="s">
        <v>7484</v>
      </c>
      <c r="I3091" s="8" t="s">
        <v>7484</v>
      </c>
      <c r="J3091" s="5">
        <v>1</v>
      </c>
      <c r="K3091" s="5" t="s">
        <v>21</v>
      </c>
      <c r="L3091" s="5" t="s">
        <v>7269</v>
      </c>
      <c r="M3091" s="5">
        <v>39</v>
      </c>
      <c r="N3091" s="5" t="s">
        <v>7467</v>
      </c>
    </row>
    <row r="3092" spans="1:17" x14ac:dyDescent="0.2">
      <c r="A3092" s="5"/>
      <c r="B3092" s="108" t="s">
        <v>7485</v>
      </c>
      <c r="H3092" s="108" t="s">
        <v>7486</v>
      </c>
      <c r="I3092" s="108" t="s">
        <v>7487</v>
      </c>
      <c r="J3092" s="5">
        <f>500-63-72-18-36</f>
        <v>311</v>
      </c>
      <c r="K3092" s="5" t="s">
        <v>21</v>
      </c>
      <c r="L3092" s="5" t="s">
        <v>7269</v>
      </c>
      <c r="M3092" s="5">
        <v>39</v>
      </c>
      <c r="N3092" s="5" t="s">
        <v>7467</v>
      </c>
      <c r="Q3092" s="107" t="s">
        <v>7349</v>
      </c>
    </row>
    <row r="3093" spans="1:17" x14ac:dyDescent="0.2">
      <c r="A3093" s="5"/>
      <c r="B3093" s="108" t="s">
        <v>7488</v>
      </c>
      <c r="H3093" s="108" t="s">
        <v>7486</v>
      </c>
      <c r="I3093" s="108" t="s">
        <v>7489</v>
      </c>
      <c r="J3093" s="5">
        <f>500-28-32-8-16</f>
        <v>416</v>
      </c>
      <c r="K3093" s="5" t="s">
        <v>21</v>
      </c>
      <c r="L3093" s="5" t="s">
        <v>7269</v>
      </c>
      <c r="M3093" s="5">
        <v>39</v>
      </c>
      <c r="N3093" s="5" t="s">
        <v>7467</v>
      </c>
      <c r="Q3093" s="107" t="s">
        <v>7349</v>
      </c>
    </row>
    <row r="3094" spans="1:17" x14ac:dyDescent="0.2">
      <c r="A3094" s="5"/>
      <c r="B3094" s="108" t="s">
        <v>7490</v>
      </c>
      <c r="H3094" s="108" t="s">
        <v>7486</v>
      </c>
      <c r="I3094" s="108" t="s">
        <v>7491</v>
      </c>
      <c r="J3094" s="5">
        <f>500-21-24-6-12</f>
        <v>437</v>
      </c>
      <c r="K3094" s="5" t="s">
        <v>21</v>
      </c>
      <c r="L3094" s="5" t="s">
        <v>7269</v>
      </c>
      <c r="M3094" s="5">
        <v>39</v>
      </c>
      <c r="N3094" s="5" t="s">
        <v>7467</v>
      </c>
      <c r="Q3094" s="107" t="s">
        <v>7349</v>
      </c>
    </row>
    <row r="3095" spans="1:17" x14ac:dyDescent="0.2">
      <c r="A3095" s="5"/>
      <c r="B3095" s="108" t="s">
        <v>7492</v>
      </c>
      <c r="H3095" s="108" t="s">
        <v>7486</v>
      </c>
      <c r="I3095" s="108" t="s">
        <v>7493</v>
      </c>
      <c r="J3095" s="5">
        <f>500-35-40-10-20</f>
        <v>395</v>
      </c>
      <c r="K3095" s="5" t="s">
        <v>21</v>
      </c>
      <c r="L3095" s="5" t="s">
        <v>7269</v>
      </c>
      <c r="M3095" s="5">
        <v>39</v>
      </c>
      <c r="N3095" s="5" t="s">
        <v>7467</v>
      </c>
      <c r="Q3095" s="107" t="s">
        <v>7349</v>
      </c>
    </row>
    <row r="3096" spans="1:17" x14ac:dyDescent="0.2">
      <c r="A3096" s="5"/>
      <c r="B3096" s="108" t="s">
        <v>7494</v>
      </c>
      <c r="H3096" s="108" t="s">
        <v>7495</v>
      </c>
      <c r="I3096" s="108" t="s">
        <v>7496</v>
      </c>
      <c r="J3096" s="5">
        <f>500-7-8-2-4</f>
        <v>479</v>
      </c>
      <c r="K3096" s="5" t="s">
        <v>21</v>
      </c>
      <c r="L3096" s="5" t="s">
        <v>7269</v>
      </c>
      <c r="M3096" s="5">
        <v>39</v>
      </c>
      <c r="N3096" s="5" t="s">
        <v>7467</v>
      </c>
      <c r="Q3096" s="107" t="s">
        <v>7349</v>
      </c>
    </row>
    <row r="3097" spans="1:17" x14ac:dyDescent="0.2">
      <c r="A3097" s="5"/>
      <c r="B3097" s="108" t="s">
        <v>7497</v>
      </c>
      <c r="H3097" s="108" t="s">
        <v>7498</v>
      </c>
      <c r="I3097" s="108" t="s">
        <v>7499</v>
      </c>
      <c r="J3097" s="5">
        <f>500-7-8-2-4</f>
        <v>479</v>
      </c>
      <c r="K3097" s="5" t="s">
        <v>21</v>
      </c>
      <c r="L3097" s="5" t="s">
        <v>7269</v>
      </c>
      <c r="M3097" s="5">
        <v>39</v>
      </c>
      <c r="N3097" s="5" t="s">
        <v>7467</v>
      </c>
      <c r="Q3097" s="107" t="s">
        <v>7349</v>
      </c>
    </row>
    <row r="3098" spans="1:17" x14ac:dyDescent="0.2">
      <c r="A3098" s="5"/>
      <c r="B3098" s="108" t="s">
        <v>7500</v>
      </c>
      <c r="H3098" s="108" t="s">
        <v>7501</v>
      </c>
      <c r="I3098" s="108" t="s">
        <v>7502</v>
      </c>
      <c r="J3098" s="5">
        <f>500-21-24-6-12</f>
        <v>437</v>
      </c>
      <c r="K3098" s="5" t="s">
        <v>21</v>
      </c>
      <c r="L3098" s="5" t="s">
        <v>7269</v>
      </c>
      <c r="M3098" s="5">
        <v>39</v>
      </c>
      <c r="N3098" s="5" t="s">
        <v>7467</v>
      </c>
      <c r="Q3098" s="107" t="s">
        <v>7349</v>
      </c>
    </row>
    <row r="3099" spans="1:17" x14ac:dyDescent="0.2">
      <c r="A3099" s="5"/>
      <c r="B3099" s="108" t="s">
        <v>7503</v>
      </c>
      <c r="H3099" s="108" t="s">
        <v>7486</v>
      </c>
      <c r="I3099" s="108" t="s">
        <v>7504</v>
      </c>
      <c r="J3099" s="5">
        <f>500-14-16-4-8</f>
        <v>458</v>
      </c>
      <c r="K3099" s="5" t="s">
        <v>21</v>
      </c>
      <c r="L3099" s="5" t="s">
        <v>7269</v>
      </c>
      <c r="M3099" s="5">
        <v>39</v>
      </c>
      <c r="N3099" s="5" t="s">
        <v>7467</v>
      </c>
      <c r="Q3099" s="107" t="s">
        <v>7349</v>
      </c>
    </row>
    <row r="3100" spans="1:17" x14ac:dyDescent="0.2">
      <c r="A3100" s="5"/>
      <c r="B3100" s="108" t="s">
        <v>7505</v>
      </c>
      <c r="H3100" s="108" t="s">
        <v>7486</v>
      </c>
      <c r="I3100" s="108" t="s">
        <v>7506</v>
      </c>
      <c r="J3100" s="5">
        <f>500-7-8-2-4</f>
        <v>479</v>
      </c>
      <c r="K3100" s="5" t="s">
        <v>21</v>
      </c>
      <c r="L3100" s="5" t="s">
        <v>7269</v>
      </c>
      <c r="M3100" s="5">
        <v>39</v>
      </c>
      <c r="N3100" s="5" t="s">
        <v>7467</v>
      </c>
      <c r="Q3100" s="107" t="s">
        <v>7349</v>
      </c>
    </row>
    <row r="3101" spans="1:17" x14ac:dyDescent="0.2">
      <c r="A3101" s="5"/>
      <c r="B3101" s="108" t="s">
        <v>7507</v>
      </c>
      <c r="H3101" s="108" t="s">
        <v>7501</v>
      </c>
      <c r="I3101" s="108" t="s">
        <v>7508</v>
      </c>
      <c r="J3101" s="5">
        <f>500-7-8-2-4</f>
        <v>479</v>
      </c>
      <c r="K3101" s="5" t="s">
        <v>21</v>
      </c>
      <c r="L3101" s="5" t="s">
        <v>7269</v>
      </c>
      <c r="M3101" s="5">
        <v>39</v>
      </c>
      <c r="N3101" s="5" t="s">
        <v>7467</v>
      </c>
      <c r="Q3101" s="107" t="s">
        <v>7349</v>
      </c>
    </row>
    <row r="3102" spans="1:17" ht="27.75" x14ac:dyDescent="0.2">
      <c r="A3102" s="5"/>
      <c r="B3102" s="206" t="s">
        <v>7347</v>
      </c>
      <c r="H3102" s="108"/>
      <c r="I3102" s="206" t="s">
        <v>7348</v>
      </c>
      <c r="J3102" s="5">
        <f>200-17-4</f>
        <v>179</v>
      </c>
      <c r="K3102" s="5" t="s">
        <v>21</v>
      </c>
      <c r="L3102" s="5" t="s">
        <v>7269</v>
      </c>
      <c r="M3102" s="5">
        <v>39</v>
      </c>
      <c r="N3102" s="5" t="s">
        <v>7467</v>
      </c>
      <c r="Q3102" s="107" t="s">
        <v>7349</v>
      </c>
    </row>
    <row r="3103" spans="1:17" x14ac:dyDescent="0.2">
      <c r="A3103" s="5"/>
      <c r="B3103" s="108" t="s">
        <v>7509</v>
      </c>
      <c r="H3103" s="108" t="s">
        <v>7495</v>
      </c>
      <c r="I3103" s="108" t="s">
        <v>7510</v>
      </c>
      <c r="J3103" s="5">
        <f>500-7-8-2-4</f>
        <v>479</v>
      </c>
      <c r="K3103" s="5" t="s">
        <v>21</v>
      </c>
      <c r="L3103" s="5" t="s">
        <v>7269</v>
      </c>
      <c r="M3103" s="5">
        <v>39</v>
      </c>
      <c r="N3103" s="5" t="s">
        <v>7467</v>
      </c>
      <c r="Q3103" s="107" t="s">
        <v>7349</v>
      </c>
    </row>
    <row r="3104" spans="1:17" x14ac:dyDescent="0.2">
      <c r="A3104" s="5"/>
      <c r="B3104" s="108" t="s">
        <v>7511</v>
      </c>
      <c r="H3104" s="108" t="s">
        <v>7512</v>
      </c>
      <c r="I3104" s="108" t="s">
        <v>7513</v>
      </c>
      <c r="J3104" s="5">
        <f>500-14-16-4-8</f>
        <v>458</v>
      </c>
      <c r="K3104" s="5" t="s">
        <v>21</v>
      </c>
      <c r="L3104" s="5" t="s">
        <v>7269</v>
      </c>
      <c r="M3104" s="5">
        <v>39</v>
      </c>
      <c r="N3104" s="5" t="s">
        <v>7467</v>
      </c>
      <c r="Q3104" s="107" t="s">
        <v>7349</v>
      </c>
    </row>
    <row r="3105" spans="1:21" x14ac:dyDescent="0.2">
      <c r="A3105" s="5"/>
      <c r="B3105" s="108" t="s">
        <v>7514</v>
      </c>
      <c r="H3105" s="108" t="s">
        <v>7512</v>
      </c>
      <c r="I3105" s="108" t="s">
        <v>7515</v>
      </c>
      <c r="J3105" s="5">
        <f>500-14-16-4-8</f>
        <v>458</v>
      </c>
      <c r="K3105" s="5" t="s">
        <v>21</v>
      </c>
      <c r="L3105" s="5" t="s">
        <v>7269</v>
      </c>
      <c r="M3105" s="5">
        <v>39</v>
      </c>
      <c r="N3105" s="5" t="s">
        <v>7467</v>
      </c>
      <c r="Q3105" s="107" t="s">
        <v>7349</v>
      </c>
    </row>
    <row r="3106" spans="1:21" x14ac:dyDescent="0.2">
      <c r="A3106" s="5"/>
      <c r="B3106" s="108" t="s">
        <v>7516</v>
      </c>
      <c r="H3106" s="108" t="s">
        <v>7512</v>
      </c>
      <c r="I3106" s="108" t="s">
        <v>7517</v>
      </c>
      <c r="J3106" s="5">
        <f>500-7-8-2-4</f>
        <v>479</v>
      </c>
      <c r="K3106" s="5" t="s">
        <v>21</v>
      </c>
      <c r="L3106" s="5" t="s">
        <v>7269</v>
      </c>
      <c r="M3106" s="5">
        <v>39</v>
      </c>
      <c r="N3106" s="5" t="s">
        <v>7467</v>
      </c>
      <c r="Q3106" s="107" t="s">
        <v>7349</v>
      </c>
    </row>
    <row r="3107" spans="1:21" x14ac:dyDescent="0.2">
      <c r="A3107" s="5"/>
      <c r="B3107" s="8" t="s">
        <v>7518</v>
      </c>
      <c r="H3107" s="8" t="s">
        <v>7519</v>
      </c>
      <c r="I3107" s="8" t="s">
        <v>7519</v>
      </c>
      <c r="J3107" s="5">
        <f>190-2-4-12-8-1-1-5</f>
        <v>157</v>
      </c>
      <c r="K3107" s="5" t="s">
        <v>21</v>
      </c>
      <c r="L3107" s="5" t="s">
        <v>7269</v>
      </c>
      <c r="M3107" s="5">
        <v>40</v>
      </c>
      <c r="N3107" s="5" t="s">
        <v>7467</v>
      </c>
      <c r="U3107" t="s">
        <v>321</v>
      </c>
    </row>
    <row r="3108" spans="1:21" x14ac:dyDescent="0.2">
      <c r="A3108" s="5"/>
      <c r="B3108" s="8" t="s">
        <v>7518</v>
      </c>
      <c r="H3108" s="8" t="s">
        <v>7520</v>
      </c>
      <c r="I3108" s="8" t="s">
        <v>7520</v>
      </c>
      <c r="J3108" s="5">
        <f>179-1-4-12-3-6-1-1-1-1-5</f>
        <v>144</v>
      </c>
      <c r="K3108" s="5" t="s">
        <v>21</v>
      </c>
      <c r="L3108" s="5" t="s">
        <v>7269</v>
      </c>
      <c r="M3108" s="5">
        <v>40</v>
      </c>
      <c r="N3108" s="5" t="s">
        <v>7467</v>
      </c>
      <c r="U3108" t="s">
        <v>321</v>
      </c>
    </row>
    <row r="3109" spans="1:21" x14ac:dyDescent="0.2">
      <c r="A3109" s="5"/>
      <c r="B3109" s="8" t="s">
        <v>553</v>
      </c>
      <c r="H3109" s="8" t="s">
        <v>7521</v>
      </c>
      <c r="I3109" s="8" t="s">
        <v>7521</v>
      </c>
      <c r="J3109" s="5">
        <f>3129-4</f>
        <v>3125</v>
      </c>
      <c r="K3109" s="5" t="s">
        <v>21</v>
      </c>
      <c r="L3109" s="5" t="s">
        <v>7269</v>
      </c>
      <c r="M3109" s="5">
        <v>40</v>
      </c>
      <c r="N3109" s="5" t="s">
        <v>7467</v>
      </c>
      <c r="U3109" t="s">
        <v>2789</v>
      </c>
    </row>
    <row r="3110" spans="1:21" x14ac:dyDescent="0.2">
      <c r="A3110" s="5"/>
      <c r="B3110" s="8" t="s">
        <v>7522</v>
      </c>
      <c r="H3110" s="8" t="s">
        <v>7523</v>
      </c>
      <c r="I3110" s="8" t="s">
        <v>7523</v>
      </c>
      <c r="J3110" s="5">
        <v>50</v>
      </c>
      <c r="K3110" s="5" t="s">
        <v>21</v>
      </c>
      <c r="L3110" s="5" t="s">
        <v>7269</v>
      </c>
      <c r="M3110" s="5">
        <v>40</v>
      </c>
      <c r="N3110" s="5" t="s">
        <v>7467</v>
      </c>
    </row>
    <row r="3111" spans="1:21" x14ac:dyDescent="0.2">
      <c r="A3111" s="5"/>
      <c r="B3111" s="8" t="s">
        <v>7524</v>
      </c>
      <c r="H3111" s="8" t="s">
        <v>7525</v>
      </c>
      <c r="I3111" s="8" t="s">
        <v>7525</v>
      </c>
      <c r="J3111" s="5">
        <v>2230</v>
      </c>
      <c r="K3111" s="5" t="s">
        <v>21</v>
      </c>
      <c r="L3111" s="5" t="s">
        <v>7269</v>
      </c>
      <c r="M3111" s="5">
        <v>40</v>
      </c>
      <c r="N3111" s="5" t="s">
        <v>7467</v>
      </c>
    </row>
    <row r="3112" spans="1:21" x14ac:dyDescent="0.2">
      <c r="A3112" s="5"/>
      <c r="B3112" s="8" t="s">
        <v>7526</v>
      </c>
      <c r="H3112" s="8" t="s">
        <v>7527</v>
      </c>
      <c r="I3112" s="8" t="s">
        <v>7527</v>
      </c>
      <c r="J3112" s="5">
        <v>139</v>
      </c>
      <c r="K3112" s="5" t="s">
        <v>21</v>
      </c>
      <c r="L3112" s="5" t="s">
        <v>7269</v>
      </c>
      <c r="M3112" s="5">
        <v>40</v>
      </c>
      <c r="N3112" s="5" t="s">
        <v>7467</v>
      </c>
    </row>
    <row r="3113" spans="1:21" x14ac:dyDescent="0.2">
      <c r="A3113" s="5"/>
      <c r="B3113" s="8" t="s">
        <v>7528</v>
      </c>
      <c r="H3113" s="8" t="s">
        <v>7529</v>
      </c>
      <c r="I3113" s="8" t="s">
        <v>7529</v>
      </c>
      <c r="J3113" s="5">
        <v>49</v>
      </c>
      <c r="K3113" s="5" t="s">
        <v>21</v>
      </c>
      <c r="L3113" s="5" t="s">
        <v>7269</v>
      </c>
      <c r="M3113" s="5">
        <v>40</v>
      </c>
      <c r="N3113" s="5" t="s">
        <v>7467</v>
      </c>
    </row>
    <row r="3114" spans="1:21" x14ac:dyDescent="0.2">
      <c r="A3114" s="5"/>
      <c r="B3114" s="8" t="s">
        <v>7530</v>
      </c>
      <c r="H3114" s="8" t="s">
        <v>7531</v>
      </c>
      <c r="I3114" s="8" t="s">
        <v>7531</v>
      </c>
      <c r="J3114" s="5">
        <v>49</v>
      </c>
      <c r="K3114" s="5" t="s">
        <v>21</v>
      </c>
      <c r="L3114" s="5" t="s">
        <v>7269</v>
      </c>
      <c r="M3114" s="5">
        <v>40</v>
      </c>
      <c r="N3114" s="5" t="s">
        <v>7467</v>
      </c>
    </row>
    <row r="3115" spans="1:21" x14ac:dyDescent="0.2">
      <c r="A3115" s="5"/>
      <c r="B3115" s="8" t="s">
        <v>7532</v>
      </c>
      <c r="H3115" s="8" t="s">
        <v>7532</v>
      </c>
      <c r="I3115" s="8" t="s">
        <v>7532</v>
      </c>
      <c r="J3115" s="5">
        <v>50</v>
      </c>
      <c r="K3115" s="5" t="s">
        <v>21</v>
      </c>
      <c r="L3115" s="5" t="s">
        <v>7269</v>
      </c>
      <c r="M3115" s="5">
        <v>40</v>
      </c>
      <c r="N3115" s="5" t="s">
        <v>7467</v>
      </c>
    </row>
    <row r="3116" spans="1:21" x14ac:dyDescent="0.2">
      <c r="A3116" s="5"/>
      <c r="B3116" s="8" t="s">
        <v>7533</v>
      </c>
      <c r="H3116" s="8" t="s">
        <v>7534</v>
      </c>
      <c r="I3116" s="8" t="s">
        <v>7534</v>
      </c>
      <c r="J3116" s="5">
        <v>44</v>
      </c>
      <c r="K3116" s="5" t="s">
        <v>21</v>
      </c>
      <c r="L3116" s="5" t="s">
        <v>7269</v>
      </c>
      <c r="M3116" s="5">
        <v>40</v>
      </c>
      <c r="N3116" s="5" t="s">
        <v>7467</v>
      </c>
    </row>
    <row r="3117" spans="1:21" x14ac:dyDescent="0.2">
      <c r="A3117" s="5"/>
      <c r="H3117" s="8" t="s">
        <v>7535</v>
      </c>
      <c r="I3117" s="8" t="s">
        <v>7535</v>
      </c>
      <c r="J3117" s="5">
        <f>192</f>
        <v>192</v>
      </c>
      <c r="K3117" s="5" t="s">
        <v>21</v>
      </c>
      <c r="L3117" s="5" t="s">
        <v>7269</v>
      </c>
      <c r="M3117" s="5">
        <v>41</v>
      </c>
      <c r="N3117" s="5" t="s">
        <v>7467</v>
      </c>
      <c r="U3117" t="s">
        <v>288</v>
      </c>
    </row>
    <row r="3118" spans="1:21" x14ac:dyDescent="0.2">
      <c r="A3118" s="5"/>
      <c r="H3118" s="8" t="s">
        <v>7536</v>
      </c>
      <c r="I3118" s="8" t="s">
        <v>7536</v>
      </c>
      <c r="J3118" s="5">
        <f>134-2</f>
        <v>132</v>
      </c>
      <c r="K3118" s="5" t="s">
        <v>21</v>
      </c>
      <c r="L3118" s="5" t="s">
        <v>7269</v>
      </c>
      <c r="M3118" s="5">
        <v>41</v>
      </c>
      <c r="N3118" s="5" t="s">
        <v>7467</v>
      </c>
      <c r="U3118" t="s">
        <v>288</v>
      </c>
    </row>
    <row r="3119" spans="1:21" x14ac:dyDescent="0.2">
      <c r="A3119" s="5"/>
      <c r="H3119" s="8" t="s">
        <v>7537</v>
      </c>
      <c r="I3119" s="8" t="s">
        <v>7537</v>
      </c>
      <c r="J3119" s="5">
        <f>57-2</f>
        <v>55</v>
      </c>
      <c r="K3119" s="5" t="s">
        <v>21</v>
      </c>
      <c r="L3119" s="5" t="s">
        <v>7269</v>
      </c>
      <c r="M3119" s="5">
        <v>41</v>
      </c>
      <c r="N3119" s="5" t="s">
        <v>7467</v>
      </c>
      <c r="U3119" t="s">
        <v>288</v>
      </c>
    </row>
    <row r="3120" spans="1:21" x14ac:dyDescent="0.2">
      <c r="A3120" s="5"/>
      <c r="H3120" s="8" t="s">
        <v>7538</v>
      </c>
      <c r="I3120" s="8" t="s">
        <v>7538</v>
      </c>
      <c r="J3120" s="5">
        <v>153</v>
      </c>
      <c r="K3120" s="5" t="s">
        <v>21</v>
      </c>
      <c r="L3120" s="5" t="s">
        <v>7269</v>
      </c>
      <c r="M3120" s="5">
        <v>41</v>
      </c>
      <c r="N3120" s="5" t="s">
        <v>7467</v>
      </c>
      <c r="U3120" t="s">
        <v>288</v>
      </c>
    </row>
    <row r="3121" spans="1:21" x14ac:dyDescent="0.2">
      <c r="A3121" s="5"/>
      <c r="H3121" s="8" t="s">
        <v>7539</v>
      </c>
      <c r="I3121" s="8" t="s">
        <v>7539</v>
      </c>
      <c r="J3121" s="5">
        <v>155</v>
      </c>
      <c r="K3121" s="5" t="s">
        <v>21</v>
      </c>
      <c r="L3121" s="5" t="s">
        <v>7269</v>
      </c>
      <c r="M3121" s="5">
        <v>41</v>
      </c>
      <c r="N3121" s="5" t="s">
        <v>7467</v>
      </c>
      <c r="U3121" t="s">
        <v>288</v>
      </c>
    </row>
    <row r="3122" spans="1:21" x14ac:dyDescent="0.2">
      <c r="A3122" s="5"/>
      <c r="H3122" s="8" t="s">
        <v>7540</v>
      </c>
      <c r="I3122" s="8" t="s">
        <v>7540</v>
      </c>
      <c r="J3122" s="5">
        <v>46</v>
      </c>
      <c r="K3122" s="5" t="s">
        <v>21</v>
      </c>
      <c r="L3122" s="5" t="s">
        <v>7269</v>
      </c>
      <c r="M3122" s="5">
        <v>41</v>
      </c>
      <c r="N3122" s="5" t="s">
        <v>7467</v>
      </c>
      <c r="U3122" t="s">
        <v>288</v>
      </c>
    </row>
    <row r="3123" spans="1:21" x14ac:dyDescent="0.2">
      <c r="A3123" s="5"/>
      <c r="B3123" s="8" t="s">
        <v>7541</v>
      </c>
      <c r="H3123" s="8" t="s">
        <v>7542</v>
      </c>
      <c r="I3123" s="8" t="s">
        <v>7542</v>
      </c>
      <c r="J3123" s="5">
        <f>144-2</f>
        <v>142</v>
      </c>
      <c r="K3123" s="5" t="s">
        <v>21</v>
      </c>
      <c r="L3123" s="5" t="s">
        <v>7269</v>
      </c>
      <c r="M3123" s="5">
        <v>41</v>
      </c>
      <c r="N3123" s="5" t="s">
        <v>7467</v>
      </c>
      <c r="U3123" t="s">
        <v>288</v>
      </c>
    </row>
    <row r="3124" spans="1:21" x14ac:dyDescent="0.2">
      <c r="A3124" s="5"/>
      <c r="H3124" s="8" t="s">
        <v>7543</v>
      </c>
      <c r="I3124" s="8" t="s">
        <v>7543</v>
      </c>
      <c r="J3124" s="5">
        <f>100-2</f>
        <v>98</v>
      </c>
      <c r="K3124" s="5" t="s">
        <v>21</v>
      </c>
      <c r="L3124" s="5" t="s">
        <v>7269</v>
      </c>
      <c r="M3124" s="5">
        <v>41</v>
      </c>
      <c r="N3124" s="5" t="s">
        <v>7467</v>
      </c>
      <c r="U3124" t="s">
        <v>288</v>
      </c>
    </row>
    <row r="3125" spans="1:21" x14ac:dyDescent="0.2">
      <c r="A3125" s="5"/>
      <c r="H3125" s="8" t="s">
        <v>7544</v>
      </c>
      <c r="I3125" s="8" t="s">
        <v>7544</v>
      </c>
      <c r="J3125" s="5">
        <f>192-2-2</f>
        <v>188</v>
      </c>
      <c r="K3125" s="5" t="s">
        <v>21</v>
      </c>
      <c r="L3125" s="5" t="s">
        <v>7269</v>
      </c>
      <c r="M3125" s="5">
        <v>41</v>
      </c>
      <c r="N3125" s="5" t="s">
        <v>7467</v>
      </c>
      <c r="U3125" t="s">
        <v>288</v>
      </c>
    </row>
    <row r="3126" spans="1:21" x14ac:dyDescent="0.2">
      <c r="A3126" s="5"/>
      <c r="H3126" s="8" t="s">
        <v>7545</v>
      </c>
      <c r="I3126" s="8" t="s">
        <v>7545</v>
      </c>
      <c r="J3126" s="5">
        <v>155</v>
      </c>
      <c r="K3126" s="5" t="s">
        <v>21</v>
      </c>
      <c r="L3126" s="5" t="s">
        <v>7269</v>
      </c>
      <c r="M3126" s="5">
        <v>41</v>
      </c>
      <c r="N3126" s="5" t="s">
        <v>7467</v>
      </c>
      <c r="U3126" t="s">
        <v>288</v>
      </c>
    </row>
    <row r="3127" spans="1:21" x14ac:dyDescent="0.2">
      <c r="A3127" s="5"/>
      <c r="H3127" s="8" t="s">
        <v>7546</v>
      </c>
      <c r="I3127" s="8" t="s">
        <v>7546</v>
      </c>
      <c r="J3127" s="5">
        <v>151</v>
      </c>
      <c r="K3127" s="5" t="s">
        <v>21</v>
      </c>
      <c r="L3127" s="5" t="s">
        <v>7269</v>
      </c>
      <c r="M3127" s="5">
        <v>41</v>
      </c>
      <c r="N3127" s="5" t="s">
        <v>7467</v>
      </c>
      <c r="U3127" t="s">
        <v>288</v>
      </c>
    </row>
    <row r="3128" spans="1:21" x14ac:dyDescent="0.2">
      <c r="A3128" s="5"/>
      <c r="H3128" s="8" t="s">
        <v>7547</v>
      </c>
      <c r="I3128" s="8" t="s">
        <v>7547</v>
      </c>
      <c r="J3128" s="5">
        <v>74</v>
      </c>
      <c r="K3128" s="5" t="s">
        <v>21</v>
      </c>
      <c r="L3128" s="5" t="s">
        <v>7269</v>
      </c>
      <c r="M3128" s="5">
        <v>41</v>
      </c>
      <c r="N3128" s="5" t="s">
        <v>7467</v>
      </c>
      <c r="U3128" t="s">
        <v>288</v>
      </c>
    </row>
    <row r="3129" spans="1:21" x14ac:dyDescent="0.2">
      <c r="A3129" s="5"/>
      <c r="H3129" s="8" t="s">
        <v>7548</v>
      </c>
      <c r="I3129" s="8" t="s">
        <v>7548</v>
      </c>
      <c r="J3129" s="5">
        <v>171</v>
      </c>
      <c r="K3129" s="5" t="s">
        <v>21</v>
      </c>
      <c r="L3129" s="5" t="s">
        <v>7269</v>
      </c>
      <c r="M3129" s="5">
        <v>41</v>
      </c>
      <c r="N3129" s="5" t="s">
        <v>7467</v>
      </c>
      <c r="U3129" t="s">
        <v>288</v>
      </c>
    </row>
    <row r="3130" spans="1:21" x14ac:dyDescent="0.2">
      <c r="A3130" s="5"/>
      <c r="H3130" s="8" t="s">
        <v>7549</v>
      </c>
      <c r="I3130" s="8" t="s">
        <v>7549</v>
      </c>
      <c r="J3130" s="5">
        <v>130</v>
      </c>
      <c r="K3130" s="5" t="s">
        <v>21</v>
      </c>
      <c r="L3130" s="5" t="s">
        <v>7269</v>
      </c>
      <c r="M3130" s="5">
        <v>41</v>
      </c>
      <c r="N3130" s="5" t="s">
        <v>7467</v>
      </c>
      <c r="U3130" t="s">
        <v>288</v>
      </c>
    </row>
    <row r="3131" spans="1:21" x14ac:dyDescent="0.2">
      <c r="A3131" s="5"/>
      <c r="H3131" s="8" t="s">
        <v>7550</v>
      </c>
      <c r="I3131" s="8" t="s">
        <v>7550</v>
      </c>
      <c r="J3131" s="5">
        <v>125</v>
      </c>
      <c r="K3131" s="5" t="s">
        <v>21</v>
      </c>
      <c r="L3131" s="5" t="s">
        <v>7269</v>
      </c>
      <c r="M3131" s="5">
        <v>41</v>
      </c>
      <c r="N3131" s="5" t="s">
        <v>7467</v>
      </c>
      <c r="U3131" t="s">
        <v>288</v>
      </c>
    </row>
    <row r="3132" spans="1:21" x14ac:dyDescent="0.2">
      <c r="A3132" s="5"/>
      <c r="H3132" s="8" t="s">
        <v>7551</v>
      </c>
      <c r="I3132" s="8" t="s">
        <v>7551</v>
      </c>
      <c r="J3132" s="5">
        <f>180-6</f>
        <v>174</v>
      </c>
      <c r="K3132" s="5" t="s">
        <v>21</v>
      </c>
      <c r="L3132" s="5" t="s">
        <v>7269</v>
      </c>
      <c r="M3132" s="5">
        <v>41</v>
      </c>
      <c r="N3132" s="5" t="s">
        <v>7467</v>
      </c>
      <c r="U3132" t="s">
        <v>288</v>
      </c>
    </row>
    <row r="3133" spans="1:21" x14ac:dyDescent="0.2">
      <c r="A3133" s="5"/>
      <c r="B3133" s="8" t="s">
        <v>7552</v>
      </c>
      <c r="H3133" s="108" t="s">
        <v>7553</v>
      </c>
      <c r="I3133" s="108" t="s">
        <v>7553</v>
      </c>
      <c r="J3133" s="5">
        <v>188</v>
      </c>
      <c r="K3133" s="5" t="s">
        <v>21</v>
      </c>
      <c r="L3133" s="5" t="s">
        <v>7269</v>
      </c>
      <c r="M3133" s="5">
        <v>41</v>
      </c>
      <c r="N3133" s="5" t="s">
        <v>7467</v>
      </c>
      <c r="Q3133" s="107" t="s">
        <v>7554</v>
      </c>
    </row>
    <row r="3134" spans="1:21" x14ac:dyDescent="0.2">
      <c r="A3134" s="5"/>
      <c r="B3134" s="8" t="s">
        <v>7555</v>
      </c>
      <c r="H3134" s="108"/>
      <c r="I3134" s="108" t="s">
        <v>7556</v>
      </c>
      <c r="J3134" s="5">
        <f>162-16</f>
        <v>146</v>
      </c>
      <c r="K3134" s="5" t="s">
        <v>21</v>
      </c>
      <c r="L3134" s="5" t="s">
        <v>7269</v>
      </c>
      <c r="M3134" s="5">
        <v>41</v>
      </c>
      <c r="Q3134" s="107"/>
    </row>
    <row r="3135" spans="1:21" x14ac:dyDescent="0.2">
      <c r="A3135" s="5"/>
      <c r="H3135" s="8" t="s">
        <v>7557</v>
      </c>
      <c r="I3135" s="8" t="s">
        <v>7557</v>
      </c>
      <c r="J3135" s="5">
        <v>2301</v>
      </c>
      <c r="K3135" s="5" t="s">
        <v>21</v>
      </c>
      <c r="L3135" s="5" t="s">
        <v>7269</v>
      </c>
      <c r="M3135" s="5">
        <v>41</v>
      </c>
      <c r="N3135" s="5" t="s">
        <v>7467</v>
      </c>
      <c r="U3135" t="s">
        <v>321</v>
      </c>
    </row>
    <row r="3136" spans="1:21" x14ac:dyDescent="0.2">
      <c r="A3136" s="5"/>
      <c r="B3136" s="8" t="s">
        <v>553</v>
      </c>
      <c r="H3136" s="8" t="s">
        <v>7558</v>
      </c>
      <c r="I3136" s="8" t="s">
        <v>7558</v>
      </c>
      <c r="J3136" s="5">
        <v>3168</v>
      </c>
      <c r="K3136" s="5" t="s">
        <v>21</v>
      </c>
      <c r="L3136" s="5" t="s">
        <v>7269</v>
      </c>
      <c r="M3136" s="5">
        <v>41</v>
      </c>
      <c r="N3136" s="5" t="s">
        <v>7467</v>
      </c>
      <c r="U3136" t="s">
        <v>2789</v>
      </c>
    </row>
    <row r="3137" spans="1:21" x14ac:dyDescent="0.2">
      <c r="A3137" s="5"/>
      <c r="B3137" s="8" t="s">
        <v>553</v>
      </c>
      <c r="H3137" s="8" t="s">
        <v>7559</v>
      </c>
      <c r="I3137" s="8" t="s">
        <v>7559</v>
      </c>
      <c r="J3137" s="5">
        <v>4145</v>
      </c>
      <c r="K3137" s="5" t="s">
        <v>21</v>
      </c>
      <c r="L3137" s="5" t="s">
        <v>7269</v>
      </c>
      <c r="M3137" s="5">
        <v>41</v>
      </c>
      <c r="N3137" s="5" t="s">
        <v>7467</v>
      </c>
    </row>
    <row r="3138" spans="1:21" x14ac:dyDescent="0.2">
      <c r="A3138" s="5"/>
      <c r="B3138" s="8" t="s">
        <v>7560</v>
      </c>
      <c r="H3138" s="8" t="s">
        <v>7561</v>
      </c>
      <c r="I3138" s="8" t="s">
        <v>7561</v>
      </c>
      <c r="J3138" s="5">
        <v>1000</v>
      </c>
      <c r="K3138" s="5" t="s">
        <v>21</v>
      </c>
      <c r="L3138" s="5" t="s">
        <v>7269</v>
      </c>
      <c r="M3138" s="5">
        <v>41</v>
      </c>
      <c r="N3138" s="5" t="s">
        <v>7467</v>
      </c>
    </row>
    <row r="3139" spans="1:21" x14ac:dyDescent="0.2">
      <c r="A3139" s="5"/>
      <c r="B3139" s="8" t="s">
        <v>7562</v>
      </c>
      <c r="H3139" s="8" t="s">
        <v>7563</v>
      </c>
      <c r="I3139" s="8" t="s">
        <v>7563</v>
      </c>
      <c r="J3139" s="5">
        <v>4975</v>
      </c>
      <c r="K3139" s="5" t="s">
        <v>21</v>
      </c>
      <c r="L3139" s="5" t="s">
        <v>7269</v>
      </c>
      <c r="M3139" s="5">
        <v>41</v>
      </c>
      <c r="N3139" s="5" t="s">
        <v>7467</v>
      </c>
    </row>
    <row r="3140" spans="1:21" x14ac:dyDescent="0.2">
      <c r="A3140" s="5"/>
      <c r="B3140" s="8" t="s">
        <v>7564</v>
      </c>
      <c r="H3140" s="8" t="s">
        <v>7565</v>
      </c>
      <c r="I3140" s="8" t="s">
        <v>7565</v>
      </c>
      <c r="J3140" s="5">
        <f>5000-150</f>
        <v>4850</v>
      </c>
      <c r="K3140" s="5" t="s">
        <v>21</v>
      </c>
      <c r="L3140" s="5" t="s">
        <v>7269</v>
      </c>
      <c r="M3140" s="5">
        <v>41</v>
      </c>
      <c r="N3140" s="5" t="s">
        <v>7467</v>
      </c>
    </row>
    <row r="3141" spans="1:21" x14ac:dyDescent="0.2">
      <c r="A3141" s="5"/>
      <c r="B3141" s="8" t="s">
        <v>7566</v>
      </c>
      <c r="H3141" s="8" t="s">
        <v>7567</v>
      </c>
      <c r="I3141" s="8" t="s">
        <v>7567</v>
      </c>
      <c r="J3141" s="5">
        <v>1000</v>
      </c>
      <c r="K3141" s="5" t="s">
        <v>21</v>
      </c>
      <c r="L3141" s="5" t="s">
        <v>7269</v>
      </c>
      <c r="M3141" s="5">
        <v>41</v>
      </c>
      <c r="N3141" s="5" t="s">
        <v>7467</v>
      </c>
    </row>
    <row r="3142" spans="1:21" x14ac:dyDescent="0.2">
      <c r="A3142" s="5"/>
      <c r="B3142" s="8" t="s">
        <v>7568</v>
      </c>
      <c r="H3142" s="8" t="s">
        <v>7569</v>
      </c>
      <c r="I3142" s="8" t="s">
        <v>7569</v>
      </c>
      <c r="J3142" s="5">
        <v>3750</v>
      </c>
      <c r="K3142" s="5" t="s">
        <v>21</v>
      </c>
      <c r="L3142" s="5" t="s">
        <v>7269</v>
      </c>
      <c r="M3142" s="5">
        <v>41</v>
      </c>
      <c r="N3142" s="5" t="s">
        <v>7467</v>
      </c>
    </row>
    <row r="3143" spans="1:21" x14ac:dyDescent="0.2">
      <c r="A3143" s="5"/>
      <c r="B3143" s="8" t="s">
        <v>7570</v>
      </c>
      <c r="H3143" s="8" t="s">
        <v>7571</v>
      </c>
      <c r="I3143" s="8" t="s">
        <v>7571</v>
      </c>
      <c r="J3143" s="5">
        <v>3088</v>
      </c>
      <c r="K3143" s="5" t="s">
        <v>21</v>
      </c>
      <c r="L3143" s="5" t="s">
        <v>7269</v>
      </c>
      <c r="M3143" s="5">
        <v>41</v>
      </c>
      <c r="N3143" s="5" t="s">
        <v>7467</v>
      </c>
    </row>
    <row r="3144" spans="1:21" x14ac:dyDescent="0.2">
      <c r="A3144" s="5"/>
      <c r="B3144" s="8" t="s">
        <v>7572</v>
      </c>
      <c r="H3144" s="8" t="s">
        <v>7573</v>
      </c>
      <c r="I3144" s="8" t="s">
        <v>7573</v>
      </c>
      <c r="J3144" s="5">
        <v>1000</v>
      </c>
      <c r="K3144" s="5" t="s">
        <v>21</v>
      </c>
      <c r="L3144" s="5" t="s">
        <v>7269</v>
      </c>
      <c r="M3144" s="5">
        <v>41</v>
      </c>
      <c r="N3144" s="5" t="s">
        <v>7467</v>
      </c>
    </row>
    <row r="3145" spans="1:21" x14ac:dyDescent="0.2">
      <c r="A3145" s="5"/>
      <c r="H3145" s="8" t="s">
        <v>7574</v>
      </c>
      <c r="I3145" s="8" t="s">
        <v>7574</v>
      </c>
      <c r="J3145" s="5">
        <v>1949</v>
      </c>
      <c r="K3145" s="5" t="s">
        <v>21</v>
      </c>
      <c r="L3145" s="5" t="s">
        <v>7269</v>
      </c>
      <c r="M3145" s="5">
        <v>42</v>
      </c>
      <c r="N3145" s="5" t="s">
        <v>7467</v>
      </c>
      <c r="U3145" t="s">
        <v>321</v>
      </c>
    </row>
    <row r="3146" spans="1:21" x14ac:dyDescent="0.2">
      <c r="A3146" s="5"/>
      <c r="H3146" s="8" t="s">
        <v>7575</v>
      </c>
      <c r="I3146" s="8" t="s">
        <v>7575</v>
      </c>
      <c r="J3146" s="5">
        <v>350</v>
      </c>
      <c r="K3146" s="5" t="s">
        <v>21</v>
      </c>
      <c r="L3146" s="5" t="s">
        <v>7269</v>
      </c>
      <c r="M3146" s="5">
        <v>42</v>
      </c>
      <c r="N3146" s="5" t="s">
        <v>7467</v>
      </c>
      <c r="U3146" t="s">
        <v>321</v>
      </c>
    </row>
    <row r="3147" spans="1:21" x14ac:dyDescent="0.2">
      <c r="A3147" s="5"/>
      <c r="H3147" s="8" t="s">
        <v>7576</v>
      </c>
      <c r="I3147" s="8" t="s">
        <v>7576</v>
      </c>
      <c r="J3147" s="5">
        <f>35-34</f>
        <v>1</v>
      </c>
      <c r="K3147" s="5" t="s">
        <v>21</v>
      </c>
      <c r="L3147" s="5" t="s">
        <v>7269</v>
      </c>
      <c r="M3147" s="5">
        <v>42</v>
      </c>
      <c r="N3147" s="5" t="s">
        <v>7467</v>
      </c>
      <c r="U3147" t="s">
        <v>7577</v>
      </c>
    </row>
    <row r="3148" spans="1:21" x14ac:dyDescent="0.2">
      <c r="A3148" s="5"/>
      <c r="B3148" s="8" t="s">
        <v>553</v>
      </c>
      <c r="H3148" s="8" t="s">
        <v>7578</v>
      </c>
      <c r="I3148" s="8" t="s">
        <v>7578</v>
      </c>
      <c r="J3148" s="5">
        <v>1267</v>
      </c>
      <c r="K3148" s="5" t="s">
        <v>21</v>
      </c>
      <c r="L3148" s="5" t="s">
        <v>7269</v>
      </c>
      <c r="M3148" s="5">
        <v>42</v>
      </c>
      <c r="N3148" s="5" t="s">
        <v>7467</v>
      </c>
      <c r="U3148" t="s">
        <v>2789</v>
      </c>
    </row>
    <row r="3149" spans="1:21" x14ac:dyDescent="0.2">
      <c r="A3149" s="5"/>
      <c r="B3149" s="8" t="s">
        <v>553</v>
      </c>
      <c r="H3149" s="8" t="s">
        <v>7579</v>
      </c>
      <c r="I3149" s="8" t="s">
        <v>7579</v>
      </c>
      <c r="J3149" s="5">
        <v>1653</v>
      </c>
      <c r="K3149" s="5" t="s">
        <v>21</v>
      </c>
      <c r="L3149" s="5" t="s">
        <v>7269</v>
      </c>
      <c r="M3149" s="5">
        <v>42</v>
      </c>
      <c r="N3149" s="5" t="s">
        <v>7467</v>
      </c>
      <c r="U3149" t="s">
        <v>2789</v>
      </c>
    </row>
    <row r="3150" spans="1:21" x14ac:dyDescent="0.2">
      <c r="A3150" s="5"/>
      <c r="B3150" s="8" t="s">
        <v>7580</v>
      </c>
      <c r="H3150" s="8" t="s">
        <v>7581</v>
      </c>
      <c r="I3150" s="8" t="s">
        <v>7581</v>
      </c>
      <c r="J3150" s="5">
        <v>29</v>
      </c>
      <c r="K3150" s="5" t="s">
        <v>21</v>
      </c>
      <c r="L3150" s="5" t="s">
        <v>7269</v>
      </c>
      <c r="M3150" s="5">
        <v>42</v>
      </c>
      <c r="N3150" s="5" t="s">
        <v>7467</v>
      </c>
    </row>
    <row r="3151" spans="1:21" x14ac:dyDescent="0.2">
      <c r="A3151" s="5"/>
      <c r="B3151" s="8" t="s">
        <v>7582</v>
      </c>
      <c r="H3151" s="8" t="s">
        <v>7583</v>
      </c>
      <c r="I3151" s="8" t="s">
        <v>7583</v>
      </c>
      <c r="J3151" s="5">
        <f>3096-100</f>
        <v>2996</v>
      </c>
      <c r="K3151" s="5" t="s">
        <v>21</v>
      </c>
      <c r="L3151" s="5" t="s">
        <v>7269</v>
      </c>
      <c r="M3151" s="5">
        <v>42</v>
      </c>
      <c r="N3151" s="5" t="s">
        <v>7467</v>
      </c>
    </row>
    <row r="3152" spans="1:21" x14ac:dyDescent="0.2">
      <c r="A3152" s="5"/>
      <c r="B3152" s="8" t="s">
        <v>7582</v>
      </c>
      <c r="H3152" s="8" t="s">
        <v>7584</v>
      </c>
      <c r="I3152" s="8" t="s">
        <v>7584</v>
      </c>
      <c r="J3152" s="5">
        <f>4858-200</f>
        <v>4658</v>
      </c>
      <c r="K3152" s="5" t="s">
        <v>21</v>
      </c>
      <c r="L3152" s="5" t="s">
        <v>7269</v>
      </c>
      <c r="M3152" s="5">
        <v>42</v>
      </c>
      <c r="N3152" s="5" t="s">
        <v>7467</v>
      </c>
    </row>
    <row r="3153" spans="1:21" x14ac:dyDescent="0.2">
      <c r="A3153" s="5"/>
      <c r="B3153" s="8" t="s">
        <v>7585</v>
      </c>
      <c r="H3153" s="8" t="s">
        <v>7586</v>
      </c>
      <c r="I3153" s="8" t="s">
        <v>7586</v>
      </c>
      <c r="J3153" s="5">
        <v>1725</v>
      </c>
      <c r="K3153" s="5" t="s">
        <v>21</v>
      </c>
      <c r="L3153" s="5" t="s">
        <v>7269</v>
      </c>
      <c r="M3153" s="5">
        <v>42</v>
      </c>
      <c r="N3153" s="5" t="s">
        <v>7467</v>
      </c>
    </row>
    <row r="3154" spans="1:21" x14ac:dyDescent="0.2">
      <c r="A3154" s="5"/>
      <c r="B3154" s="8" t="s">
        <v>7587</v>
      </c>
      <c r="H3154" s="8" t="s">
        <v>7588</v>
      </c>
      <c r="I3154" s="8" t="s">
        <v>7588</v>
      </c>
      <c r="J3154" s="5">
        <f>512-5-3</f>
        <v>504</v>
      </c>
      <c r="K3154" s="5" t="s">
        <v>21</v>
      </c>
      <c r="L3154" s="5" t="s">
        <v>7269</v>
      </c>
      <c r="M3154" s="5">
        <v>42</v>
      </c>
      <c r="N3154" s="5" t="s">
        <v>7467</v>
      </c>
    </row>
    <row r="3155" spans="1:21" x14ac:dyDescent="0.2">
      <c r="A3155" s="5"/>
      <c r="B3155" s="8" t="s">
        <v>7589</v>
      </c>
      <c r="H3155" s="8" t="s">
        <v>7590</v>
      </c>
      <c r="I3155" s="8" t="s">
        <v>7590</v>
      </c>
      <c r="J3155" s="5">
        <v>9076</v>
      </c>
      <c r="K3155" s="5" t="s">
        <v>21</v>
      </c>
      <c r="L3155" s="5" t="s">
        <v>7269</v>
      </c>
      <c r="M3155" s="5">
        <v>42</v>
      </c>
      <c r="N3155" s="5" t="s">
        <v>7467</v>
      </c>
    </row>
    <row r="3156" spans="1:21" x14ac:dyDescent="0.2">
      <c r="A3156" s="5"/>
      <c r="B3156" s="8" t="s">
        <v>7591</v>
      </c>
      <c r="H3156" s="8" t="s">
        <v>7592</v>
      </c>
      <c r="I3156" s="8" t="s">
        <v>7592</v>
      </c>
      <c r="J3156" s="5">
        <v>4000</v>
      </c>
      <c r="K3156" s="5" t="s">
        <v>21</v>
      </c>
      <c r="L3156" s="5" t="s">
        <v>7269</v>
      </c>
      <c r="M3156" s="5">
        <v>42</v>
      </c>
      <c r="N3156" s="5" t="s">
        <v>7467</v>
      </c>
    </row>
    <row r="3157" spans="1:21" x14ac:dyDescent="0.2">
      <c r="A3157" s="5"/>
      <c r="B3157" s="8" t="s">
        <v>7593</v>
      </c>
      <c r="H3157" s="8" t="s">
        <v>7594</v>
      </c>
      <c r="I3157" s="8" t="s">
        <v>7594</v>
      </c>
      <c r="J3157" s="5">
        <f>1019-7</f>
        <v>1012</v>
      </c>
      <c r="K3157" s="5" t="s">
        <v>21</v>
      </c>
      <c r="L3157" s="5" t="s">
        <v>7269</v>
      </c>
      <c r="M3157" s="5">
        <v>42</v>
      </c>
      <c r="N3157" s="5" t="s">
        <v>7467</v>
      </c>
    </row>
    <row r="3158" spans="1:21" x14ac:dyDescent="0.2">
      <c r="A3158" s="5"/>
      <c r="B3158" s="8" t="s">
        <v>7593</v>
      </c>
      <c r="H3158" s="8" t="s">
        <v>7594</v>
      </c>
      <c r="I3158" s="8" t="s">
        <v>7594</v>
      </c>
      <c r="J3158" s="5">
        <v>450</v>
      </c>
      <c r="K3158" s="5" t="s">
        <v>21</v>
      </c>
      <c r="L3158" s="5" t="s">
        <v>7269</v>
      </c>
      <c r="M3158" s="5">
        <v>42</v>
      </c>
      <c r="N3158" s="5" t="s">
        <v>7467</v>
      </c>
      <c r="U3158" t="s">
        <v>7595</v>
      </c>
    </row>
    <row r="3159" spans="1:21" x14ac:dyDescent="0.2">
      <c r="A3159" s="5"/>
      <c r="B3159" s="8" t="s">
        <v>7596</v>
      </c>
      <c r="H3159" s="8" t="s">
        <v>7597</v>
      </c>
      <c r="I3159" s="8" t="s">
        <v>7597</v>
      </c>
      <c r="J3159" s="5">
        <v>499</v>
      </c>
      <c r="K3159" s="5" t="s">
        <v>21</v>
      </c>
      <c r="L3159" s="5" t="s">
        <v>7269</v>
      </c>
      <c r="M3159" s="5">
        <v>42</v>
      </c>
      <c r="N3159" s="5" t="s">
        <v>7467</v>
      </c>
    </row>
    <row r="3160" spans="1:21" x14ac:dyDescent="0.2">
      <c r="A3160" s="5"/>
      <c r="B3160" s="8" t="s">
        <v>7598</v>
      </c>
      <c r="H3160" s="8" t="s">
        <v>7599</v>
      </c>
      <c r="I3160" s="8" t="s">
        <v>7599</v>
      </c>
      <c r="J3160" s="5">
        <v>500</v>
      </c>
      <c r="K3160" s="5" t="s">
        <v>21</v>
      </c>
      <c r="L3160" s="5" t="s">
        <v>7269</v>
      </c>
      <c r="M3160" s="5">
        <v>42</v>
      </c>
      <c r="N3160" s="5" t="s">
        <v>7467</v>
      </c>
    </row>
    <row r="3161" spans="1:21" x14ac:dyDescent="0.2">
      <c r="A3161" s="5"/>
      <c r="B3161" s="8" t="s">
        <v>7600</v>
      </c>
      <c r="H3161" s="8" t="s">
        <v>7601</v>
      </c>
      <c r="I3161" s="8" t="s">
        <v>7601</v>
      </c>
      <c r="J3161" s="5">
        <f>4700-100-100-100-100-150-100-100</f>
        <v>3950</v>
      </c>
      <c r="K3161" s="5" t="s">
        <v>21</v>
      </c>
      <c r="L3161" s="5" t="s">
        <v>7269</v>
      </c>
      <c r="M3161" s="5">
        <v>42</v>
      </c>
      <c r="N3161" s="5" t="s">
        <v>7467</v>
      </c>
    </row>
    <row r="3162" spans="1:21" x14ac:dyDescent="0.2">
      <c r="A3162" s="5"/>
      <c r="B3162" s="8" t="s">
        <v>7602</v>
      </c>
      <c r="H3162" s="8" t="s">
        <v>7603</v>
      </c>
      <c r="I3162" s="8" t="s">
        <v>7603</v>
      </c>
      <c r="J3162" s="5">
        <v>20</v>
      </c>
      <c r="K3162" s="5" t="s">
        <v>21</v>
      </c>
      <c r="L3162" s="5" t="s">
        <v>7269</v>
      </c>
      <c r="M3162" s="5">
        <v>42</v>
      </c>
      <c r="N3162" s="5" t="s">
        <v>7467</v>
      </c>
    </row>
    <row r="3163" spans="1:21" x14ac:dyDescent="0.2">
      <c r="A3163" s="5"/>
      <c r="B3163" s="8" t="s">
        <v>7604</v>
      </c>
      <c r="H3163" s="8" t="s">
        <v>7605</v>
      </c>
      <c r="I3163" s="8" t="s">
        <v>7605</v>
      </c>
      <c r="J3163" s="5">
        <v>1436</v>
      </c>
      <c r="K3163" s="5" t="s">
        <v>21</v>
      </c>
      <c r="L3163" s="5" t="s">
        <v>7269</v>
      </c>
      <c r="M3163" s="5">
        <v>42</v>
      </c>
      <c r="N3163" s="5" t="s">
        <v>7467</v>
      </c>
    </row>
    <row r="3164" spans="1:21" x14ac:dyDescent="0.2">
      <c r="A3164" s="5"/>
      <c r="B3164" s="8" t="s">
        <v>7606</v>
      </c>
      <c r="H3164" s="8" t="s">
        <v>7607</v>
      </c>
      <c r="I3164" s="8" t="s">
        <v>7607</v>
      </c>
      <c r="J3164" s="5">
        <v>5176</v>
      </c>
      <c r="K3164" s="5" t="s">
        <v>7608</v>
      </c>
      <c r="L3164" s="5" t="s">
        <v>7269</v>
      </c>
      <c r="M3164" s="5" t="s">
        <v>7609</v>
      </c>
      <c r="N3164" s="5" t="s">
        <v>7323</v>
      </c>
    </row>
    <row r="3165" spans="1:21" x14ac:dyDescent="0.2">
      <c r="A3165" s="5"/>
      <c r="B3165" s="11" t="s">
        <v>7610</v>
      </c>
      <c r="C3165" s="11"/>
      <c r="D3165" s="11"/>
      <c r="E3165" s="26"/>
      <c r="F3165" s="11"/>
      <c r="G3165" s="11"/>
      <c r="H3165" s="8" t="s">
        <v>7611</v>
      </c>
      <c r="I3165" s="8" t="s">
        <v>7612</v>
      </c>
      <c r="J3165" s="5">
        <v>0</v>
      </c>
      <c r="K3165" s="5" t="s">
        <v>21</v>
      </c>
      <c r="L3165" s="5" t="s">
        <v>7613</v>
      </c>
      <c r="M3165" s="5" t="s">
        <v>7614</v>
      </c>
      <c r="N3165" s="5" t="s">
        <v>7270</v>
      </c>
      <c r="Q3165" s="5" t="s">
        <v>7615</v>
      </c>
      <c r="S3165" s="5" t="s">
        <v>7616</v>
      </c>
    </row>
    <row r="3166" spans="1:21" x14ac:dyDescent="0.2">
      <c r="A3166" s="5"/>
      <c r="B3166" s="11" t="s">
        <v>7617</v>
      </c>
      <c r="C3166" s="11"/>
      <c r="D3166" s="11"/>
      <c r="E3166" s="26"/>
      <c r="F3166" s="11"/>
      <c r="G3166" s="11"/>
      <c r="H3166" s="8" t="s">
        <v>7618</v>
      </c>
      <c r="I3166" s="8" t="s">
        <v>7618</v>
      </c>
      <c r="J3166" s="5">
        <v>4</v>
      </c>
      <c r="K3166" s="5" t="s">
        <v>21</v>
      </c>
      <c r="L3166" s="5" t="s">
        <v>7619</v>
      </c>
      <c r="M3166" s="5">
        <v>1</v>
      </c>
      <c r="N3166" s="5" t="s">
        <v>2613</v>
      </c>
    </row>
    <row r="3167" spans="1:21" x14ac:dyDescent="0.2">
      <c r="A3167" s="5"/>
      <c r="B3167" s="11" t="s">
        <v>7620</v>
      </c>
      <c r="C3167" s="11"/>
      <c r="D3167" s="11"/>
      <c r="E3167" s="26"/>
      <c r="F3167" s="11"/>
      <c r="G3167" s="11"/>
      <c r="H3167" s="8" t="s">
        <v>7621</v>
      </c>
      <c r="I3167" s="8" t="s">
        <v>7621</v>
      </c>
      <c r="J3167" s="5">
        <f>132+199+27-8+29</f>
        <v>379</v>
      </c>
      <c r="K3167" s="5" t="s">
        <v>21</v>
      </c>
      <c r="L3167" s="5" t="s">
        <v>7619</v>
      </c>
      <c r="M3167" s="5">
        <v>1</v>
      </c>
      <c r="N3167" s="5" t="s">
        <v>408</v>
      </c>
    </row>
    <row r="3168" spans="1:21" x14ac:dyDescent="0.2">
      <c r="A3168" s="5"/>
      <c r="B3168" s="11" t="s">
        <v>7622</v>
      </c>
      <c r="C3168" s="11"/>
      <c r="D3168" s="11"/>
      <c r="E3168" s="26"/>
      <c r="F3168" s="11"/>
      <c r="G3168" s="11"/>
      <c r="H3168" s="8" t="s">
        <v>7623</v>
      </c>
      <c r="I3168" s="8" t="s">
        <v>7623</v>
      </c>
      <c r="J3168" s="5">
        <v>39</v>
      </c>
      <c r="K3168" s="5" t="s">
        <v>21</v>
      </c>
      <c r="L3168" s="5" t="s">
        <v>7619</v>
      </c>
      <c r="M3168" s="5">
        <v>1</v>
      </c>
      <c r="N3168" s="5" t="s">
        <v>2613</v>
      </c>
    </row>
    <row r="3169" spans="1:21" x14ac:dyDescent="0.2">
      <c r="A3169" s="5"/>
      <c r="B3169" s="11" t="s">
        <v>7624</v>
      </c>
      <c r="C3169" s="11"/>
      <c r="D3169" s="11"/>
      <c r="E3169" s="26"/>
      <c r="F3169" s="11"/>
      <c r="G3169" s="11"/>
      <c r="H3169" s="8" t="s">
        <v>7625</v>
      </c>
      <c r="I3169" s="8" t="s">
        <v>7625</v>
      </c>
      <c r="J3169" s="5">
        <v>1</v>
      </c>
      <c r="K3169" s="5" t="s">
        <v>21</v>
      </c>
      <c r="L3169" s="5" t="s">
        <v>7619</v>
      </c>
      <c r="M3169" s="5">
        <v>2</v>
      </c>
      <c r="N3169" s="5" t="s">
        <v>265</v>
      </c>
      <c r="U3169" t="s">
        <v>321</v>
      </c>
    </row>
    <row r="3170" spans="1:21" x14ac:dyDescent="0.2">
      <c r="A3170" s="5"/>
      <c r="B3170" s="11" t="s">
        <v>7626</v>
      </c>
      <c r="C3170" s="11"/>
      <c r="D3170" s="11"/>
      <c r="E3170" s="26"/>
      <c r="F3170" s="11"/>
      <c r="G3170" s="11"/>
      <c r="H3170" s="8" t="s">
        <v>7627</v>
      </c>
      <c r="I3170" s="8" t="s">
        <v>7627</v>
      </c>
      <c r="J3170" s="5">
        <v>2</v>
      </c>
      <c r="K3170" s="5" t="s">
        <v>21</v>
      </c>
      <c r="L3170" s="5" t="s">
        <v>7619</v>
      </c>
      <c r="M3170" s="5">
        <v>2</v>
      </c>
      <c r="N3170" s="5" t="s">
        <v>849</v>
      </c>
      <c r="U3170" t="s">
        <v>321</v>
      </c>
    </row>
    <row r="3171" spans="1:21" x14ac:dyDescent="0.2">
      <c r="A3171" s="5"/>
      <c r="B3171" s="11" t="s">
        <v>7628</v>
      </c>
      <c r="C3171" s="11"/>
      <c r="D3171" s="11"/>
      <c r="E3171" s="26"/>
      <c r="F3171" s="11"/>
      <c r="G3171" s="11"/>
      <c r="H3171" s="8" t="s">
        <v>7629</v>
      </c>
      <c r="I3171" s="8" t="s">
        <v>7629</v>
      </c>
      <c r="J3171" s="5">
        <v>3</v>
      </c>
      <c r="K3171" s="5" t="s">
        <v>21</v>
      </c>
      <c r="L3171" s="5" t="s">
        <v>7619</v>
      </c>
      <c r="M3171" s="5">
        <v>2</v>
      </c>
      <c r="N3171" s="5" t="s">
        <v>2613</v>
      </c>
      <c r="U3171" t="s">
        <v>321</v>
      </c>
    </row>
    <row r="3172" spans="1:21" x14ac:dyDescent="0.2">
      <c r="A3172" s="5"/>
      <c r="B3172" s="8" t="s">
        <v>150</v>
      </c>
      <c r="H3172" s="8" t="s">
        <v>149</v>
      </c>
      <c r="I3172" s="8" t="s">
        <v>7630</v>
      </c>
      <c r="J3172" s="5">
        <f>25-6-4-13-1-1</f>
        <v>0</v>
      </c>
      <c r="K3172" s="5" t="s">
        <v>292</v>
      </c>
      <c r="L3172" s="5" t="s">
        <v>7619</v>
      </c>
      <c r="M3172" s="5">
        <v>2</v>
      </c>
      <c r="N3172" s="5" t="s">
        <v>7631</v>
      </c>
      <c r="Q3172" s="107" t="s">
        <v>7632</v>
      </c>
    </row>
    <row r="3173" spans="1:21" x14ac:dyDescent="0.2">
      <c r="A3173" s="5"/>
      <c r="B3173" s="8" t="s">
        <v>7633</v>
      </c>
      <c r="I3173" s="8" t="s">
        <v>7634</v>
      </c>
      <c r="J3173" s="5">
        <f>3</f>
        <v>3</v>
      </c>
      <c r="K3173" s="5" t="s">
        <v>292</v>
      </c>
      <c r="L3173" s="5" t="s">
        <v>7619</v>
      </c>
      <c r="M3173" s="5">
        <v>2</v>
      </c>
      <c r="Q3173" s="107"/>
    </row>
    <row r="3174" spans="1:21" x14ac:dyDescent="0.2">
      <c r="A3174" s="5"/>
      <c r="B3174" s="8" t="s">
        <v>7635</v>
      </c>
      <c r="I3174" s="8" t="s">
        <v>7636</v>
      </c>
      <c r="J3174" s="5">
        <f>2</f>
        <v>2</v>
      </c>
      <c r="K3174" s="5" t="s">
        <v>292</v>
      </c>
      <c r="L3174" s="5" t="s">
        <v>7619</v>
      </c>
      <c r="M3174" s="5">
        <v>2</v>
      </c>
      <c r="Q3174" s="107"/>
    </row>
    <row r="3175" spans="1:21" x14ac:dyDescent="0.2">
      <c r="A3175" s="5"/>
      <c r="B3175" s="8" t="s">
        <v>7637</v>
      </c>
      <c r="I3175" s="8" t="s">
        <v>7638</v>
      </c>
      <c r="J3175" s="5">
        <f>42-17-15-3</f>
        <v>7</v>
      </c>
      <c r="K3175" s="5" t="s">
        <v>292</v>
      </c>
      <c r="L3175" s="5" t="s">
        <v>7619</v>
      </c>
      <c r="M3175" s="5">
        <v>2</v>
      </c>
      <c r="Q3175" s="107"/>
    </row>
    <row r="3176" spans="1:21" x14ac:dyDescent="0.2">
      <c r="A3176" s="5"/>
      <c r="B3176" s="8" t="s">
        <v>7639</v>
      </c>
      <c r="I3176" s="8" t="s">
        <v>7640</v>
      </c>
      <c r="J3176" s="5">
        <f>1</f>
        <v>1</v>
      </c>
      <c r="K3176" s="5" t="s">
        <v>292</v>
      </c>
      <c r="L3176" s="5" t="s">
        <v>7619</v>
      </c>
      <c r="M3176" s="5">
        <v>2</v>
      </c>
      <c r="Q3176" s="107" t="s">
        <v>1011</v>
      </c>
    </row>
    <row r="3177" spans="1:21" x14ac:dyDescent="0.2">
      <c r="A3177" s="5"/>
      <c r="B3177" s="8" t="s">
        <v>7641</v>
      </c>
      <c r="I3177" s="8" t="s">
        <v>7642</v>
      </c>
      <c r="J3177" s="5">
        <f>4-2+1-2</f>
        <v>1</v>
      </c>
      <c r="K3177" s="5" t="s">
        <v>292</v>
      </c>
      <c r="L3177" s="5" t="s">
        <v>7619</v>
      </c>
      <c r="M3177" s="5">
        <v>2</v>
      </c>
      <c r="Q3177" s="107"/>
    </row>
    <row r="3178" spans="1:21" x14ac:dyDescent="0.2">
      <c r="A3178" s="5"/>
      <c r="B3178" s="8" t="s">
        <v>7643</v>
      </c>
      <c r="I3178" s="8" t="s">
        <v>7642</v>
      </c>
      <c r="J3178" s="5">
        <f>1</f>
        <v>1</v>
      </c>
      <c r="K3178" s="5" t="s">
        <v>292</v>
      </c>
      <c r="L3178" s="5" t="s">
        <v>7619</v>
      </c>
      <c r="M3178" s="5">
        <v>2</v>
      </c>
      <c r="Q3178" s="107"/>
    </row>
    <row r="3179" spans="1:21" x14ac:dyDescent="0.2">
      <c r="A3179" s="5"/>
      <c r="B3179" s="8" t="s">
        <v>7644</v>
      </c>
      <c r="I3179" s="8" t="s">
        <v>7645</v>
      </c>
      <c r="J3179" s="5">
        <f>2-1</f>
        <v>1</v>
      </c>
      <c r="K3179" s="5" t="s">
        <v>21</v>
      </c>
      <c r="L3179" s="5" t="s">
        <v>7619</v>
      </c>
      <c r="M3179" s="5">
        <v>3</v>
      </c>
      <c r="Q3179" s="107"/>
    </row>
    <row r="3180" spans="1:21" x14ac:dyDescent="0.2">
      <c r="A3180" s="5"/>
      <c r="B3180" s="8" t="s">
        <v>7646</v>
      </c>
      <c r="I3180" s="8" t="s">
        <v>7647</v>
      </c>
      <c r="J3180" s="5">
        <f>3</f>
        <v>3</v>
      </c>
      <c r="K3180" s="5" t="s">
        <v>21</v>
      </c>
      <c r="L3180" s="5" t="s">
        <v>7619</v>
      </c>
      <c r="M3180" s="5">
        <v>3</v>
      </c>
      <c r="Q3180" s="107"/>
    </row>
    <row r="3181" spans="1:21" x14ac:dyDescent="0.2">
      <c r="A3181" s="5"/>
      <c r="B3181" s="8" t="s">
        <v>7648</v>
      </c>
      <c r="I3181" s="8" t="s">
        <v>7649</v>
      </c>
      <c r="J3181" s="5">
        <f>3</f>
        <v>3</v>
      </c>
      <c r="K3181" s="5" t="s">
        <v>21</v>
      </c>
      <c r="L3181" s="5" t="s">
        <v>7619</v>
      </c>
      <c r="M3181" s="5">
        <v>3</v>
      </c>
      <c r="Q3181" s="107"/>
    </row>
    <row r="3182" spans="1:21" x14ac:dyDescent="0.2">
      <c r="A3182" s="5"/>
      <c r="B3182" s="11" t="s">
        <v>7310</v>
      </c>
      <c r="C3182" s="11"/>
      <c r="D3182" s="11"/>
      <c r="E3182" s="26"/>
      <c r="F3182" s="11"/>
      <c r="G3182" s="11"/>
      <c r="H3182" s="8" t="s">
        <v>7311</v>
      </c>
      <c r="I3182" s="8" t="s">
        <v>7311</v>
      </c>
      <c r="J3182" s="5">
        <f>6344-44-440+84-400-4000-248-400-400+2792</f>
        <v>3288</v>
      </c>
      <c r="K3182" s="5" t="s">
        <v>7608</v>
      </c>
      <c r="L3182" s="5" t="s">
        <v>7619</v>
      </c>
      <c r="M3182" s="5">
        <v>3</v>
      </c>
      <c r="N3182" s="5" t="s">
        <v>7323</v>
      </c>
      <c r="Q3182" s="5" t="s">
        <v>7650</v>
      </c>
    </row>
    <row r="3183" spans="1:21" x14ac:dyDescent="0.2">
      <c r="A3183" s="5"/>
      <c r="B3183" s="11" t="s">
        <v>7651</v>
      </c>
      <c r="C3183" s="11"/>
      <c r="D3183" s="11"/>
      <c r="E3183" s="26"/>
      <c r="F3183" s="11"/>
      <c r="G3183" s="11"/>
      <c r="I3183" s="8" t="s">
        <v>7652</v>
      </c>
      <c r="J3183" s="5">
        <f>5</f>
        <v>5</v>
      </c>
      <c r="K3183" s="5" t="s">
        <v>21</v>
      </c>
      <c r="L3183" s="5" t="s">
        <v>7619</v>
      </c>
      <c r="M3183" s="5">
        <v>5</v>
      </c>
    </row>
    <row r="3184" spans="1:21" x14ac:dyDescent="0.2">
      <c r="A3184" s="5"/>
      <c r="B3184" s="11" t="s">
        <v>7653</v>
      </c>
      <c r="C3184" s="11"/>
      <c r="D3184" s="11"/>
      <c r="E3184" s="26"/>
      <c r="F3184" s="11"/>
      <c r="G3184" s="11"/>
      <c r="I3184" s="8" t="s">
        <v>7654</v>
      </c>
      <c r="J3184" s="5">
        <f>4</f>
        <v>4</v>
      </c>
      <c r="K3184" s="5" t="s">
        <v>21</v>
      </c>
      <c r="L3184" s="5" t="s">
        <v>7619</v>
      </c>
      <c r="M3184" s="5">
        <v>5</v>
      </c>
    </row>
    <row r="3185" spans="1:17" x14ac:dyDescent="0.2">
      <c r="A3185" s="5"/>
      <c r="B3185" s="11" t="s">
        <v>7655</v>
      </c>
      <c r="C3185" s="11"/>
      <c r="D3185" s="11"/>
      <c r="E3185" s="26"/>
      <c r="F3185" s="11"/>
      <c r="G3185" s="11"/>
      <c r="I3185" s="8" t="s">
        <v>7656</v>
      </c>
      <c r="J3185" s="5">
        <f>2</f>
        <v>2</v>
      </c>
      <c r="K3185" s="5" t="s">
        <v>21</v>
      </c>
      <c r="L3185" s="5" t="s">
        <v>7619</v>
      </c>
      <c r="M3185" s="5">
        <v>5</v>
      </c>
    </row>
    <row r="3186" spans="1:17" x14ac:dyDescent="0.2">
      <c r="A3186" s="5"/>
      <c r="B3186" s="11" t="s">
        <v>7657</v>
      </c>
      <c r="C3186" s="11"/>
      <c r="D3186" s="11"/>
      <c r="E3186" s="26"/>
      <c r="F3186" s="11"/>
      <c r="G3186" s="11"/>
      <c r="I3186" s="8" t="s">
        <v>7656</v>
      </c>
      <c r="J3186" s="5">
        <f>1</f>
        <v>1</v>
      </c>
      <c r="K3186" s="5" t="s">
        <v>21</v>
      </c>
      <c r="L3186" s="5" t="s">
        <v>7619</v>
      </c>
      <c r="M3186" s="5">
        <v>5</v>
      </c>
    </row>
    <row r="3187" spans="1:17" x14ac:dyDescent="0.2">
      <c r="A3187" s="5"/>
      <c r="B3187" s="11" t="s">
        <v>7658</v>
      </c>
      <c r="C3187" s="11"/>
      <c r="D3187" s="11"/>
      <c r="E3187" s="26"/>
      <c r="F3187" s="11"/>
      <c r="G3187" s="11"/>
      <c r="I3187" s="8" t="s">
        <v>7659</v>
      </c>
      <c r="J3187" s="5">
        <f>3+1</f>
        <v>4</v>
      </c>
      <c r="K3187" s="5" t="s">
        <v>21</v>
      </c>
      <c r="L3187" s="5" t="s">
        <v>7619</v>
      </c>
      <c r="M3187" s="5">
        <v>5</v>
      </c>
    </row>
    <row r="3188" spans="1:17" x14ac:dyDescent="0.2">
      <c r="A3188" s="5"/>
      <c r="B3188" s="11" t="s">
        <v>7660</v>
      </c>
      <c r="C3188" s="11" t="s">
        <v>7661</v>
      </c>
      <c r="D3188" s="11"/>
      <c r="E3188" s="26"/>
      <c r="F3188" s="11"/>
      <c r="G3188" s="11"/>
      <c r="I3188" s="8" t="s">
        <v>7662</v>
      </c>
      <c r="J3188" s="5">
        <f>1</f>
        <v>1</v>
      </c>
      <c r="K3188" s="5" t="s">
        <v>21</v>
      </c>
      <c r="L3188" s="5" t="s">
        <v>7619</v>
      </c>
      <c r="M3188" s="5">
        <v>5</v>
      </c>
    </row>
    <row r="3189" spans="1:17" x14ac:dyDescent="0.2">
      <c r="A3189" s="5"/>
      <c r="B3189" s="11" t="s">
        <v>7663</v>
      </c>
      <c r="C3189" s="11"/>
      <c r="D3189" s="11"/>
      <c r="E3189" s="26"/>
      <c r="F3189" s="11"/>
      <c r="G3189" s="11"/>
      <c r="I3189" s="8" t="s">
        <v>7664</v>
      </c>
      <c r="J3189" s="5">
        <f>1</f>
        <v>1</v>
      </c>
      <c r="K3189" s="5" t="s">
        <v>21</v>
      </c>
      <c r="L3189" s="5" t="s">
        <v>7619</v>
      </c>
      <c r="M3189" s="5">
        <v>5</v>
      </c>
    </row>
    <row r="3190" spans="1:17" x14ac:dyDescent="0.2">
      <c r="A3190" s="5"/>
      <c r="B3190" s="11" t="s">
        <v>7665</v>
      </c>
      <c r="C3190" s="11"/>
      <c r="D3190" s="11"/>
      <c r="E3190" s="26"/>
      <c r="F3190" s="11"/>
      <c r="G3190" s="11"/>
      <c r="I3190" s="8" t="s">
        <v>7666</v>
      </c>
      <c r="J3190" s="5">
        <f>1</f>
        <v>1</v>
      </c>
      <c r="K3190" s="5" t="s">
        <v>21</v>
      </c>
      <c r="L3190" s="5" t="s">
        <v>7619</v>
      </c>
      <c r="M3190" s="5">
        <v>5</v>
      </c>
    </row>
    <row r="3191" spans="1:17" x14ac:dyDescent="0.2">
      <c r="A3191" s="5"/>
      <c r="B3191" s="11" t="s">
        <v>7667</v>
      </c>
      <c r="C3191" s="11"/>
      <c r="D3191" s="11"/>
      <c r="E3191" s="26"/>
      <c r="F3191" s="11"/>
      <c r="G3191" s="11"/>
      <c r="I3191" s="8" t="s">
        <v>5052</v>
      </c>
      <c r="J3191" s="5">
        <f>16</f>
        <v>16</v>
      </c>
      <c r="K3191" s="5" t="s">
        <v>21</v>
      </c>
      <c r="L3191" s="5" t="s">
        <v>7619</v>
      </c>
      <c r="M3191" s="5">
        <v>5</v>
      </c>
    </row>
    <row r="3192" spans="1:17" x14ac:dyDescent="0.2">
      <c r="A3192" s="5"/>
      <c r="B3192" s="11" t="s">
        <v>7668</v>
      </c>
      <c r="C3192" s="11"/>
      <c r="D3192" s="11"/>
      <c r="E3192" s="26"/>
      <c r="F3192" s="11"/>
      <c r="G3192" s="11"/>
      <c r="I3192" s="8" t="s">
        <v>7669</v>
      </c>
      <c r="J3192" s="5">
        <f>1</f>
        <v>1</v>
      </c>
      <c r="K3192" s="5" t="s">
        <v>21</v>
      </c>
      <c r="L3192" s="5" t="s">
        <v>7619</v>
      </c>
      <c r="M3192" s="5">
        <v>5</v>
      </c>
    </row>
    <row r="3193" spans="1:17" x14ac:dyDescent="0.2">
      <c r="A3193" s="5"/>
      <c r="B3193" s="11" t="s">
        <v>7670</v>
      </c>
      <c r="C3193" s="11"/>
      <c r="D3193" s="11"/>
      <c r="E3193" s="26"/>
      <c r="F3193" s="11"/>
      <c r="G3193" s="11"/>
      <c r="I3193" s="8" t="s">
        <v>7671</v>
      </c>
      <c r="J3193" s="5">
        <f>1</f>
        <v>1</v>
      </c>
      <c r="K3193" s="5" t="s">
        <v>21</v>
      </c>
      <c r="L3193" s="5" t="s">
        <v>7619</v>
      </c>
      <c r="M3193" s="5">
        <v>5</v>
      </c>
    </row>
    <row r="3194" spans="1:17" x14ac:dyDescent="0.2">
      <c r="A3194" s="5"/>
      <c r="B3194" s="11" t="s">
        <v>7672</v>
      </c>
      <c r="C3194" s="11"/>
      <c r="D3194" s="11"/>
      <c r="E3194" s="26"/>
      <c r="F3194" s="11"/>
      <c r="G3194" s="11"/>
      <c r="I3194" s="8" t="s">
        <v>7673</v>
      </c>
      <c r="J3194" s="5">
        <f>1+5</f>
        <v>6</v>
      </c>
      <c r="K3194" s="5" t="s">
        <v>21</v>
      </c>
      <c r="L3194" s="5" t="s">
        <v>7619</v>
      </c>
      <c r="M3194" s="5">
        <v>5</v>
      </c>
      <c r="Q3194" s="5" t="s">
        <v>7674</v>
      </c>
    </row>
    <row r="3195" spans="1:17" x14ac:dyDescent="0.2">
      <c r="A3195" s="5"/>
      <c r="B3195" s="100" t="s">
        <v>7675</v>
      </c>
      <c r="C3195" s="11"/>
      <c r="D3195" s="11"/>
      <c r="E3195" s="26"/>
      <c r="F3195" s="11"/>
      <c r="G3195" s="11"/>
      <c r="I3195" s="100" t="s">
        <v>7676</v>
      </c>
      <c r="J3195" s="5">
        <f>1</f>
        <v>1</v>
      </c>
      <c r="K3195" s="5" t="s">
        <v>21</v>
      </c>
      <c r="L3195" s="5" t="s">
        <v>7619</v>
      </c>
      <c r="M3195" s="5">
        <v>5</v>
      </c>
    </row>
    <row r="3196" spans="1:17" x14ac:dyDescent="0.2">
      <c r="A3196" s="5"/>
      <c r="B3196" s="8" t="s">
        <v>7677</v>
      </c>
      <c r="C3196" s="11"/>
      <c r="D3196" s="11"/>
      <c r="E3196" s="26"/>
      <c r="F3196" s="11"/>
      <c r="G3196" s="11"/>
      <c r="I3196" s="8" t="s">
        <v>7678</v>
      </c>
      <c r="J3196" s="5">
        <f>1+5</f>
        <v>6</v>
      </c>
      <c r="K3196" s="5" t="s">
        <v>21</v>
      </c>
      <c r="L3196" s="5" t="s">
        <v>7619</v>
      </c>
      <c r="M3196" s="5">
        <v>5</v>
      </c>
      <c r="Q3196" s="5" t="s">
        <v>7674</v>
      </c>
    </row>
    <row r="3197" spans="1:17" x14ac:dyDescent="0.2">
      <c r="A3197" s="5"/>
      <c r="B3197" s="11" t="s">
        <v>7679</v>
      </c>
      <c r="C3197" s="11"/>
      <c r="D3197" s="11"/>
      <c r="E3197" s="26"/>
      <c r="F3197" s="11"/>
      <c r="G3197" s="11"/>
      <c r="I3197" s="8" t="s">
        <v>7680</v>
      </c>
      <c r="J3197" s="5">
        <f>1+5</f>
        <v>6</v>
      </c>
      <c r="K3197" s="5" t="s">
        <v>21</v>
      </c>
      <c r="L3197" s="5" t="s">
        <v>7619</v>
      </c>
      <c r="M3197" s="5">
        <v>5</v>
      </c>
      <c r="Q3197" s="5" t="s">
        <v>7674</v>
      </c>
    </row>
    <row r="3198" spans="1:17" x14ac:dyDescent="0.2">
      <c r="A3198" s="5"/>
      <c r="B3198" s="100" t="s">
        <v>7681</v>
      </c>
      <c r="C3198" s="11"/>
      <c r="D3198" s="11"/>
      <c r="E3198" s="26"/>
      <c r="F3198" s="11"/>
      <c r="G3198" s="11"/>
      <c r="I3198" s="100" t="s">
        <v>7682</v>
      </c>
      <c r="J3198" s="5">
        <f>2</f>
        <v>2</v>
      </c>
      <c r="K3198" s="5" t="s">
        <v>21</v>
      </c>
      <c r="L3198" s="5" t="s">
        <v>7619</v>
      </c>
      <c r="M3198" s="5">
        <v>5</v>
      </c>
    </row>
    <row r="3199" spans="1:17" x14ac:dyDescent="0.2">
      <c r="A3199" s="5"/>
      <c r="B3199" s="100" t="s">
        <v>7683</v>
      </c>
      <c r="C3199" s="11"/>
      <c r="D3199" s="11"/>
      <c r="E3199" s="26"/>
      <c r="F3199" s="11"/>
      <c r="G3199" s="11"/>
      <c r="I3199" s="188" t="s">
        <v>7661</v>
      </c>
      <c r="J3199" s="5">
        <f>1</f>
        <v>1</v>
      </c>
      <c r="K3199" s="5" t="s">
        <v>21</v>
      </c>
      <c r="L3199" s="5" t="s">
        <v>7619</v>
      </c>
      <c r="M3199" s="5">
        <v>5</v>
      </c>
    </row>
    <row r="3200" spans="1:17" x14ac:dyDescent="0.2">
      <c r="A3200" s="5"/>
      <c r="B3200" s="100" t="s">
        <v>7684</v>
      </c>
      <c r="C3200" s="11"/>
      <c r="D3200" s="11"/>
      <c r="E3200" s="26"/>
      <c r="F3200" s="11"/>
      <c r="G3200" s="11"/>
      <c r="I3200" s="195" t="s">
        <v>7685</v>
      </c>
      <c r="J3200" s="5">
        <f>4-2</f>
        <v>2</v>
      </c>
      <c r="K3200" s="5" t="s">
        <v>21</v>
      </c>
      <c r="L3200" s="5" t="s">
        <v>7619</v>
      </c>
      <c r="M3200" s="5">
        <v>6</v>
      </c>
    </row>
    <row r="3201" spans="1:21" x14ac:dyDescent="0.2">
      <c r="A3201" s="5"/>
      <c r="B3201" s="100" t="s">
        <v>7686</v>
      </c>
      <c r="C3201" s="11"/>
      <c r="D3201" s="11"/>
      <c r="E3201" s="26"/>
      <c r="F3201" s="11"/>
      <c r="G3201" s="11"/>
      <c r="I3201" s="195" t="s">
        <v>7687</v>
      </c>
      <c r="J3201" s="5">
        <f>3-1-1-1</f>
        <v>0</v>
      </c>
      <c r="K3201" s="5" t="s">
        <v>21</v>
      </c>
      <c r="L3201" s="5" t="s">
        <v>7619</v>
      </c>
      <c r="M3201" s="5">
        <v>6</v>
      </c>
    </row>
    <row r="3202" spans="1:21" x14ac:dyDescent="0.2">
      <c r="A3202" s="5"/>
      <c r="B3202" s="100" t="s">
        <v>7688</v>
      </c>
      <c r="C3202" s="11"/>
      <c r="D3202" s="11"/>
      <c r="E3202" s="26"/>
      <c r="F3202" s="11"/>
      <c r="G3202" s="11"/>
      <c r="I3202" s="195" t="s">
        <v>7689</v>
      </c>
      <c r="J3202" s="5">
        <f>1</f>
        <v>1</v>
      </c>
      <c r="K3202" s="5" t="s">
        <v>21</v>
      </c>
      <c r="L3202" s="5" t="s">
        <v>7619</v>
      </c>
      <c r="M3202" s="5">
        <v>6</v>
      </c>
    </row>
    <row r="3203" spans="1:21" x14ac:dyDescent="0.2">
      <c r="A3203" s="5">
        <v>274</v>
      </c>
      <c r="B3203" s="8" t="s">
        <v>7690</v>
      </c>
      <c r="H3203" s="8" t="s">
        <v>7691</v>
      </c>
      <c r="I3203" s="100" t="s">
        <v>7692</v>
      </c>
      <c r="J3203" s="5">
        <v>1</v>
      </c>
      <c r="K3203" s="5" t="s">
        <v>292</v>
      </c>
      <c r="L3203" s="5" t="s">
        <v>7619</v>
      </c>
      <c r="M3203" s="5">
        <v>6</v>
      </c>
      <c r="N3203" s="5" t="s">
        <v>2289</v>
      </c>
      <c r="O3203" s="5" t="s">
        <v>520</v>
      </c>
      <c r="Q3203" s="5" t="s">
        <v>7693</v>
      </c>
    </row>
    <row r="3204" spans="1:21" x14ac:dyDescent="0.2">
      <c r="A3204" s="5">
        <v>277</v>
      </c>
      <c r="B3204" s="8" t="s">
        <v>7694</v>
      </c>
      <c r="H3204" s="8" t="s">
        <v>7695</v>
      </c>
      <c r="I3204" s="8" t="s">
        <v>7695</v>
      </c>
      <c r="J3204" s="5">
        <v>10</v>
      </c>
      <c r="K3204" s="5" t="s">
        <v>292</v>
      </c>
      <c r="L3204" s="5" t="s">
        <v>7619</v>
      </c>
      <c r="M3204" s="5">
        <v>6</v>
      </c>
      <c r="N3204" s="5" t="s">
        <v>2289</v>
      </c>
      <c r="O3204" s="5" t="s">
        <v>520</v>
      </c>
      <c r="Q3204" s="5" t="s">
        <v>7696</v>
      </c>
    </row>
    <row r="3205" spans="1:21" x14ac:dyDescent="0.2">
      <c r="A3205" s="5">
        <v>288</v>
      </c>
      <c r="B3205" s="8" t="s">
        <v>7697</v>
      </c>
      <c r="H3205" s="8" t="s">
        <v>7698</v>
      </c>
      <c r="I3205" s="8" t="s">
        <v>7698</v>
      </c>
      <c r="J3205" s="5">
        <v>9</v>
      </c>
      <c r="K3205" s="5" t="s">
        <v>292</v>
      </c>
      <c r="L3205" s="5" t="s">
        <v>7619</v>
      </c>
      <c r="M3205" s="5">
        <v>6</v>
      </c>
      <c r="N3205" s="5" t="s">
        <v>3971</v>
      </c>
      <c r="Q3205" s="5" t="s">
        <v>3965</v>
      </c>
    </row>
    <row r="3206" spans="1:21" x14ac:dyDescent="0.2">
      <c r="A3206" s="5">
        <v>288</v>
      </c>
      <c r="B3206" s="8" t="s">
        <v>7699</v>
      </c>
      <c r="H3206" s="8" t="s">
        <v>7700</v>
      </c>
      <c r="I3206" s="8" t="s">
        <v>7700</v>
      </c>
      <c r="J3206" s="5">
        <v>0</v>
      </c>
      <c r="K3206" s="5" t="s">
        <v>292</v>
      </c>
      <c r="L3206" s="5" t="s">
        <v>7619</v>
      </c>
      <c r="M3206" s="5">
        <v>6</v>
      </c>
      <c r="N3206" s="5" t="s">
        <v>563</v>
      </c>
      <c r="Q3206" s="5" t="s">
        <v>7701</v>
      </c>
    </row>
    <row r="3207" spans="1:21" x14ac:dyDescent="0.2">
      <c r="A3207" s="5">
        <v>295</v>
      </c>
      <c r="B3207" s="8" t="s">
        <v>7702</v>
      </c>
      <c r="H3207" s="8" t="s">
        <v>7703</v>
      </c>
      <c r="I3207" s="8" t="s">
        <v>7703</v>
      </c>
      <c r="J3207" s="5">
        <v>12</v>
      </c>
      <c r="K3207" s="5" t="s">
        <v>292</v>
      </c>
      <c r="L3207" s="5" t="s">
        <v>7619</v>
      </c>
      <c r="M3207" s="5">
        <v>6</v>
      </c>
      <c r="N3207" s="5" t="s">
        <v>2289</v>
      </c>
      <c r="O3207" s="5" t="s">
        <v>520</v>
      </c>
      <c r="Q3207" s="5" t="s">
        <v>7704</v>
      </c>
    </row>
    <row r="3208" spans="1:21" x14ac:dyDescent="0.2">
      <c r="A3208" s="5"/>
      <c r="B3208" s="130" t="s">
        <v>7705</v>
      </c>
      <c r="H3208" s="8" t="s">
        <v>7706</v>
      </c>
      <c r="I3208" s="8" t="s">
        <v>7706</v>
      </c>
      <c r="J3208" s="5">
        <f>11+2</f>
        <v>13</v>
      </c>
      <c r="K3208" s="5" t="s">
        <v>292</v>
      </c>
      <c r="L3208" s="5" t="s">
        <v>7619</v>
      </c>
      <c r="M3208" s="5">
        <v>6</v>
      </c>
      <c r="N3208" s="5" t="s">
        <v>2289</v>
      </c>
      <c r="Q3208" s="5" t="s">
        <v>7707</v>
      </c>
    </row>
    <row r="3209" spans="1:21" x14ac:dyDescent="0.2">
      <c r="A3209" s="5">
        <v>296</v>
      </c>
      <c r="B3209" s="8" t="s">
        <v>7708</v>
      </c>
      <c r="H3209" s="8" t="s">
        <v>7706</v>
      </c>
      <c r="I3209" s="8" t="s">
        <v>7706</v>
      </c>
      <c r="J3209" s="5">
        <f>16-2</f>
        <v>14</v>
      </c>
      <c r="K3209" s="5" t="s">
        <v>292</v>
      </c>
      <c r="L3209" s="5" t="s">
        <v>7619</v>
      </c>
      <c r="M3209" s="5">
        <v>6</v>
      </c>
      <c r="N3209" s="5" t="s">
        <v>2289</v>
      </c>
      <c r="O3209" s="5" t="s">
        <v>266</v>
      </c>
      <c r="Q3209" s="5" t="s">
        <v>7709</v>
      </c>
    </row>
    <row r="3210" spans="1:21" x14ac:dyDescent="0.2">
      <c r="A3210" s="5">
        <v>323</v>
      </c>
      <c r="B3210" s="8" t="s">
        <v>7710</v>
      </c>
      <c r="H3210" s="8" t="s">
        <v>7706</v>
      </c>
      <c r="I3210" s="8" t="s">
        <v>7706</v>
      </c>
      <c r="J3210" s="5">
        <f>2-1</f>
        <v>1</v>
      </c>
      <c r="K3210" s="5" t="s">
        <v>292</v>
      </c>
      <c r="L3210" s="5" t="s">
        <v>7619</v>
      </c>
      <c r="M3210" s="5">
        <v>6</v>
      </c>
      <c r="N3210" s="5" t="s">
        <v>2289</v>
      </c>
      <c r="O3210" s="5" t="s">
        <v>520</v>
      </c>
      <c r="Q3210" s="5" t="s">
        <v>7711</v>
      </c>
    </row>
    <row r="3211" spans="1:21" x14ac:dyDescent="0.2">
      <c r="A3211" s="5">
        <v>325</v>
      </c>
      <c r="B3211" s="8" t="s">
        <v>7712</v>
      </c>
      <c r="H3211" s="8" t="s">
        <v>7706</v>
      </c>
      <c r="I3211" s="8" t="s">
        <v>7706</v>
      </c>
      <c r="J3211" s="5">
        <f>5-1-2</f>
        <v>2</v>
      </c>
      <c r="K3211" s="5" t="s">
        <v>292</v>
      </c>
      <c r="L3211" s="5" t="s">
        <v>7619</v>
      </c>
      <c r="M3211" s="5">
        <v>6</v>
      </c>
      <c r="N3211" s="5" t="s">
        <v>2289</v>
      </c>
      <c r="O3211" s="5" t="s">
        <v>520</v>
      </c>
      <c r="Q3211" s="5" t="s">
        <v>7713</v>
      </c>
    </row>
    <row r="3212" spans="1:21" x14ac:dyDescent="0.2">
      <c r="A3212" s="5">
        <v>336</v>
      </c>
      <c r="B3212" s="8" t="s">
        <v>7714</v>
      </c>
      <c r="H3212" s="8" t="s">
        <v>7715</v>
      </c>
      <c r="I3212" s="8" t="s">
        <v>7715</v>
      </c>
      <c r="J3212" s="5">
        <v>4</v>
      </c>
      <c r="K3212" s="5" t="s">
        <v>292</v>
      </c>
      <c r="L3212" s="5" t="s">
        <v>7619</v>
      </c>
      <c r="M3212" s="5">
        <v>6</v>
      </c>
      <c r="N3212" s="5" t="s">
        <v>2289</v>
      </c>
      <c r="O3212" s="5" t="s">
        <v>520</v>
      </c>
    </row>
    <row r="3213" spans="1:21" x14ac:dyDescent="0.2">
      <c r="A3213" s="5"/>
      <c r="B3213" s="8" t="s">
        <v>7716</v>
      </c>
      <c r="H3213" s="8" t="s">
        <v>7717</v>
      </c>
      <c r="I3213" s="8" t="s">
        <v>7717</v>
      </c>
      <c r="J3213" s="5">
        <v>1</v>
      </c>
      <c r="K3213" s="5" t="s">
        <v>292</v>
      </c>
      <c r="L3213" s="5" t="s">
        <v>7619</v>
      </c>
      <c r="M3213" s="5">
        <v>6</v>
      </c>
      <c r="N3213" s="5" t="s">
        <v>7718</v>
      </c>
    </row>
    <row r="3214" spans="1:21" x14ac:dyDescent="0.2">
      <c r="A3214" s="5"/>
      <c r="B3214" s="8" t="s">
        <v>7719</v>
      </c>
      <c r="H3214" s="8" t="s">
        <v>7720</v>
      </c>
      <c r="I3214" s="8" t="s">
        <v>7720</v>
      </c>
      <c r="J3214" s="5">
        <v>1</v>
      </c>
      <c r="K3214" s="5" t="s">
        <v>292</v>
      </c>
      <c r="L3214" s="5" t="s">
        <v>7619</v>
      </c>
      <c r="M3214" s="5">
        <v>6</v>
      </c>
      <c r="N3214" s="5" t="s">
        <v>7718</v>
      </c>
      <c r="U3214" t="s">
        <v>321</v>
      </c>
    </row>
    <row r="3215" spans="1:21" x14ac:dyDescent="0.2">
      <c r="A3215" s="5">
        <v>320</v>
      </c>
      <c r="B3215" s="8" t="s">
        <v>7721</v>
      </c>
      <c r="H3215" s="8" t="s">
        <v>7722</v>
      </c>
      <c r="I3215" s="8" t="s">
        <v>7722</v>
      </c>
      <c r="J3215" s="5">
        <f>1</f>
        <v>1</v>
      </c>
      <c r="K3215" s="5" t="s">
        <v>292</v>
      </c>
      <c r="L3215" s="5" t="s">
        <v>7619</v>
      </c>
      <c r="M3215" s="5">
        <v>6</v>
      </c>
      <c r="N3215" s="5" t="s">
        <v>2289</v>
      </c>
      <c r="O3215" s="5" t="s">
        <v>520</v>
      </c>
      <c r="Q3215" s="5" t="s">
        <v>7723</v>
      </c>
    </row>
    <row r="3216" spans="1:21" x14ac:dyDescent="0.2">
      <c r="A3216" s="5">
        <v>328</v>
      </c>
      <c r="B3216" s="8" t="s">
        <v>7724</v>
      </c>
      <c r="H3216" s="8" t="s">
        <v>7706</v>
      </c>
      <c r="I3216" s="8" t="s">
        <v>7706</v>
      </c>
      <c r="J3216" s="5">
        <v>0</v>
      </c>
      <c r="K3216" s="5" t="s">
        <v>292</v>
      </c>
      <c r="L3216" s="5" t="s">
        <v>7619</v>
      </c>
      <c r="M3216" s="5">
        <v>6</v>
      </c>
      <c r="N3216" s="5" t="s">
        <v>2289</v>
      </c>
    </row>
    <row r="3217" spans="1:21" x14ac:dyDescent="0.2">
      <c r="A3217" s="5"/>
      <c r="B3217" s="8" t="s">
        <v>7725</v>
      </c>
      <c r="I3217" s="8" t="s">
        <v>76</v>
      </c>
      <c r="J3217" s="5">
        <f>5-2-2</f>
        <v>1</v>
      </c>
      <c r="K3217" s="5" t="s">
        <v>292</v>
      </c>
      <c r="L3217" s="5" t="s">
        <v>7619</v>
      </c>
      <c r="M3217" s="5">
        <v>6</v>
      </c>
    </row>
    <row r="3218" spans="1:21" x14ac:dyDescent="0.2">
      <c r="A3218" s="5"/>
      <c r="B3218" s="8" t="s">
        <v>7726</v>
      </c>
      <c r="H3218" s="8" t="s">
        <v>7727</v>
      </c>
      <c r="I3218" s="8" t="s">
        <v>7727</v>
      </c>
      <c r="J3218" s="5">
        <f>1-1</f>
        <v>0</v>
      </c>
      <c r="K3218" s="5" t="s">
        <v>21</v>
      </c>
      <c r="L3218" s="5" t="s">
        <v>7619</v>
      </c>
      <c r="M3218" s="5">
        <v>6</v>
      </c>
      <c r="N3218" s="5" t="s">
        <v>71</v>
      </c>
    </row>
    <row r="3219" spans="1:21" x14ac:dyDescent="0.2">
      <c r="A3219" s="5"/>
      <c r="B3219" s="8" t="s">
        <v>7728</v>
      </c>
      <c r="H3219" s="8" t="s">
        <v>7706</v>
      </c>
      <c r="I3219" s="8" t="s">
        <v>7706</v>
      </c>
      <c r="J3219" s="5">
        <v>1</v>
      </c>
      <c r="K3219" s="5" t="s">
        <v>292</v>
      </c>
      <c r="L3219" s="5" t="s">
        <v>7619</v>
      </c>
      <c r="M3219" s="5">
        <v>8</v>
      </c>
      <c r="N3219" s="5" t="s">
        <v>2289</v>
      </c>
    </row>
    <row r="3220" spans="1:21" x14ac:dyDescent="0.2">
      <c r="A3220" s="5"/>
      <c r="B3220" s="8" t="s">
        <v>7729</v>
      </c>
      <c r="H3220" s="8" t="s">
        <v>7730</v>
      </c>
      <c r="I3220" s="8" t="s">
        <v>7730</v>
      </c>
      <c r="J3220" s="5">
        <v>5296</v>
      </c>
      <c r="K3220" s="5" t="s">
        <v>7608</v>
      </c>
      <c r="L3220" s="5" t="s">
        <v>7619</v>
      </c>
      <c r="M3220" s="5">
        <v>9</v>
      </c>
      <c r="N3220" s="5" t="s">
        <v>7323</v>
      </c>
    </row>
    <row r="3221" spans="1:21" x14ac:dyDescent="0.2">
      <c r="A3221" s="5">
        <v>298</v>
      </c>
      <c r="B3221" s="8" t="s">
        <v>7731</v>
      </c>
      <c r="H3221" s="8" t="s">
        <v>7732</v>
      </c>
      <c r="I3221" s="8" t="s">
        <v>7732</v>
      </c>
      <c r="J3221" s="5">
        <v>4</v>
      </c>
      <c r="K3221" s="5" t="s">
        <v>292</v>
      </c>
      <c r="L3221" s="5" t="s">
        <v>7619</v>
      </c>
      <c r="M3221" s="5">
        <v>9</v>
      </c>
      <c r="N3221" s="5" t="s">
        <v>2289</v>
      </c>
      <c r="O3221" s="5" t="s">
        <v>520</v>
      </c>
      <c r="Q3221" s="5" t="s">
        <v>7696</v>
      </c>
    </row>
    <row r="3222" spans="1:21" x14ac:dyDescent="0.2">
      <c r="A3222" s="5">
        <v>299</v>
      </c>
      <c r="B3222" s="8" t="s">
        <v>7733</v>
      </c>
      <c r="H3222" s="8" t="s">
        <v>7734</v>
      </c>
      <c r="I3222" s="8" t="s">
        <v>7734</v>
      </c>
      <c r="J3222" s="5">
        <f>26-4-4</f>
        <v>18</v>
      </c>
      <c r="K3222" s="5" t="s">
        <v>292</v>
      </c>
      <c r="L3222" s="5" t="s">
        <v>7619</v>
      </c>
      <c r="M3222" s="5">
        <v>9</v>
      </c>
      <c r="N3222" s="5" t="s">
        <v>2289</v>
      </c>
      <c r="O3222" s="5" t="s">
        <v>266</v>
      </c>
      <c r="Q3222" s="5" t="s">
        <v>7735</v>
      </c>
    </row>
    <row r="3223" spans="1:21" x14ac:dyDescent="0.2">
      <c r="A3223" s="5"/>
      <c r="B3223" s="8" t="s">
        <v>7736</v>
      </c>
      <c r="H3223" s="8" t="s">
        <v>7737</v>
      </c>
      <c r="I3223" s="8" t="s">
        <v>7738</v>
      </c>
      <c r="J3223" s="5">
        <v>9</v>
      </c>
      <c r="K3223" s="5" t="s">
        <v>292</v>
      </c>
      <c r="L3223" s="5" t="s">
        <v>7619</v>
      </c>
      <c r="M3223" s="5">
        <v>9</v>
      </c>
      <c r="N3223" s="5" t="s">
        <v>7739</v>
      </c>
    </row>
    <row r="3224" spans="1:21" x14ac:dyDescent="0.2">
      <c r="A3224" s="5"/>
      <c r="B3224" s="8" t="s">
        <v>7740</v>
      </c>
      <c r="H3224" s="8" t="s">
        <v>7741</v>
      </c>
      <c r="I3224" s="8" t="s">
        <v>7741</v>
      </c>
      <c r="J3224" s="5">
        <v>10</v>
      </c>
      <c r="K3224" s="5" t="s">
        <v>292</v>
      </c>
      <c r="L3224" s="5" t="s">
        <v>7619</v>
      </c>
      <c r="M3224" s="5">
        <v>11</v>
      </c>
      <c r="N3224" s="5" t="s">
        <v>7739</v>
      </c>
    </row>
    <row r="3225" spans="1:21" x14ac:dyDescent="0.2">
      <c r="A3225" s="5"/>
      <c r="B3225" s="8" t="s">
        <v>7742</v>
      </c>
      <c r="H3225" s="8" t="s">
        <v>7743</v>
      </c>
      <c r="I3225" s="8" t="s">
        <v>7744</v>
      </c>
      <c r="J3225" s="5">
        <v>37</v>
      </c>
      <c r="K3225" s="5" t="s">
        <v>292</v>
      </c>
      <c r="L3225" s="5" t="s">
        <v>7619</v>
      </c>
      <c r="M3225" s="5">
        <v>11</v>
      </c>
      <c r="N3225" s="5" t="s">
        <v>7739</v>
      </c>
    </row>
    <row r="3226" spans="1:21" x14ac:dyDescent="0.2">
      <c r="A3226" s="5"/>
      <c r="B3226" s="8" t="s">
        <v>7745</v>
      </c>
      <c r="H3226" s="8" t="s">
        <v>7746</v>
      </c>
      <c r="I3226" s="8" t="s">
        <v>7746</v>
      </c>
      <c r="J3226" s="5">
        <v>193</v>
      </c>
      <c r="K3226" s="5" t="s">
        <v>292</v>
      </c>
      <c r="L3226" s="5" t="s">
        <v>7619</v>
      </c>
      <c r="M3226" s="5">
        <v>13</v>
      </c>
    </row>
    <row r="3227" spans="1:21" x14ac:dyDescent="0.2">
      <c r="A3227" s="5">
        <v>2383</v>
      </c>
      <c r="B3227" s="8" t="s">
        <v>7747</v>
      </c>
      <c r="H3227" s="8" t="s">
        <v>7748</v>
      </c>
      <c r="I3227" s="8" t="s">
        <v>7748</v>
      </c>
      <c r="J3227" s="5">
        <v>12</v>
      </c>
      <c r="K3227" s="5" t="s">
        <v>292</v>
      </c>
      <c r="L3227" s="5" t="s">
        <v>7619</v>
      </c>
      <c r="M3227" s="5">
        <v>14</v>
      </c>
      <c r="N3227" s="5" t="s">
        <v>511</v>
      </c>
      <c r="O3227" s="5" t="s">
        <v>520</v>
      </c>
      <c r="Q3227" s="5" t="s">
        <v>7749</v>
      </c>
    </row>
    <row r="3228" spans="1:21" x14ac:dyDescent="0.2">
      <c r="A3228" s="5"/>
      <c r="B3228" s="8" t="s">
        <v>7750</v>
      </c>
      <c r="H3228" s="8" t="s">
        <v>7751</v>
      </c>
      <c r="I3228" s="8" t="s">
        <v>7751</v>
      </c>
      <c r="J3228" s="5">
        <v>6</v>
      </c>
      <c r="K3228" s="5" t="s">
        <v>292</v>
      </c>
      <c r="L3228" s="5" t="s">
        <v>7619</v>
      </c>
      <c r="M3228" s="5">
        <v>14</v>
      </c>
      <c r="N3228" s="5" t="s">
        <v>7752</v>
      </c>
    </row>
    <row r="3229" spans="1:21" x14ac:dyDescent="0.2">
      <c r="A3229" s="5"/>
      <c r="B3229" s="8" t="s">
        <v>7753</v>
      </c>
      <c r="I3229" s="8" t="s">
        <v>7754</v>
      </c>
      <c r="J3229" s="5">
        <f>4</f>
        <v>4</v>
      </c>
      <c r="K3229" s="5" t="s">
        <v>21</v>
      </c>
      <c r="L3229" s="5" t="s">
        <v>7619</v>
      </c>
      <c r="M3229" s="5">
        <v>14</v>
      </c>
      <c r="Q3229" s="5" t="s">
        <v>7755</v>
      </c>
    </row>
    <row r="3230" spans="1:21" x14ac:dyDescent="0.2">
      <c r="A3230" s="5"/>
      <c r="B3230" s="8" t="s">
        <v>7756</v>
      </c>
      <c r="H3230" s="8" t="s">
        <v>7757</v>
      </c>
      <c r="I3230" s="8" t="s">
        <v>7757</v>
      </c>
      <c r="J3230" s="5">
        <f>100</f>
        <v>100</v>
      </c>
      <c r="K3230" s="5" t="s">
        <v>292</v>
      </c>
      <c r="L3230" s="5" t="s">
        <v>7619</v>
      </c>
      <c r="M3230" s="5">
        <v>15</v>
      </c>
      <c r="N3230" s="5" t="s">
        <v>553</v>
      </c>
      <c r="Q3230" s="131" t="s">
        <v>7758</v>
      </c>
    </row>
    <row r="3231" spans="1:21" x14ac:dyDescent="0.2">
      <c r="A3231" s="5"/>
      <c r="H3231" s="8" t="s">
        <v>7759</v>
      </c>
      <c r="I3231" s="8" t="s">
        <v>7759</v>
      </c>
      <c r="J3231" s="5">
        <f>1</f>
        <v>1</v>
      </c>
      <c r="K3231" s="5" t="s">
        <v>292</v>
      </c>
      <c r="L3231" s="5" t="s">
        <v>7619</v>
      </c>
      <c r="M3231" s="5">
        <v>15</v>
      </c>
      <c r="Q3231" s="131"/>
      <c r="U3231" t="s">
        <v>288</v>
      </c>
    </row>
    <row r="3232" spans="1:21" x14ac:dyDescent="0.2">
      <c r="A3232" s="5">
        <v>330</v>
      </c>
      <c r="B3232" s="8" t="s">
        <v>7760</v>
      </c>
      <c r="H3232" s="8" t="s">
        <v>7761</v>
      </c>
      <c r="I3232" s="8" t="s">
        <v>7761</v>
      </c>
      <c r="J3232" s="5">
        <v>3</v>
      </c>
      <c r="K3232" s="5" t="s">
        <v>292</v>
      </c>
      <c r="L3232" s="5" t="s">
        <v>7619</v>
      </c>
      <c r="M3232" s="5">
        <v>16</v>
      </c>
      <c r="N3232" s="5" t="s">
        <v>43</v>
      </c>
      <c r="O3232" s="5" t="s">
        <v>520</v>
      </c>
      <c r="Q3232" s="5" t="s">
        <v>7762</v>
      </c>
    </row>
    <row r="3233" spans="1:17" x14ac:dyDescent="0.2">
      <c r="A3233" s="5">
        <v>306</v>
      </c>
      <c r="B3233" s="8" t="s">
        <v>7763</v>
      </c>
      <c r="H3233" s="8" t="s">
        <v>7764</v>
      </c>
      <c r="I3233" s="8" t="s">
        <v>7765</v>
      </c>
      <c r="J3233" s="5">
        <v>2</v>
      </c>
      <c r="K3233" s="5" t="s">
        <v>292</v>
      </c>
      <c r="L3233" s="5" t="s">
        <v>7619</v>
      </c>
      <c r="M3233" s="5">
        <v>16</v>
      </c>
      <c r="N3233" s="5" t="s">
        <v>2872</v>
      </c>
      <c r="O3233" s="5" t="s">
        <v>520</v>
      </c>
    </row>
    <row r="3234" spans="1:17" x14ac:dyDescent="0.2">
      <c r="A3234" s="5">
        <v>311</v>
      </c>
      <c r="B3234" s="8" t="s">
        <v>7766</v>
      </c>
      <c r="H3234" s="8" t="s">
        <v>7767</v>
      </c>
      <c r="I3234" s="8" t="s">
        <v>7767</v>
      </c>
      <c r="J3234" s="5">
        <v>3</v>
      </c>
      <c r="K3234" s="5" t="s">
        <v>292</v>
      </c>
      <c r="L3234" s="5" t="s">
        <v>7619</v>
      </c>
      <c r="M3234" s="5">
        <v>16</v>
      </c>
      <c r="N3234" s="5" t="s">
        <v>896</v>
      </c>
      <c r="O3234" s="5" t="s">
        <v>520</v>
      </c>
      <c r="Q3234" s="33" t="s">
        <v>7768</v>
      </c>
    </row>
    <row r="3235" spans="1:17" x14ac:dyDescent="0.2">
      <c r="A3235" s="5">
        <v>313</v>
      </c>
      <c r="B3235" s="8" t="s">
        <v>7769</v>
      </c>
      <c r="H3235" s="8" t="s">
        <v>7770</v>
      </c>
      <c r="I3235" s="8" t="s">
        <v>7770</v>
      </c>
      <c r="J3235" s="5">
        <v>4</v>
      </c>
      <c r="K3235" s="5" t="s">
        <v>292</v>
      </c>
      <c r="L3235" s="5" t="s">
        <v>7619</v>
      </c>
      <c r="M3235" s="5">
        <v>16</v>
      </c>
      <c r="N3235" s="5" t="s">
        <v>2872</v>
      </c>
      <c r="O3235" s="5" t="s">
        <v>520</v>
      </c>
      <c r="Q3235" s="5" t="s">
        <v>7771</v>
      </c>
    </row>
    <row r="3236" spans="1:17" x14ac:dyDescent="0.2">
      <c r="A3236" s="5">
        <v>316</v>
      </c>
      <c r="B3236" s="8" t="s">
        <v>7772</v>
      </c>
      <c r="H3236" s="8" t="s">
        <v>7773</v>
      </c>
      <c r="I3236" s="8" t="s">
        <v>7773</v>
      </c>
      <c r="J3236" s="5">
        <v>2</v>
      </c>
      <c r="K3236" s="5" t="s">
        <v>292</v>
      </c>
      <c r="L3236" s="5" t="s">
        <v>7619</v>
      </c>
      <c r="M3236" s="5">
        <v>16</v>
      </c>
      <c r="N3236" s="5" t="s">
        <v>2872</v>
      </c>
      <c r="O3236" s="5" t="s">
        <v>520</v>
      </c>
      <c r="Q3236" s="5" t="s">
        <v>7774</v>
      </c>
    </row>
    <row r="3237" spans="1:17" x14ac:dyDescent="0.2">
      <c r="A3237" s="5"/>
      <c r="B3237" s="8" t="s">
        <v>7775</v>
      </c>
      <c r="H3237" s="8" t="s">
        <v>7776</v>
      </c>
      <c r="I3237" s="8" t="s">
        <v>7776</v>
      </c>
      <c r="J3237" s="5">
        <v>11</v>
      </c>
      <c r="K3237" s="5" t="s">
        <v>292</v>
      </c>
      <c r="L3237" s="5" t="s">
        <v>7619</v>
      </c>
      <c r="M3237" s="5">
        <v>16</v>
      </c>
      <c r="N3237" s="5" t="s">
        <v>998</v>
      </c>
    </row>
    <row r="3238" spans="1:17" x14ac:dyDescent="0.2">
      <c r="A3238" s="5"/>
      <c r="B3238" s="8" t="s">
        <v>7777</v>
      </c>
      <c r="H3238" s="8" t="s">
        <v>2875</v>
      </c>
      <c r="I3238" s="8" t="s">
        <v>2875</v>
      </c>
      <c r="J3238" s="5">
        <f>2+2</f>
        <v>4</v>
      </c>
      <c r="K3238" s="5" t="s">
        <v>292</v>
      </c>
      <c r="L3238" s="5" t="s">
        <v>7619</v>
      </c>
      <c r="M3238" s="5">
        <v>16</v>
      </c>
      <c r="N3238" s="5" t="s">
        <v>2872</v>
      </c>
    </row>
    <row r="3239" spans="1:17" x14ac:dyDescent="0.2">
      <c r="A3239" s="5"/>
      <c r="B3239" s="8" t="s">
        <v>7778</v>
      </c>
      <c r="H3239" s="8" t="s">
        <v>7779</v>
      </c>
      <c r="I3239" s="8" t="s">
        <v>7779</v>
      </c>
      <c r="J3239" s="5">
        <f>1+2</f>
        <v>3</v>
      </c>
      <c r="K3239" s="5" t="s">
        <v>292</v>
      </c>
      <c r="L3239" s="5" t="s">
        <v>7619</v>
      </c>
      <c r="M3239" s="5">
        <v>16</v>
      </c>
      <c r="N3239" s="5" t="s">
        <v>2872</v>
      </c>
    </row>
    <row r="3240" spans="1:17" x14ac:dyDescent="0.2">
      <c r="A3240" s="5"/>
      <c r="B3240" s="8" t="s">
        <v>7780</v>
      </c>
      <c r="H3240" s="8" t="s">
        <v>7781</v>
      </c>
      <c r="I3240" s="8" t="s">
        <v>7781</v>
      </c>
      <c r="J3240" s="5">
        <v>1</v>
      </c>
      <c r="K3240" s="5" t="s">
        <v>292</v>
      </c>
      <c r="L3240" s="5" t="s">
        <v>7619</v>
      </c>
      <c r="M3240" s="5">
        <v>16</v>
      </c>
      <c r="N3240" s="5" t="s">
        <v>2872</v>
      </c>
    </row>
    <row r="3241" spans="1:17" x14ac:dyDescent="0.2">
      <c r="A3241" s="5"/>
      <c r="B3241" s="8" t="s">
        <v>7782</v>
      </c>
      <c r="H3241" s="8" t="s">
        <v>7783</v>
      </c>
      <c r="I3241" s="8" t="s">
        <v>7783</v>
      </c>
      <c r="J3241" s="5">
        <f>4+4</f>
        <v>8</v>
      </c>
      <c r="K3241" s="5" t="s">
        <v>292</v>
      </c>
      <c r="L3241" s="5" t="s">
        <v>7619</v>
      </c>
      <c r="M3241" s="5">
        <v>16</v>
      </c>
      <c r="N3241" s="5" t="s">
        <v>2872</v>
      </c>
    </row>
    <row r="3242" spans="1:17" x14ac:dyDescent="0.2">
      <c r="A3242" s="5"/>
      <c r="B3242" s="8" t="s">
        <v>7784</v>
      </c>
      <c r="H3242" s="8" t="s">
        <v>7785</v>
      </c>
      <c r="I3242" s="8" t="s">
        <v>7785</v>
      </c>
      <c r="J3242" s="5">
        <f>2+1+2</f>
        <v>5</v>
      </c>
      <c r="K3242" s="5" t="s">
        <v>292</v>
      </c>
      <c r="L3242" s="5" t="s">
        <v>7619</v>
      </c>
      <c r="M3242" s="5">
        <v>16</v>
      </c>
      <c r="N3242" s="5" t="s">
        <v>2872</v>
      </c>
    </row>
    <row r="3243" spans="1:17" x14ac:dyDescent="0.2">
      <c r="A3243" s="5"/>
      <c r="B3243" s="8" t="s">
        <v>7786</v>
      </c>
      <c r="H3243" s="8" t="s">
        <v>7785</v>
      </c>
      <c r="I3243" s="8" t="s">
        <v>7785</v>
      </c>
      <c r="J3243" s="5">
        <f>5+4</f>
        <v>9</v>
      </c>
      <c r="K3243" s="5" t="s">
        <v>292</v>
      </c>
      <c r="L3243" s="5" t="s">
        <v>7619</v>
      </c>
      <c r="M3243" s="5">
        <v>16</v>
      </c>
      <c r="N3243" s="5" t="s">
        <v>2872</v>
      </c>
    </row>
    <row r="3244" spans="1:17" x14ac:dyDescent="0.2">
      <c r="A3244" s="5"/>
      <c r="B3244" s="8" t="s">
        <v>7787</v>
      </c>
      <c r="H3244" s="8" t="s">
        <v>7788</v>
      </c>
      <c r="I3244" s="8" t="s">
        <v>7788</v>
      </c>
      <c r="J3244" s="5">
        <f>10-1</f>
        <v>9</v>
      </c>
      <c r="K3244" s="5" t="s">
        <v>21</v>
      </c>
      <c r="L3244" s="5" t="s">
        <v>7619</v>
      </c>
      <c r="M3244" s="5">
        <v>16</v>
      </c>
    </row>
    <row r="3245" spans="1:17" x14ac:dyDescent="0.2">
      <c r="A3245" s="5"/>
      <c r="B3245" s="8" t="s">
        <v>7789</v>
      </c>
      <c r="H3245" s="8" t="s">
        <v>998</v>
      </c>
      <c r="I3245" s="8" t="s">
        <v>998</v>
      </c>
      <c r="J3245" s="5">
        <v>8</v>
      </c>
      <c r="K3245" s="5" t="s">
        <v>292</v>
      </c>
      <c r="L3245" s="5" t="s">
        <v>7619</v>
      </c>
      <c r="M3245" s="5">
        <v>16</v>
      </c>
      <c r="N3245" s="5" t="s">
        <v>998</v>
      </c>
    </row>
    <row r="3246" spans="1:17" x14ac:dyDescent="0.2">
      <c r="A3246" s="5"/>
      <c r="B3246" s="8" t="s">
        <v>7790</v>
      </c>
      <c r="I3246" s="8" t="s">
        <v>7791</v>
      </c>
      <c r="J3246" s="5">
        <f>2</f>
        <v>2</v>
      </c>
      <c r="K3246" s="5" t="s">
        <v>292</v>
      </c>
      <c r="L3246" s="5" t="s">
        <v>7619</v>
      </c>
      <c r="M3246" s="5">
        <v>16</v>
      </c>
    </row>
    <row r="3247" spans="1:17" x14ac:dyDescent="0.2">
      <c r="A3247" s="5"/>
      <c r="B3247" s="8" t="s">
        <v>7792</v>
      </c>
      <c r="I3247" s="8" t="s">
        <v>7793</v>
      </c>
      <c r="J3247" s="5">
        <f>1</f>
        <v>1</v>
      </c>
      <c r="K3247" s="5" t="s">
        <v>292</v>
      </c>
      <c r="L3247" s="5" t="s">
        <v>7619</v>
      </c>
      <c r="M3247" s="5">
        <v>16</v>
      </c>
    </row>
    <row r="3248" spans="1:17" x14ac:dyDescent="0.2">
      <c r="A3248" s="5"/>
      <c r="B3248" s="8" t="s">
        <v>7794</v>
      </c>
      <c r="I3248" s="8" t="s">
        <v>7795</v>
      </c>
      <c r="J3248" s="5">
        <f>10+2+8</f>
        <v>20</v>
      </c>
      <c r="K3248" s="5" t="s">
        <v>292</v>
      </c>
      <c r="L3248" s="5" t="s">
        <v>7619</v>
      </c>
      <c r="M3248" s="5">
        <v>16</v>
      </c>
    </row>
    <row r="3249" spans="1:21" x14ac:dyDescent="0.2">
      <c r="A3249" s="5"/>
      <c r="B3249" s="8" t="s">
        <v>7796</v>
      </c>
      <c r="I3249" s="8" t="s">
        <v>7797</v>
      </c>
      <c r="J3249" s="5">
        <f>2</f>
        <v>2</v>
      </c>
      <c r="K3249" s="5" t="s">
        <v>292</v>
      </c>
      <c r="L3249" s="5" t="s">
        <v>7619</v>
      </c>
      <c r="M3249" s="5">
        <v>16</v>
      </c>
    </row>
    <row r="3250" spans="1:21" x14ac:dyDescent="0.2">
      <c r="A3250" s="5"/>
      <c r="B3250" s="8" t="s">
        <v>7798</v>
      </c>
      <c r="H3250" s="8" t="s">
        <v>7799</v>
      </c>
      <c r="I3250" s="8" t="s">
        <v>7799</v>
      </c>
      <c r="J3250" s="5">
        <v>2</v>
      </c>
      <c r="K3250" s="5" t="s">
        <v>292</v>
      </c>
      <c r="L3250" s="5" t="s">
        <v>7619</v>
      </c>
      <c r="M3250" s="5">
        <v>20</v>
      </c>
      <c r="N3250" s="5" t="s">
        <v>7752</v>
      </c>
    </row>
    <row r="3251" spans="1:21" x14ac:dyDescent="0.2">
      <c r="A3251" s="5"/>
      <c r="B3251" s="8" t="s">
        <v>7800</v>
      </c>
      <c r="H3251" s="8" t="s">
        <v>7801</v>
      </c>
      <c r="I3251" s="8" t="s">
        <v>7801</v>
      </c>
      <c r="J3251" s="5">
        <v>2</v>
      </c>
      <c r="K3251" s="5" t="s">
        <v>292</v>
      </c>
      <c r="L3251" s="5" t="s">
        <v>7619</v>
      </c>
      <c r="M3251" s="5">
        <v>20</v>
      </c>
      <c r="N3251" s="5" t="s">
        <v>7752</v>
      </c>
    </row>
    <row r="3252" spans="1:21" x14ac:dyDescent="0.2">
      <c r="A3252" s="5"/>
      <c r="B3252" s="8" t="s">
        <v>553</v>
      </c>
      <c r="H3252" s="8" t="s">
        <v>7802</v>
      </c>
      <c r="I3252" s="8" t="s">
        <v>7802</v>
      </c>
      <c r="J3252" s="5">
        <f>592-4-32-6</f>
        <v>550</v>
      </c>
      <c r="K3252" s="5" t="s">
        <v>292</v>
      </c>
      <c r="L3252" s="5" t="s">
        <v>7619</v>
      </c>
      <c r="M3252" s="5">
        <v>21</v>
      </c>
      <c r="U3252" t="s">
        <v>2789</v>
      </c>
    </row>
    <row r="3253" spans="1:21" x14ac:dyDescent="0.2">
      <c r="A3253" s="5"/>
      <c r="B3253" s="8" t="s">
        <v>7803</v>
      </c>
      <c r="H3253" s="8" t="s">
        <v>7804</v>
      </c>
      <c r="I3253" s="8" t="s">
        <v>7804</v>
      </c>
      <c r="J3253" s="5">
        <v>23</v>
      </c>
      <c r="K3253" s="5" t="s">
        <v>292</v>
      </c>
      <c r="L3253" s="5" t="s">
        <v>7619</v>
      </c>
      <c r="M3253" s="5">
        <v>22</v>
      </c>
      <c r="N3253" s="5" t="s">
        <v>2289</v>
      </c>
    </row>
    <row r="3254" spans="1:21" x14ac:dyDescent="0.2">
      <c r="A3254" s="5">
        <v>238</v>
      </c>
      <c r="B3254" s="8" t="s">
        <v>7805</v>
      </c>
      <c r="H3254" s="8" t="s">
        <v>7806</v>
      </c>
      <c r="I3254" s="8" t="s">
        <v>7806</v>
      </c>
      <c r="J3254" s="5">
        <v>1</v>
      </c>
      <c r="K3254" s="5" t="s">
        <v>292</v>
      </c>
      <c r="L3254" s="5" t="s">
        <v>7619</v>
      </c>
      <c r="M3254" s="5">
        <v>22</v>
      </c>
      <c r="O3254" s="5" t="s">
        <v>520</v>
      </c>
      <c r="U3254" t="s">
        <v>321</v>
      </c>
    </row>
    <row r="3255" spans="1:21" x14ac:dyDescent="0.2">
      <c r="A3255" s="5">
        <v>2381</v>
      </c>
      <c r="B3255" s="8" t="s">
        <v>7807</v>
      </c>
      <c r="D3255" s="8" t="s">
        <v>7808</v>
      </c>
      <c r="E3255" s="24">
        <v>43687</v>
      </c>
      <c r="F3255" s="8" t="s">
        <v>259</v>
      </c>
      <c r="G3255" s="8" t="s">
        <v>260</v>
      </c>
      <c r="H3255" s="8" t="s">
        <v>7809</v>
      </c>
      <c r="I3255" s="8" t="s">
        <v>7810</v>
      </c>
      <c r="J3255" s="5">
        <f>1-1+3</f>
        <v>3</v>
      </c>
      <c r="K3255" s="5" t="s">
        <v>292</v>
      </c>
      <c r="L3255" s="5" t="s">
        <v>7619</v>
      </c>
      <c r="M3255" s="5">
        <v>22</v>
      </c>
      <c r="N3255" s="5" t="s">
        <v>265</v>
      </c>
      <c r="O3255" s="5" t="s">
        <v>266</v>
      </c>
      <c r="Q3255" s="5" t="s">
        <v>7811</v>
      </c>
    </row>
    <row r="3256" spans="1:21" x14ac:dyDescent="0.2">
      <c r="A3256" s="5"/>
      <c r="B3256" s="8" t="s">
        <v>7812</v>
      </c>
      <c r="H3256" s="8" t="s">
        <v>7813</v>
      </c>
      <c r="I3256" s="8" t="s">
        <v>7813</v>
      </c>
      <c r="J3256" s="5">
        <f>2-1+1+6-6-1-1+2+1</f>
        <v>3</v>
      </c>
      <c r="K3256" s="5" t="s">
        <v>292</v>
      </c>
      <c r="L3256" s="5" t="s">
        <v>7619</v>
      </c>
      <c r="M3256" s="5">
        <v>22</v>
      </c>
      <c r="Q3256" s="5" t="s">
        <v>7814</v>
      </c>
    </row>
    <row r="3257" spans="1:21" x14ac:dyDescent="0.2">
      <c r="A3257" s="5"/>
      <c r="B3257" s="8" t="s">
        <v>7815</v>
      </c>
      <c r="H3257" s="8" t="s">
        <v>7816</v>
      </c>
      <c r="I3257" s="8" t="s">
        <v>7816</v>
      </c>
      <c r="J3257" s="5">
        <f>5-1-3+3</f>
        <v>4</v>
      </c>
      <c r="K3257" s="5" t="s">
        <v>292</v>
      </c>
      <c r="L3257" s="5" t="s">
        <v>7619</v>
      </c>
      <c r="M3257" s="5">
        <v>22</v>
      </c>
      <c r="N3257" s="5" t="s">
        <v>265</v>
      </c>
    </row>
    <row r="3258" spans="1:21" x14ac:dyDescent="0.2">
      <c r="A3258" s="5"/>
      <c r="B3258" s="8" t="s">
        <v>7817</v>
      </c>
      <c r="H3258" s="8" t="s">
        <v>2284</v>
      </c>
      <c r="I3258" s="8" t="s">
        <v>7818</v>
      </c>
      <c r="J3258" s="5">
        <v>1</v>
      </c>
      <c r="K3258" s="5" t="s">
        <v>292</v>
      </c>
      <c r="L3258" s="5" t="s">
        <v>7619</v>
      </c>
      <c r="M3258" s="5">
        <v>24</v>
      </c>
      <c r="N3258" s="5" t="s">
        <v>265</v>
      </c>
    </row>
    <row r="3259" spans="1:21" x14ac:dyDescent="0.2">
      <c r="A3259" s="5"/>
      <c r="B3259" s="8" t="s">
        <v>7819</v>
      </c>
      <c r="H3259" s="8" t="s">
        <v>7820</v>
      </c>
      <c r="I3259" s="8" t="s">
        <v>7820</v>
      </c>
      <c r="J3259" s="5">
        <v>25</v>
      </c>
      <c r="K3259" s="5" t="s">
        <v>292</v>
      </c>
      <c r="L3259" s="5" t="s">
        <v>7619</v>
      </c>
      <c r="M3259" s="5">
        <v>24</v>
      </c>
      <c r="N3259" s="5" t="s">
        <v>265</v>
      </c>
      <c r="U3259" t="s">
        <v>321</v>
      </c>
    </row>
    <row r="3260" spans="1:21" x14ac:dyDescent="0.2">
      <c r="A3260" s="5"/>
      <c r="B3260" s="8" t="s">
        <v>7821</v>
      </c>
      <c r="H3260" s="8" t="s">
        <v>7822</v>
      </c>
      <c r="I3260" s="8" t="s">
        <v>7822</v>
      </c>
      <c r="J3260" s="5">
        <v>42</v>
      </c>
      <c r="K3260" s="5" t="s">
        <v>292</v>
      </c>
      <c r="L3260" s="5" t="s">
        <v>7619</v>
      </c>
      <c r="M3260" s="5">
        <v>24</v>
      </c>
      <c r="N3260" s="5" t="s">
        <v>265</v>
      </c>
      <c r="U3260" t="s">
        <v>321</v>
      </c>
    </row>
    <row r="3261" spans="1:21" x14ac:dyDescent="0.2">
      <c r="A3261" s="5"/>
      <c r="B3261" s="8" t="s">
        <v>7823</v>
      </c>
      <c r="H3261" s="8" t="s">
        <v>7824</v>
      </c>
      <c r="I3261" s="8" t="s">
        <v>7824</v>
      </c>
      <c r="J3261" s="5">
        <v>1</v>
      </c>
      <c r="K3261" s="5" t="s">
        <v>292</v>
      </c>
      <c r="L3261" s="5" t="s">
        <v>7619</v>
      </c>
      <c r="M3261" s="5">
        <v>28</v>
      </c>
      <c r="N3261" s="5" t="s">
        <v>7825</v>
      </c>
    </row>
    <row r="3262" spans="1:21" x14ac:dyDescent="0.2">
      <c r="A3262" s="5"/>
      <c r="B3262" s="8" t="s">
        <v>7826</v>
      </c>
      <c r="H3262" s="8" t="s">
        <v>7827</v>
      </c>
      <c r="I3262" s="8" t="s">
        <v>7827</v>
      </c>
      <c r="J3262" s="5">
        <v>1</v>
      </c>
      <c r="K3262" s="5" t="s">
        <v>21</v>
      </c>
      <c r="L3262" s="5" t="s">
        <v>7619</v>
      </c>
      <c r="M3262" s="5">
        <v>28</v>
      </c>
    </row>
    <row r="3263" spans="1:21" x14ac:dyDescent="0.2">
      <c r="A3263" s="5"/>
      <c r="B3263" s="8" t="s">
        <v>7828</v>
      </c>
      <c r="H3263" s="8" t="s">
        <v>7829</v>
      </c>
      <c r="I3263" s="8" t="s">
        <v>7829</v>
      </c>
      <c r="J3263" s="5">
        <v>3</v>
      </c>
      <c r="K3263" s="5" t="s">
        <v>292</v>
      </c>
      <c r="L3263" s="5" t="s">
        <v>7619</v>
      </c>
      <c r="M3263" s="5">
        <v>28</v>
      </c>
      <c r="N3263" s="5" t="s">
        <v>7825</v>
      </c>
    </row>
    <row r="3264" spans="1:21" x14ac:dyDescent="0.2">
      <c r="A3264" s="5">
        <v>280</v>
      </c>
      <c r="B3264" s="8" t="s">
        <v>7830</v>
      </c>
      <c r="H3264" s="8" t="s">
        <v>7831</v>
      </c>
      <c r="I3264" s="8" t="s">
        <v>7831</v>
      </c>
      <c r="J3264" s="5">
        <v>12</v>
      </c>
      <c r="K3264" s="5" t="s">
        <v>292</v>
      </c>
      <c r="L3264" s="5" t="s">
        <v>7619</v>
      </c>
      <c r="M3264" s="5">
        <v>28</v>
      </c>
      <c r="N3264" s="5" t="s">
        <v>3971</v>
      </c>
      <c r="O3264" s="5" t="s">
        <v>520</v>
      </c>
      <c r="Q3264" s="5" t="s">
        <v>7832</v>
      </c>
    </row>
    <row r="3265" spans="1:21" x14ac:dyDescent="0.2">
      <c r="A3265" s="5"/>
      <c r="B3265" s="8" t="s">
        <v>7833</v>
      </c>
      <c r="H3265" s="8" t="s">
        <v>7834</v>
      </c>
      <c r="I3265" s="8" t="s">
        <v>7834</v>
      </c>
      <c r="J3265" s="5">
        <v>6</v>
      </c>
      <c r="K3265" s="5" t="s">
        <v>292</v>
      </c>
      <c r="L3265" s="5" t="s">
        <v>7619</v>
      </c>
      <c r="M3265" s="5">
        <v>28</v>
      </c>
    </row>
    <row r="3266" spans="1:21" x14ac:dyDescent="0.2">
      <c r="A3266" s="5">
        <v>285</v>
      </c>
      <c r="B3266" s="8" t="s">
        <v>7835</v>
      </c>
      <c r="H3266" s="8" t="s">
        <v>7836</v>
      </c>
      <c r="I3266" s="8" t="s">
        <v>7836</v>
      </c>
      <c r="J3266" s="5">
        <v>3</v>
      </c>
      <c r="K3266" s="5" t="s">
        <v>292</v>
      </c>
      <c r="L3266" s="5" t="s">
        <v>7619</v>
      </c>
      <c r="M3266" s="5">
        <v>28</v>
      </c>
      <c r="N3266" s="5" t="s">
        <v>71</v>
      </c>
      <c r="O3266" s="5" t="s">
        <v>266</v>
      </c>
      <c r="Q3266" s="5" t="s">
        <v>7837</v>
      </c>
    </row>
    <row r="3267" spans="1:21" x14ac:dyDescent="0.2">
      <c r="A3267" s="5">
        <v>331</v>
      </c>
      <c r="B3267" s="8" t="s">
        <v>7838</v>
      </c>
      <c r="H3267" s="8" t="s">
        <v>7839</v>
      </c>
      <c r="I3267" s="8" t="s">
        <v>7839</v>
      </c>
      <c r="J3267" s="5">
        <v>0</v>
      </c>
      <c r="K3267" s="5" t="s">
        <v>292</v>
      </c>
      <c r="L3267" s="5" t="s">
        <v>7619</v>
      </c>
      <c r="M3267" s="5">
        <v>28</v>
      </c>
      <c r="N3267" s="5" t="s">
        <v>7840</v>
      </c>
    </row>
    <row r="3268" spans="1:21" x14ac:dyDescent="0.2">
      <c r="A3268" s="5">
        <v>338</v>
      </c>
      <c r="B3268" s="8" t="s">
        <v>7841</v>
      </c>
      <c r="H3268" s="8" t="s">
        <v>7842</v>
      </c>
      <c r="I3268" s="8" t="s">
        <v>7842</v>
      </c>
      <c r="J3268" s="5">
        <v>3</v>
      </c>
      <c r="K3268" s="5" t="s">
        <v>292</v>
      </c>
      <c r="L3268" s="5" t="s">
        <v>7619</v>
      </c>
      <c r="M3268" s="5">
        <v>28</v>
      </c>
      <c r="N3268" s="5" t="s">
        <v>71</v>
      </c>
    </row>
    <row r="3269" spans="1:21" x14ac:dyDescent="0.2">
      <c r="A3269" s="5">
        <v>283</v>
      </c>
      <c r="B3269" s="8" t="s">
        <v>7843</v>
      </c>
      <c r="H3269" s="8" t="s">
        <v>7844</v>
      </c>
      <c r="I3269" s="8" t="s">
        <v>7844</v>
      </c>
      <c r="J3269" s="5">
        <v>3</v>
      </c>
      <c r="K3269" s="5" t="s">
        <v>292</v>
      </c>
      <c r="L3269" s="5" t="s">
        <v>7619</v>
      </c>
      <c r="M3269" s="5">
        <v>28</v>
      </c>
      <c r="N3269" s="5" t="s">
        <v>7845</v>
      </c>
      <c r="O3269" s="5" t="s">
        <v>520</v>
      </c>
      <c r="Q3269" s="5" t="s">
        <v>7846</v>
      </c>
    </row>
    <row r="3270" spans="1:21" x14ac:dyDescent="0.2">
      <c r="A3270" s="5">
        <v>327</v>
      </c>
      <c r="B3270" s="8" t="s">
        <v>7826</v>
      </c>
      <c r="H3270" s="8" t="s">
        <v>7847</v>
      </c>
      <c r="I3270" s="8" t="s">
        <v>7847</v>
      </c>
      <c r="J3270" s="5">
        <v>0</v>
      </c>
      <c r="K3270" s="5" t="s">
        <v>292</v>
      </c>
      <c r="L3270" s="5" t="s">
        <v>7619</v>
      </c>
      <c r="M3270" s="5">
        <v>28</v>
      </c>
      <c r="N3270" s="5" t="s">
        <v>71</v>
      </c>
    </row>
    <row r="3271" spans="1:21" x14ac:dyDescent="0.2">
      <c r="A3271" s="5"/>
      <c r="B3271" s="8" t="s">
        <v>7848</v>
      </c>
      <c r="H3271" s="8" t="s">
        <v>7849</v>
      </c>
      <c r="I3271" s="8" t="s">
        <v>7849</v>
      </c>
      <c r="J3271" s="5">
        <v>8</v>
      </c>
      <c r="K3271" s="5" t="s">
        <v>292</v>
      </c>
      <c r="L3271" s="5" t="s">
        <v>7619</v>
      </c>
      <c r="M3271" s="5">
        <v>29</v>
      </c>
      <c r="N3271" s="5" t="s">
        <v>265</v>
      </c>
      <c r="U3271" t="s">
        <v>321</v>
      </c>
    </row>
    <row r="3272" spans="1:21" x14ac:dyDescent="0.2">
      <c r="A3272" s="5"/>
      <c r="H3272" s="8" t="s">
        <v>7849</v>
      </c>
      <c r="I3272" s="8" t="s">
        <v>7849</v>
      </c>
      <c r="J3272" s="5">
        <v>8</v>
      </c>
      <c r="K3272" s="5" t="s">
        <v>292</v>
      </c>
      <c r="L3272" s="5" t="s">
        <v>7619</v>
      </c>
      <c r="M3272" s="5">
        <v>29</v>
      </c>
      <c r="N3272" s="5" t="s">
        <v>265</v>
      </c>
      <c r="U3272" t="s">
        <v>321</v>
      </c>
    </row>
    <row r="3273" spans="1:21" x14ac:dyDescent="0.2">
      <c r="A3273" s="5"/>
      <c r="B3273" s="8" t="s">
        <v>7850</v>
      </c>
      <c r="H3273" s="8" t="s">
        <v>7851</v>
      </c>
      <c r="I3273" s="8" t="s">
        <v>7851</v>
      </c>
      <c r="J3273" s="5">
        <v>2</v>
      </c>
      <c r="K3273" s="5" t="s">
        <v>292</v>
      </c>
      <c r="L3273" s="5" t="s">
        <v>7619</v>
      </c>
      <c r="M3273" s="5">
        <v>29</v>
      </c>
      <c r="N3273" s="5" t="s">
        <v>265</v>
      </c>
      <c r="U3273" t="s">
        <v>321</v>
      </c>
    </row>
    <row r="3274" spans="1:21" x14ac:dyDescent="0.2">
      <c r="A3274" s="5"/>
      <c r="B3274" s="8" t="s">
        <v>7852</v>
      </c>
      <c r="H3274" s="8" t="s">
        <v>7853</v>
      </c>
      <c r="I3274" s="8" t="s">
        <v>7853</v>
      </c>
      <c r="J3274" s="5">
        <v>4</v>
      </c>
      <c r="K3274" s="5" t="s">
        <v>292</v>
      </c>
      <c r="L3274" s="5" t="s">
        <v>7619</v>
      </c>
      <c r="M3274" s="5">
        <v>29</v>
      </c>
      <c r="N3274" s="5" t="s">
        <v>265</v>
      </c>
      <c r="U3274" t="s">
        <v>321</v>
      </c>
    </row>
    <row r="3275" spans="1:21" x14ac:dyDescent="0.2">
      <c r="A3275" s="5"/>
      <c r="B3275" s="8" t="s">
        <v>7854</v>
      </c>
      <c r="H3275" s="8" t="s">
        <v>7855</v>
      </c>
      <c r="I3275" s="8" t="s">
        <v>7855</v>
      </c>
      <c r="J3275" s="5">
        <v>1</v>
      </c>
      <c r="K3275" s="5" t="s">
        <v>292</v>
      </c>
      <c r="L3275" s="5" t="s">
        <v>7619</v>
      </c>
      <c r="M3275" s="5">
        <v>29</v>
      </c>
      <c r="N3275" s="5" t="s">
        <v>265</v>
      </c>
      <c r="U3275" t="s">
        <v>321</v>
      </c>
    </row>
    <row r="3276" spans="1:21" x14ac:dyDescent="0.2">
      <c r="A3276" s="5"/>
      <c r="B3276" s="8" t="s">
        <v>7856</v>
      </c>
      <c r="H3276" s="8" t="s">
        <v>7857</v>
      </c>
      <c r="I3276" s="8" t="s">
        <v>7857</v>
      </c>
      <c r="J3276" s="5">
        <v>1</v>
      </c>
      <c r="K3276" s="5" t="s">
        <v>292</v>
      </c>
      <c r="L3276" s="5" t="s">
        <v>7619</v>
      </c>
      <c r="M3276" s="5">
        <v>29</v>
      </c>
      <c r="N3276" s="5" t="s">
        <v>265</v>
      </c>
      <c r="U3276" t="s">
        <v>321</v>
      </c>
    </row>
    <row r="3277" spans="1:21" x14ac:dyDescent="0.2">
      <c r="A3277" s="5"/>
      <c r="B3277" s="8" t="s">
        <v>7858</v>
      </c>
      <c r="H3277" s="8" t="s">
        <v>7859</v>
      </c>
      <c r="I3277" s="8" t="s">
        <v>7859</v>
      </c>
      <c r="J3277" s="5">
        <v>6</v>
      </c>
      <c r="K3277" s="5" t="s">
        <v>292</v>
      </c>
      <c r="L3277" s="5" t="s">
        <v>7619</v>
      </c>
      <c r="M3277" s="5">
        <v>32</v>
      </c>
      <c r="N3277" s="5" t="s">
        <v>7860</v>
      </c>
    </row>
    <row r="3278" spans="1:21" x14ac:dyDescent="0.2">
      <c r="A3278" s="5"/>
      <c r="B3278" s="8" t="s">
        <v>7861</v>
      </c>
      <c r="H3278" s="8" t="s">
        <v>7862</v>
      </c>
      <c r="I3278" s="8" t="s">
        <v>7862</v>
      </c>
      <c r="J3278" s="5">
        <v>4</v>
      </c>
      <c r="K3278" s="5" t="s">
        <v>292</v>
      </c>
      <c r="L3278" s="5" t="s">
        <v>7619</v>
      </c>
      <c r="M3278" s="5">
        <v>32</v>
      </c>
      <c r="U3278" t="s">
        <v>321</v>
      </c>
    </row>
    <row r="3279" spans="1:21" x14ac:dyDescent="0.2">
      <c r="A3279" s="5"/>
      <c r="B3279" s="8" t="s">
        <v>7863</v>
      </c>
      <c r="H3279" s="8" t="s">
        <v>7864</v>
      </c>
      <c r="I3279" s="8" t="s">
        <v>7864</v>
      </c>
      <c r="J3279" s="5">
        <v>1</v>
      </c>
      <c r="K3279" s="5" t="s">
        <v>292</v>
      </c>
      <c r="L3279" s="5" t="s">
        <v>7619</v>
      </c>
      <c r="M3279" s="5">
        <v>32</v>
      </c>
      <c r="U3279" t="s">
        <v>321</v>
      </c>
    </row>
    <row r="3280" spans="1:21" x14ac:dyDescent="0.2">
      <c r="A3280" s="5"/>
      <c r="B3280" s="34" t="s">
        <v>7865</v>
      </c>
      <c r="H3280" s="8" t="s">
        <v>7866</v>
      </c>
      <c r="I3280" s="8" t="s">
        <v>7866</v>
      </c>
      <c r="J3280" s="5">
        <v>23</v>
      </c>
      <c r="K3280" s="5" t="s">
        <v>292</v>
      </c>
      <c r="L3280" s="5" t="s">
        <v>7619</v>
      </c>
      <c r="M3280" s="5">
        <v>32</v>
      </c>
      <c r="N3280" s="5" t="s">
        <v>3356</v>
      </c>
      <c r="O3280" s="5" t="s">
        <v>520</v>
      </c>
      <c r="U3280" t="s">
        <v>321</v>
      </c>
    </row>
    <row r="3281" spans="1:21" x14ac:dyDescent="0.2">
      <c r="A3281" s="5"/>
      <c r="B3281" s="8" t="s">
        <v>7867</v>
      </c>
      <c r="H3281" s="8" t="s">
        <v>7866</v>
      </c>
      <c r="I3281" s="8" t="s">
        <v>7866</v>
      </c>
      <c r="J3281" s="5">
        <v>23</v>
      </c>
      <c r="K3281" s="5" t="s">
        <v>292</v>
      </c>
      <c r="L3281" s="5" t="s">
        <v>7619</v>
      </c>
      <c r="M3281" s="5">
        <v>32</v>
      </c>
      <c r="N3281" s="5" t="s">
        <v>3356</v>
      </c>
      <c r="O3281" s="5" t="s">
        <v>520</v>
      </c>
      <c r="U3281" t="s">
        <v>321</v>
      </c>
    </row>
    <row r="3282" spans="1:21" x14ac:dyDescent="0.2">
      <c r="A3282" s="5"/>
      <c r="B3282" s="8" t="s">
        <v>553</v>
      </c>
      <c r="H3282" s="8" t="s">
        <v>7868</v>
      </c>
      <c r="I3282" s="8" t="s">
        <v>7868</v>
      </c>
      <c r="J3282" s="5">
        <f>3-1</f>
        <v>2</v>
      </c>
      <c r="K3282" s="5" t="s">
        <v>292</v>
      </c>
      <c r="L3282" s="5" t="s">
        <v>7619</v>
      </c>
      <c r="M3282" s="5">
        <v>33</v>
      </c>
      <c r="U3282" t="s">
        <v>288</v>
      </c>
    </row>
    <row r="3283" spans="1:21" x14ac:dyDescent="0.2">
      <c r="A3283" s="5"/>
      <c r="B3283" s="8" t="s">
        <v>7869</v>
      </c>
      <c r="H3283" s="8" t="s">
        <v>7870</v>
      </c>
      <c r="I3283" s="8" t="s">
        <v>7870</v>
      </c>
      <c r="J3283" s="5">
        <v>64</v>
      </c>
      <c r="K3283" s="5" t="s">
        <v>292</v>
      </c>
      <c r="L3283" s="5" t="s">
        <v>7619</v>
      </c>
      <c r="M3283" s="5">
        <v>33</v>
      </c>
      <c r="U3283" t="s">
        <v>321</v>
      </c>
    </row>
    <row r="3284" spans="1:21" x14ac:dyDescent="0.2">
      <c r="A3284" s="5"/>
      <c r="B3284" s="8" t="s">
        <v>7871</v>
      </c>
      <c r="H3284" s="8" t="s">
        <v>7872</v>
      </c>
      <c r="I3284" s="8" t="s">
        <v>7872</v>
      </c>
      <c r="J3284" s="5">
        <v>36</v>
      </c>
      <c r="K3284" s="5" t="s">
        <v>292</v>
      </c>
      <c r="L3284" s="5" t="s">
        <v>7619</v>
      </c>
      <c r="M3284" s="5">
        <v>33</v>
      </c>
      <c r="N3284" s="5" t="s">
        <v>4806</v>
      </c>
      <c r="U3284" t="s">
        <v>321</v>
      </c>
    </row>
    <row r="3285" spans="1:21" x14ac:dyDescent="0.2">
      <c r="A3285" s="5"/>
      <c r="B3285" s="8" t="s">
        <v>7873</v>
      </c>
      <c r="H3285" s="8" t="s">
        <v>7874</v>
      </c>
      <c r="I3285" s="8" t="s">
        <v>7874</v>
      </c>
      <c r="J3285" s="5">
        <v>4</v>
      </c>
      <c r="K3285" s="5" t="s">
        <v>292</v>
      </c>
      <c r="L3285" s="5" t="s">
        <v>7619</v>
      </c>
      <c r="M3285" s="5">
        <v>33</v>
      </c>
      <c r="N3285" s="5" t="s">
        <v>5025</v>
      </c>
      <c r="U3285" t="s">
        <v>321</v>
      </c>
    </row>
    <row r="3286" spans="1:21" x14ac:dyDescent="0.2">
      <c r="A3286" s="5"/>
      <c r="B3286" s="8" t="s">
        <v>7873</v>
      </c>
      <c r="H3286" s="8" t="s">
        <v>7875</v>
      </c>
      <c r="I3286" s="8" t="s">
        <v>7875</v>
      </c>
      <c r="J3286" s="5">
        <v>3</v>
      </c>
      <c r="K3286" s="5" t="s">
        <v>292</v>
      </c>
      <c r="L3286" s="5" t="s">
        <v>7619</v>
      </c>
      <c r="M3286" s="5">
        <v>33</v>
      </c>
      <c r="N3286" s="5" t="s">
        <v>5025</v>
      </c>
      <c r="U3286" t="s">
        <v>321</v>
      </c>
    </row>
    <row r="3287" spans="1:21" x14ac:dyDescent="0.2">
      <c r="A3287" s="5"/>
      <c r="B3287" s="8" t="s">
        <v>7876</v>
      </c>
      <c r="H3287" s="8" t="s">
        <v>7877</v>
      </c>
      <c r="I3287" s="8" t="s">
        <v>7877</v>
      </c>
      <c r="J3287" s="5">
        <v>1</v>
      </c>
      <c r="K3287" s="5" t="s">
        <v>292</v>
      </c>
      <c r="L3287" s="5" t="s">
        <v>7619</v>
      </c>
      <c r="M3287" s="5">
        <v>33</v>
      </c>
      <c r="N3287" s="5" t="s">
        <v>5025</v>
      </c>
      <c r="U3287" t="s">
        <v>321</v>
      </c>
    </row>
    <row r="3288" spans="1:21" x14ac:dyDescent="0.2">
      <c r="A3288" s="5"/>
      <c r="B3288" s="8" t="s">
        <v>7878</v>
      </c>
      <c r="H3288" s="8" t="s">
        <v>7879</v>
      </c>
      <c r="I3288" s="8" t="s">
        <v>7879</v>
      </c>
      <c r="J3288" s="5">
        <v>4</v>
      </c>
      <c r="K3288" s="5" t="s">
        <v>292</v>
      </c>
      <c r="L3288" s="5" t="s">
        <v>7619</v>
      </c>
      <c r="M3288" s="5">
        <v>33</v>
      </c>
      <c r="N3288" s="5" t="s">
        <v>5025</v>
      </c>
      <c r="U3288" t="s">
        <v>321</v>
      </c>
    </row>
    <row r="3289" spans="1:21" x14ac:dyDescent="0.2">
      <c r="A3289" s="5"/>
      <c r="B3289" s="8" t="s">
        <v>7880</v>
      </c>
      <c r="H3289" s="8" t="s">
        <v>7881</v>
      </c>
      <c r="I3289" s="8" t="s">
        <v>7881</v>
      </c>
      <c r="J3289" s="5">
        <f>4</f>
        <v>4</v>
      </c>
      <c r="K3289" s="5" t="s">
        <v>292</v>
      </c>
      <c r="L3289" s="5" t="s">
        <v>7619</v>
      </c>
      <c r="M3289" s="5">
        <v>33</v>
      </c>
    </row>
    <row r="3290" spans="1:21" x14ac:dyDescent="0.2">
      <c r="A3290" s="5"/>
      <c r="B3290" s="8" t="s">
        <v>7882</v>
      </c>
      <c r="H3290" s="8" t="s">
        <v>7883</v>
      </c>
      <c r="I3290" s="8" t="s">
        <v>7883</v>
      </c>
      <c r="J3290" s="5">
        <f>1-1</f>
        <v>0</v>
      </c>
      <c r="K3290" s="5" t="s">
        <v>292</v>
      </c>
      <c r="L3290" s="5" t="s">
        <v>7619</v>
      </c>
      <c r="M3290" s="5">
        <v>34</v>
      </c>
    </row>
    <row r="3291" spans="1:21" x14ac:dyDescent="0.2">
      <c r="A3291" s="5"/>
      <c r="B3291" s="8" t="s">
        <v>7884</v>
      </c>
      <c r="H3291" s="8" t="s">
        <v>7885</v>
      </c>
      <c r="I3291" s="8" t="s">
        <v>7885</v>
      </c>
      <c r="J3291" s="5">
        <f>3-3</f>
        <v>0</v>
      </c>
      <c r="K3291" s="5" t="s">
        <v>292</v>
      </c>
      <c r="L3291" s="5" t="s">
        <v>7619</v>
      </c>
      <c r="M3291" s="5">
        <v>34</v>
      </c>
      <c r="Q3291" s="5" t="s">
        <v>7886</v>
      </c>
    </row>
    <row r="3292" spans="1:21" x14ac:dyDescent="0.2">
      <c r="A3292" s="5"/>
      <c r="B3292" s="8" t="s">
        <v>7887</v>
      </c>
      <c r="H3292" s="8" t="s">
        <v>7888</v>
      </c>
      <c r="I3292" s="8" t="s">
        <v>7889</v>
      </c>
      <c r="J3292" s="5">
        <f>2</f>
        <v>2</v>
      </c>
      <c r="K3292" s="5" t="s">
        <v>292</v>
      </c>
      <c r="L3292" s="5" t="s">
        <v>7619</v>
      </c>
      <c r="M3292" s="5">
        <v>34</v>
      </c>
    </row>
    <row r="3293" spans="1:21" x14ac:dyDescent="0.2">
      <c r="A3293" s="5"/>
      <c r="B3293" s="8" t="s">
        <v>7890</v>
      </c>
      <c r="H3293" s="8" t="s">
        <v>7891</v>
      </c>
      <c r="I3293" s="8" t="s">
        <v>7891</v>
      </c>
      <c r="J3293" s="5">
        <v>1</v>
      </c>
      <c r="K3293" s="5" t="s">
        <v>21</v>
      </c>
      <c r="L3293" s="5" t="s">
        <v>7619</v>
      </c>
      <c r="M3293" s="5">
        <v>34</v>
      </c>
    </row>
    <row r="3294" spans="1:21" x14ac:dyDescent="0.2">
      <c r="A3294" s="5"/>
      <c r="B3294" s="8" t="s">
        <v>553</v>
      </c>
      <c r="H3294" s="8" t="s">
        <v>7892</v>
      </c>
      <c r="I3294" s="8" t="s">
        <v>7892</v>
      </c>
      <c r="J3294" s="5">
        <v>59</v>
      </c>
      <c r="K3294" s="5" t="s">
        <v>292</v>
      </c>
      <c r="L3294" s="5" t="s">
        <v>7619</v>
      </c>
      <c r="M3294" s="5">
        <v>37</v>
      </c>
      <c r="N3294" s="5" t="s">
        <v>76</v>
      </c>
      <c r="U3294" t="s">
        <v>288</v>
      </c>
    </row>
    <row r="3295" spans="1:21" x14ac:dyDescent="0.2">
      <c r="A3295" s="5"/>
      <c r="B3295" s="8" t="s">
        <v>553</v>
      </c>
      <c r="H3295" s="8" t="s">
        <v>7893</v>
      </c>
      <c r="I3295" s="8" t="s">
        <v>7893</v>
      </c>
      <c r="J3295" s="5">
        <v>5</v>
      </c>
      <c r="K3295" s="5" t="s">
        <v>292</v>
      </c>
      <c r="L3295" s="5" t="s">
        <v>7619</v>
      </c>
      <c r="M3295" s="5">
        <v>37</v>
      </c>
      <c r="U3295" t="s">
        <v>288</v>
      </c>
    </row>
    <row r="3296" spans="1:21" x14ac:dyDescent="0.2">
      <c r="A3296" s="5"/>
      <c r="B3296" s="8" t="s">
        <v>7894</v>
      </c>
      <c r="H3296" s="8" t="s">
        <v>7895</v>
      </c>
      <c r="I3296" s="8" t="s">
        <v>7895</v>
      </c>
      <c r="J3296" s="5">
        <v>4</v>
      </c>
      <c r="K3296" s="5" t="s">
        <v>292</v>
      </c>
      <c r="L3296" s="5" t="s">
        <v>7619</v>
      </c>
      <c r="M3296" s="5">
        <v>37</v>
      </c>
      <c r="N3296" s="5" t="s">
        <v>7896</v>
      </c>
      <c r="U3296" t="s">
        <v>321</v>
      </c>
    </row>
    <row r="3297" spans="1:21" x14ac:dyDescent="0.2">
      <c r="A3297" s="5"/>
      <c r="B3297" s="8" t="s">
        <v>7897</v>
      </c>
      <c r="H3297" s="8" t="s">
        <v>7898</v>
      </c>
      <c r="I3297" s="8" t="s">
        <v>7898</v>
      </c>
      <c r="J3297" s="5">
        <v>4</v>
      </c>
      <c r="K3297" s="5" t="s">
        <v>292</v>
      </c>
      <c r="L3297" s="5" t="s">
        <v>7619</v>
      </c>
      <c r="M3297" s="5">
        <v>37</v>
      </c>
      <c r="N3297" s="5" t="s">
        <v>7896</v>
      </c>
      <c r="U3297" t="s">
        <v>321</v>
      </c>
    </row>
    <row r="3298" spans="1:21" x14ac:dyDescent="0.2">
      <c r="A3298" s="5"/>
      <c r="B3298" t="s">
        <v>6427</v>
      </c>
      <c r="H3298" t="s">
        <v>7899</v>
      </c>
      <c r="I3298" t="s">
        <v>7899</v>
      </c>
      <c r="J3298" s="77">
        <v>92</v>
      </c>
      <c r="K3298" s="5" t="s">
        <v>292</v>
      </c>
      <c r="L3298" s="5" t="s">
        <v>7619</v>
      </c>
      <c r="M3298" s="5">
        <v>38</v>
      </c>
      <c r="N3298" s="5" t="s">
        <v>34</v>
      </c>
    </row>
    <row r="3299" spans="1:21" x14ac:dyDescent="0.2">
      <c r="A3299" s="5"/>
      <c r="B3299" t="s">
        <v>6450</v>
      </c>
      <c r="H3299" t="s">
        <v>7900</v>
      </c>
      <c r="I3299" t="s">
        <v>7900</v>
      </c>
      <c r="J3299" s="77">
        <v>469</v>
      </c>
      <c r="K3299" s="5" t="s">
        <v>292</v>
      </c>
      <c r="L3299" s="5" t="s">
        <v>7619</v>
      </c>
      <c r="M3299" s="5">
        <v>38</v>
      </c>
      <c r="N3299" s="5" t="s">
        <v>34</v>
      </c>
    </row>
    <row r="3300" spans="1:21" x14ac:dyDescent="0.2">
      <c r="A3300" s="5"/>
      <c r="B3300" t="s">
        <v>6452</v>
      </c>
      <c r="H3300" t="s">
        <v>7900</v>
      </c>
      <c r="I3300" t="s">
        <v>7900</v>
      </c>
      <c r="J3300" s="77">
        <f>286-8</f>
        <v>278</v>
      </c>
      <c r="K3300" s="5" t="s">
        <v>292</v>
      </c>
      <c r="L3300" s="5" t="s">
        <v>7619</v>
      </c>
      <c r="M3300" s="5">
        <v>38</v>
      </c>
      <c r="N3300" s="5" t="s">
        <v>34</v>
      </c>
    </row>
    <row r="3301" spans="1:21" x14ac:dyDescent="0.2">
      <c r="A3301" s="5"/>
      <c r="B3301" t="s">
        <v>6454</v>
      </c>
      <c r="H3301" t="s">
        <v>7900</v>
      </c>
      <c r="I3301" t="s">
        <v>7900</v>
      </c>
      <c r="J3301" s="77">
        <v>100</v>
      </c>
      <c r="K3301" s="5" t="s">
        <v>292</v>
      </c>
      <c r="L3301" s="5" t="s">
        <v>7619</v>
      </c>
      <c r="M3301" s="5">
        <v>38</v>
      </c>
      <c r="N3301" s="5" t="s">
        <v>34</v>
      </c>
    </row>
    <row r="3302" spans="1:21" x14ac:dyDescent="0.2">
      <c r="A3302" s="5"/>
      <c r="B3302" t="s">
        <v>6478</v>
      </c>
      <c r="H3302" t="s">
        <v>7901</v>
      </c>
      <c r="I3302" t="s">
        <v>7901</v>
      </c>
      <c r="J3302" s="77">
        <v>18</v>
      </c>
      <c r="K3302" s="5" t="s">
        <v>292</v>
      </c>
      <c r="L3302" s="5" t="s">
        <v>7619</v>
      </c>
      <c r="M3302" s="5">
        <v>38</v>
      </c>
      <c r="N3302" s="5" t="s">
        <v>34</v>
      </c>
    </row>
    <row r="3303" spans="1:21" x14ac:dyDescent="0.2">
      <c r="A3303" s="5"/>
      <c r="B3303" t="s">
        <v>6481</v>
      </c>
      <c r="H3303" t="s">
        <v>7902</v>
      </c>
      <c r="I3303" t="s">
        <v>7902</v>
      </c>
      <c r="J3303" s="77">
        <v>393</v>
      </c>
      <c r="K3303" s="5" t="s">
        <v>292</v>
      </c>
      <c r="L3303" s="5" t="s">
        <v>7619</v>
      </c>
      <c r="M3303" s="5">
        <v>38</v>
      </c>
      <c r="N3303" s="5" t="s">
        <v>34</v>
      </c>
    </row>
    <row r="3304" spans="1:21" x14ac:dyDescent="0.2">
      <c r="A3304" s="5"/>
      <c r="B3304" t="s">
        <v>6509</v>
      </c>
      <c r="H3304" t="s">
        <v>7900</v>
      </c>
      <c r="I3304" t="s">
        <v>7900</v>
      </c>
      <c r="J3304" s="77">
        <v>455</v>
      </c>
      <c r="K3304" s="5" t="s">
        <v>292</v>
      </c>
      <c r="L3304" s="5" t="s">
        <v>7619</v>
      </c>
      <c r="M3304" s="5">
        <v>38</v>
      </c>
      <c r="N3304" s="5" t="s">
        <v>34</v>
      </c>
    </row>
    <row r="3305" spans="1:21" x14ac:dyDescent="0.2">
      <c r="A3305" s="5"/>
      <c r="B3305" t="s">
        <v>7903</v>
      </c>
      <c r="H3305" t="s">
        <v>7900</v>
      </c>
      <c r="I3305" t="s">
        <v>7900</v>
      </c>
      <c r="J3305" s="77">
        <v>283</v>
      </c>
      <c r="K3305" s="5" t="s">
        <v>292</v>
      </c>
      <c r="L3305" s="5" t="s">
        <v>7619</v>
      </c>
      <c r="M3305" s="5">
        <v>38</v>
      </c>
      <c r="N3305" s="5" t="s">
        <v>34</v>
      </c>
    </row>
    <row r="3306" spans="1:21" x14ac:dyDescent="0.2">
      <c r="A3306" s="5"/>
      <c r="B3306" t="s">
        <v>6513</v>
      </c>
      <c r="H3306" t="s">
        <v>7900</v>
      </c>
      <c r="I3306" t="s">
        <v>7900</v>
      </c>
      <c r="J3306" s="77">
        <v>465</v>
      </c>
      <c r="K3306" s="5" t="s">
        <v>292</v>
      </c>
      <c r="L3306" s="5" t="s">
        <v>7619</v>
      </c>
      <c r="M3306" s="5">
        <v>38</v>
      </c>
      <c r="N3306" s="5" t="s">
        <v>34</v>
      </c>
    </row>
    <row r="3307" spans="1:21" x14ac:dyDescent="0.2">
      <c r="A3307" s="5"/>
      <c r="B3307" t="s">
        <v>6427</v>
      </c>
      <c r="H3307" t="s">
        <v>7904</v>
      </c>
      <c r="I3307" t="s">
        <v>7904</v>
      </c>
      <c r="J3307" s="77">
        <v>21</v>
      </c>
      <c r="K3307" s="5" t="s">
        <v>292</v>
      </c>
      <c r="L3307" s="5" t="s">
        <v>7619</v>
      </c>
      <c r="M3307" s="5">
        <v>38</v>
      </c>
      <c r="N3307" s="5" t="s">
        <v>34</v>
      </c>
    </row>
    <row r="3308" spans="1:21" x14ac:dyDescent="0.2">
      <c r="A3308" s="5"/>
      <c r="B3308" t="s">
        <v>6502</v>
      </c>
      <c r="H3308" t="s">
        <v>7905</v>
      </c>
      <c r="I3308" t="s">
        <v>7905</v>
      </c>
      <c r="J3308" s="77">
        <v>30</v>
      </c>
      <c r="K3308" s="5" t="s">
        <v>292</v>
      </c>
      <c r="L3308" s="5" t="s">
        <v>7619</v>
      </c>
      <c r="M3308" s="5">
        <v>38</v>
      </c>
      <c r="N3308" s="5" t="s">
        <v>34</v>
      </c>
    </row>
    <row r="3309" spans="1:21" x14ac:dyDescent="0.2">
      <c r="A3309" s="5"/>
      <c r="B3309" t="s">
        <v>6456</v>
      </c>
      <c r="H3309" t="s">
        <v>7906</v>
      </c>
      <c r="I3309" t="s">
        <v>7906</v>
      </c>
      <c r="J3309" s="77">
        <v>88</v>
      </c>
      <c r="K3309" s="5" t="s">
        <v>292</v>
      </c>
      <c r="L3309" s="5" t="s">
        <v>7619</v>
      </c>
      <c r="M3309" s="5">
        <v>38</v>
      </c>
      <c r="N3309" s="5" t="s">
        <v>34</v>
      </c>
    </row>
    <row r="3310" spans="1:21" x14ac:dyDescent="0.2">
      <c r="A3310" s="5"/>
      <c r="B3310" t="s">
        <v>6478</v>
      </c>
      <c r="H3310" t="s">
        <v>7907</v>
      </c>
      <c r="I3310" t="s">
        <v>7907</v>
      </c>
      <c r="J3310" s="77">
        <v>6</v>
      </c>
      <c r="K3310" s="5" t="s">
        <v>292</v>
      </c>
      <c r="L3310" s="5" t="s">
        <v>7619</v>
      </c>
      <c r="M3310" s="5">
        <v>38</v>
      </c>
      <c r="N3310" s="5" t="s">
        <v>34</v>
      </c>
    </row>
    <row r="3311" spans="1:21" x14ac:dyDescent="0.2">
      <c r="A3311" s="5"/>
      <c r="B3311" t="s">
        <v>6481</v>
      </c>
      <c r="H3311" t="s">
        <v>7908</v>
      </c>
      <c r="I3311" t="s">
        <v>7908</v>
      </c>
      <c r="J3311" s="77">
        <v>28</v>
      </c>
      <c r="K3311" s="5" t="s">
        <v>292</v>
      </c>
      <c r="L3311" s="5" t="s">
        <v>7619</v>
      </c>
      <c r="M3311" s="5">
        <v>38</v>
      </c>
      <c r="N3311" s="5" t="s">
        <v>34</v>
      </c>
    </row>
    <row r="3312" spans="1:21" x14ac:dyDescent="0.2">
      <c r="A3312" s="5"/>
      <c r="B3312" t="s">
        <v>6487</v>
      </c>
      <c r="H3312" t="s">
        <v>7908</v>
      </c>
      <c r="I3312" t="s">
        <v>7908</v>
      </c>
      <c r="J3312" s="77">
        <v>15</v>
      </c>
      <c r="K3312" s="5" t="s">
        <v>292</v>
      </c>
      <c r="L3312" s="5" t="s">
        <v>7619</v>
      </c>
      <c r="M3312" s="5">
        <v>38</v>
      </c>
      <c r="N3312" s="5" t="s">
        <v>34</v>
      </c>
    </row>
    <row r="3313" spans="1:14" x14ac:dyDescent="0.2">
      <c r="A3313" s="5"/>
      <c r="B3313" t="s">
        <v>6518</v>
      </c>
      <c r="H3313" t="s">
        <v>7904</v>
      </c>
      <c r="I3313" t="s">
        <v>7904</v>
      </c>
      <c r="J3313" s="77">
        <v>93</v>
      </c>
      <c r="K3313" s="5" t="s">
        <v>292</v>
      </c>
      <c r="L3313" s="5" t="s">
        <v>7619</v>
      </c>
      <c r="M3313" s="5">
        <v>38</v>
      </c>
      <c r="N3313" s="5" t="s">
        <v>34</v>
      </c>
    </row>
    <row r="3314" spans="1:14" x14ac:dyDescent="0.2">
      <c r="A3314" s="5"/>
      <c r="B3314" t="s">
        <v>2668</v>
      </c>
      <c r="H3314" t="s">
        <v>7909</v>
      </c>
      <c r="I3314" t="s">
        <v>7909</v>
      </c>
      <c r="J3314" s="77">
        <v>103</v>
      </c>
      <c r="K3314" s="5" t="s">
        <v>292</v>
      </c>
      <c r="L3314" s="5" t="s">
        <v>7619</v>
      </c>
      <c r="M3314" s="5">
        <v>38</v>
      </c>
      <c r="N3314" s="5" t="s">
        <v>6206</v>
      </c>
    </row>
    <row r="3315" spans="1:14" x14ac:dyDescent="0.2">
      <c r="A3315" s="5"/>
      <c r="B3315" t="s">
        <v>6209</v>
      </c>
      <c r="H3315" t="s">
        <v>7909</v>
      </c>
      <c r="I3315" t="s">
        <v>7909</v>
      </c>
      <c r="J3315" s="77">
        <v>361</v>
      </c>
      <c r="K3315" s="5" t="s">
        <v>292</v>
      </c>
      <c r="L3315" s="5" t="s">
        <v>7619</v>
      </c>
      <c r="M3315" s="5">
        <v>38</v>
      </c>
      <c r="N3315" s="5" t="s">
        <v>6206</v>
      </c>
    </row>
    <row r="3316" spans="1:14" x14ac:dyDescent="0.2">
      <c r="A3316" s="5"/>
      <c r="B3316" t="s">
        <v>6211</v>
      </c>
      <c r="H3316" t="s">
        <v>7909</v>
      </c>
      <c r="I3316" t="s">
        <v>7909</v>
      </c>
      <c r="J3316" s="77">
        <v>507</v>
      </c>
      <c r="K3316" s="5" t="s">
        <v>292</v>
      </c>
      <c r="L3316" s="5" t="s">
        <v>7619</v>
      </c>
      <c r="M3316" s="5">
        <v>38</v>
      </c>
      <c r="N3316" s="5" t="s">
        <v>6206</v>
      </c>
    </row>
    <row r="3317" spans="1:14" x14ac:dyDescent="0.2">
      <c r="A3317" s="5"/>
      <c r="B3317" t="s">
        <v>6212</v>
      </c>
      <c r="H3317" t="s">
        <v>7909</v>
      </c>
      <c r="I3317" t="s">
        <v>7909</v>
      </c>
      <c r="J3317" s="77">
        <v>653</v>
      </c>
      <c r="K3317" s="5" t="s">
        <v>292</v>
      </c>
      <c r="L3317" s="5" t="s">
        <v>7619</v>
      </c>
      <c r="M3317" s="5">
        <v>38</v>
      </c>
      <c r="N3317" s="5" t="s">
        <v>6206</v>
      </c>
    </row>
    <row r="3318" spans="1:14" x14ac:dyDescent="0.2">
      <c r="A3318" s="5"/>
      <c r="B3318" t="s">
        <v>6249</v>
      </c>
      <c r="H3318" t="s">
        <v>7909</v>
      </c>
      <c r="I3318" t="s">
        <v>7909</v>
      </c>
      <c r="J3318" s="77">
        <f>307+100</f>
        <v>407</v>
      </c>
      <c r="K3318" s="5" t="s">
        <v>292</v>
      </c>
      <c r="L3318" s="5" t="s">
        <v>7619</v>
      </c>
      <c r="M3318" s="5">
        <v>38</v>
      </c>
      <c r="N3318" s="5" t="s">
        <v>6206</v>
      </c>
    </row>
    <row r="3319" spans="1:14" x14ac:dyDescent="0.2">
      <c r="A3319" s="5"/>
      <c r="B3319" t="s">
        <v>6251</v>
      </c>
      <c r="H3319" t="s">
        <v>7909</v>
      </c>
      <c r="I3319" t="s">
        <v>7909</v>
      </c>
      <c r="J3319" s="77">
        <v>152</v>
      </c>
      <c r="K3319" s="5" t="s">
        <v>292</v>
      </c>
      <c r="L3319" s="5" t="s">
        <v>7619</v>
      </c>
      <c r="M3319" s="5">
        <v>38</v>
      </c>
      <c r="N3319" s="5" t="s">
        <v>6206</v>
      </c>
    </row>
    <row r="3320" spans="1:14" x14ac:dyDescent="0.2">
      <c r="A3320" s="5"/>
      <c r="B3320" t="s">
        <v>6253</v>
      </c>
      <c r="H3320" t="s">
        <v>7909</v>
      </c>
      <c r="I3320" t="s">
        <v>7909</v>
      </c>
      <c r="J3320" s="77">
        <f>49-9</f>
        <v>40</v>
      </c>
      <c r="K3320" s="5" t="s">
        <v>292</v>
      </c>
      <c r="L3320" s="5" t="s">
        <v>7619</v>
      </c>
      <c r="M3320" s="5">
        <v>38</v>
      </c>
      <c r="N3320" s="5" t="s">
        <v>6206</v>
      </c>
    </row>
    <row r="3321" spans="1:14" x14ac:dyDescent="0.2">
      <c r="A3321" s="5"/>
      <c r="B3321" t="s">
        <v>2668</v>
      </c>
      <c r="H3321" t="s">
        <v>7910</v>
      </c>
      <c r="I3321" t="s">
        <v>7911</v>
      </c>
      <c r="J3321" s="77">
        <v>101</v>
      </c>
      <c r="K3321" s="5" t="s">
        <v>292</v>
      </c>
      <c r="L3321" s="5" t="s">
        <v>7619</v>
      </c>
      <c r="M3321" s="5">
        <v>38</v>
      </c>
      <c r="N3321" s="5" t="s">
        <v>6206</v>
      </c>
    </row>
    <row r="3322" spans="1:14" x14ac:dyDescent="0.2">
      <c r="A3322" s="5"/>
      <c r="B3322" t="s">
        <v>6209</v>
      </c>
      <c r="H3322" t="s">
        <v>7910</v>
      </c>
      <c r="I3322" t="s">
        <v>7912</v>
      </c>
      <c r="J3322" s="77">
        <v>291</v>
      </c>
      <c r="K3322" s="5" t="s">
        <v>292</v>
      </c>
      <c r="L3322" s="5" t="s">
        <v>7619</v>
      </c>
      <c r="M3322" s="5">
        <v>38</v>
      </c>
      <c r="N3322" s="5" t="s">
        <v>6206</v>
      </c>
    </row>
    <row r="3323" spans="1:14" x14ac:dyDescent="0.2">
      <c r="A3323" s="5"/>
      <c r="B3323" t="s">
        <v>6211</v>
      </c>
      <c r="H3323" t="s">
        <v>7913</v>
      </c>
      <c r="I3323" t="s">
        <v>7913</v>
      </c>
      <c r="J3323" s="77">
        <v>390</v>
      </c>
      <c r="K3323" s="5" t="s">
        <v>292</v>
      </c>
      <c r="L3323" s="5" t="s">
        <v>7619</v>
      </c>
      <c r="M3323" s="5">
        <v>38</v>
      </c>
      <c r="N3323" s="5" t="s">
        <v>6206</v>
      </c>
    </row>
    <row r="3324" spans="1:14" x14ac:dyDescent="0.2">
      <c r="A3324" s="5"/>
      <c r="B3324" t="s">
        <v>6212</v>
      </c>
      <c r="H3324" t="s">
        <v>7910</v>
      </c>
      <c r="I3324" t="s">
        <v>7914</v>
      </c>
      <c r="J3324" s="77">
        <v>608</v>
      </c>
      <c r="K3324" s="5" t="s">
        <v>292</v>
      </c>
      <c r="L3324" s="5" t="s">
        <v>7619</v>
      </c>
      <c r="M3324" s="5">
        <v>38</v>
      </c>
      <c r="N3324" s="5" t="s">
        <v>6206</v>
      </c>
    </row>
    <row r="3325" spans="1:14" x14ac:dyDescent="0.2">
      <c r="A3325" s="5"/>
      <c r="B3325" t="s">
        <v>6249</v>
      </c>
      <c r="H3325" t="s">
        <v>7910</v>
      </c>
      <c r="I3325" t="s">
        <v>7914</v>
      </c>
      <c r="J3325" s="77">
        <v>295</v>
      </c>
      <c r="K3325" s="5" t="s">
        <v>292</v>
      </c>
      <c r="L3325" s="5" t="s">
        <v>7619</v>
      </c>
      <c r="M3325" s="5">
        <v>38</v>
      </c>
      <c r="N3325" s="5" t="s">
        <v>6206</v>
      </c>
    </row>
    <row r="3326" spans="1:14" x14ac:dyDescent="0.2">
      <c r="A3326" s="5"/>
      <c r="B3326" t="s">
        <v>6253</v>
      </c>
      <c r="H3326" t="s">
        <v>7910</v>
      </c>
      <c r="I3326" t="s">
        <v>7910</v>
      </c>
      <c r="J3326" s="77">
        <v>172</v>
      </c>
      <c r="K3326" s="5" t="s">
        <v>292</v>
      </c>
      <c r="L3326" s="5" t="s">
        <v>7619</v>
      </c>
      <c r="M3326" s="5">
        <v>38</v>
      </c>
      <c r="N3326" s="5" t="s">
        <v>6206</v>
      </c>
    </row>
    <row r="3327" spans="1:14" x14ac:dyDescent="0.2">
      <c r="A3327" s="5"/>
      <c r="B3327" t="s">
        <v>7915</v>
      </c>
      <c r="C3327" s="8" t="s">
        <v>7916</v>
      </c>
      <c r="H3327" t="s">
        <v>7917</v>
      </c>
      <c r="I3327" t="s">
        <v>7917</v>
      </c>
      <c r="J3327" s="77">
        <f>60-60</f>
        <v>0</v>
      </c>
      <c r="K3327" s="5" t="s">
        <v>292</v>
      </c>
      <c r="L3327" s="5" t="s">
        <v>7619</v>
      </c>
      <c r="M3327" s="5">
        <v>38</v>
      </c>
      <c r="N3327" s="5" t="s">
        <v>34</v>
      </c>
    </row>
    <row r="3328" spans="1:14" x14ac:dyDescent="0.2">
      <c r="A3328" s="5"/>
      <c r="B3328" t="s">
        <v>6209</v>
      </c>
      <c r="H3328" t="s">
        <v>7918</v>
      </c>
      <c r="I3328" t="s">
        <v>7918</v>
      </c>
      <c r="J3328" s="77">
        <v>81</v>
      </c>
      <c r="K3328" s="5" t="s">
        <v>292</v>
      </c>
      <c r="L3328" s="5" t="s">
        <v>7619</v>
      </c>
      <c r="M3328" s="5">
        <v>38</v>
      </c>
      <c r="N3328" s="5" t="s">
        <v>5971</v>
      </c>
    </row>
    <row r="3329" spans="1:14" x14ac:dyDescent="0.2">
      <c r="A3329" s="5"/>
      <c r="B3329" t="s">
        <v>6211</v>
      </c>
      <c r="H3329" t="s">
        <v>7918</v>
      </c>
      <c r="I3329" t="s">
        <v>7918</v>
      </c>
      <c r="J3329" s="77">
        <v>92</v>
      </c>
      <c r="K3329" s="5" t="s">
        <v>292</v>
      </c>
      <c r="L3329" s="5" t="s">
        <v>7619</v>
      </c>
      <c r="M3329" s="5">
        <v>38</v>
      </c>
      <c r="N3329" s="5" t="s">
        <v>5971</v>
      </c>
    </row>
    <row r="3330" spans="1:14" x14ac:dyDescent="0.2">
      <c r="A3330" s="5"/>
      <c r="B3330" t="s">
        <v>6427</v>
      </c>
      <c r="H3330" t="s">
        <v>7905</v>
      </c>
      <c r="I3330" t="s">
        <v>7905</v>
      </c>
      <c r="J3330" s="77">
        <v>20</v>
      </c>
      <c r="K3330" s="5" t="s">
        <v>292</v>
      </c>
      <c r="L3330" s="5" t="s">
        <v>7619</v>
      </c>
      <c r="M3330" s="5">
        <v>38</v>
      </c>
      <c r="N3330" s="5" t="s">
        <v>34</v>
      </c>
    </row>
    <row r="3331" spans="1:14" x14ac:dyDescent="0.2">
      <c r="A3331" s="5"/>
      <c r="B3331" t="s">
        <v>7916</v>
      </c>
      <c r="H3331" t="s">
        <v>7919</v>
      </c>
      <c r="I3331" t="s">
        <v>7919</v>
      </c>
      <c r="J3331" s="77">
        <v>59</v>
      </c>
      <c r="K3331" s="5" t="s">
        <v>292</v>
      </c>
      <c r="L3331" s="5" t="s">
        <v>7619</v>
      </c>
      <c r="M3331" s="5">
        <v>38</v>
      </c>
      <c r="N3331" s="5" t="s">
        <v>3356</v>
      </c>
    </row>
    <row r="3332" spans="1:14" x14ac:dyDescent="0.2">
      <c r="A3332" s="5"/>
      <c r="B3332" t="s">
        <v>6502</v>
      </c>
      <c r="H3332" t="s">
        <v>7920</v>
      </c>
      <c r="I3332" t="s">
        <v>7921</v>
      </c>
      <c r="J3332" s="77">
        <v>17</v>
      </c>
      <c r="K3332" s="5" t="s">
        <v>292</v>
      </c>
      <c r="L3332" s="5" t="s">
        <v>7619</v>
      </c>
      <c r="M3332" s="5">
        <v>39</v>
      </c>
      <c r="N3332" s="5" t="s">
        <v>34</v>
      </c>
    </row>
    <row r="3333" spans="1:14" x14ac:dyDescent="0.2">
      <c r="A3333" s="5"/>
      <c r="B3333" t="s">
        <v>6435</v>
      </c>
      <c r="H3333" t="s">
        <v>7920</v>
      </c>
      <c r="I3333" t="s">
        <v>7921</v>
      </c>
      <c r="J3333" s="77">
        <v>91</v>
      </c>
      <c r="K3333" s="5" t="s">
        <v>292</v>
      </c>
      <c r="L3333" s="5" t="s">
        <v>7619</v>
      </c>
      <c r="M3333" s="5">
        <v>39</v>
      </c>
      <c r="N3333" s="5" t="s">
        <v>34</v>
      </c>
    </row>
    <row r="3334" spans="1:14" x14ac:dyDescent="0.2">
      <c r="A3334" s="5"/>
      <c r="B3334" t="s">
        <v>6452</v>
      </c>
      <c r="H3334" t="s">
        <v>7920</v>
      </c>
      <c r="I3334" t="s">
        <v>7921</v>
      </c>
      <c r="J3334" s="77">
        <v>23</v>
      </c>
      <c r="K3334" s="5" t="s">
        <v>292</v>
      </c>
      <c r="L3334" s="5" t="s">
        <v>7619</v>
      </c>
      <c r="M3334" s="5">
        <v>39</v>
      </c>
      <c r="N3334" s="5" t="s">
        <v>34</v>
      </c>
    </row>
    <row r="3335" spans="1:14" x14ac:dyDescent="0.2">
      <c r="A3335" s="5"/>
      <c r="B3335" t="s">
        <v>6454</v>
      </c>
      <c r="H3335" t="s">
        <v>7920</v>
      </c>
      <c r="I3335" t="s">
        <v>7921</v>
      </c>
      <c r="J3335" s="77">
        <v>28</v>
      </c>
      <c r="K3335" s="5" t="s">
        <v>292</v>
      </c>
      <c r="L3335" s="5" t="s">
        <v>7619</v>
      </c>
      <c r="M3335" s="5">
        <v>39</v>
      </c>
      <c r="N3335" s="5" t="s">
        <v>34</v>
      </c>
    </row>
    <row r="3336" spans="1:14" x14ac:dyDescent="0.2">
      <c r="A3336" s="5"/>
      <c r="B3336" t="s">
        <v>6456</v>
      </c>
      <c r="H3336" t="s">
        <v>7920</v>
      </c>
      <c r="I3336" t="s">
        <v>7921</v>
      </c>
      <c r="J3336" s="77">
        <v>106</v>
      </c>
      <c r="K3336" s="5" t="s">
        <v>292</v>
      </c>
      <c r="L3336" s="5" t="s">
        <v>7619</v>
      </c>
      <c r="M3336" s="5">
        <v>39</v>
      </c>
      <c r="N3336" s="5" t="s">
        <v>34</v>
      </c>
    </row>
    <row r="3337" spans="1:14" x14ac:dyDescent="0.2">
      <c r="A3337" s="5"/>
      <c r="B3337" t="s">
        <v>6467</v>
      </c>
      <c r="H3337" t="s">
        <v>7920</v>
      </c>
      <c r="I3337" t="s">
        <v>7921</v>
      </c>
      <c r="J3337" s="77">
        <v>84</v>
      </c>
      <c r="K3337" s="5" t="s">
        <v>292</v>
      </c>
      <c r="L3337" s="5" t="s">
        <v>7619</v>
      </c>
      <c r="M3337" s="5">
        <v>39</v>
      </c>
      <c r="N3337" s="5" t="s">
        <v>34</v>
      </c>
    </row>
    <row r="3338" spans="1:14" x14ac:dyDescent="0.2">
      <c r="A3338" s="5"/>
      <c r="B3338" t="s">
        <v>7922</v>
      </c>
      <c r="H3338" t="s">
        <v>7920</v>
      </c>
      <c r="I3338" t="s">
        <v>7921</v>
      </c>
      <c r="J3338" s="77">
        <v>96</v>
      </c>
      <c r="K3338" s="5" t="s">
        <v>292</v>
      </c>
      <c r="L3338" s="5" t="s">
        <v>7619</v>
      </c>
      <c r="M3338" s="5">
        <v>39</v>
      </c>
      <c r="N3338" s="5" t="s">
        <v>34</v>
      </c>
    </row>
    <row r="3339" spans="1:14" x14ac:dyDescent="0.2">
      <c r="A3339" s="5"/>
      <c r="B3339" t="s">
        <v>6478</v>
      </c>
      <c r="H3339" t="s">
        <v>7920</v>
      </c>
      <c r="I3339" t="s">
        <v>7921</v>
      </c>
      <c r="J3339" s="77">
        <v>54</v>
      </c>
      <c r="K3339" s="5" t="s">
        <v>292</v>
      </c>
      <c r="L3339" s="5" t="s">
        <v>7619</v>
      </c>
      <c r="M3339" s="5">
        <v>39</v>
      </c>
      <c r="N3339" s="5" t="s">
        <v>34</v>
      </c>
    </row>
    <row r="3340" spans="1:14" x14ac:dyDescent="0.2">
      <c r="A3340" s="5"/>
      <c r="B3340" t="s">
        <v>6481</v>
      </c>
      <c r="H3340" t="s">
        <v>7920</v>
      </c>
      <c r="I3340" t="s">
        <v>7921</v>
      </c>
      <c r="J3340" s="77">
        <v>375</v>
      </c>
      <c r="K3340" s="5" t="s">
        <v>292</v>
      </c>
      <c r="L3340" s="5" t="s">
        <v>7619</v>
      </c>
      <c r="M3340" s="5">
        <v>39</v>
      </c>
      <c r="N3340" s="5" t="s">
        <v>34</v>
      </c>
    </row>
    <row r="3341" spans="1:14" x14ac:dyDescent="0.2">
      <c r="A3341" s="5"/>
      <c r="B3341" t="s">
        <v>6487</v>
      </c>
      <c r="H3341" t="s">
        <v>7920</v>
      </c>
      <c r="I3341" t="s">
        <v>7921</v>
      </c>
      <c r="J3341" s="77">
        <v>27</v>
      </c>
      <c r="K3341" s="5" t="s">
        <v>292</v>
      </c>
      <c r="L3341" s="5" t="s">
        <v>7619</v>
      </c>
      <c r="M3341" s="5">
        <v>39</v>
      </c>
      <c r="N3341" s="5" t="s">
        <v>34</v>
      </c>
    </row>
    <row r="3342" spans="1:14" x14ac:dyDescent="0.2">
      <c r="A3342" s="5"/>
      <c r="B3342" t="s">
        <v>6488</v>
      </c>
      <c r="H3342" t="s">
        <v>7920</v>
      </c>
      <c r="I3342" t="s">
        <v>7921</v>
      </c>
      <c r="J3342" s="77">
        <v>82</v>
      </c>
      <c r="K3342" s="5" t="s">
        <v>292</v>
      </c>
      <c r="L3342" s="5" t="s">
        <v>7619</v>
      </c>
      <c r="M3342" s="5">
        <v>39</v>
      </c>
      <c r="N3342" s="5" t="s">
        <v>34</v>
      </c>
    </row>
    <row r="3343" spans="1:14" x14ac:dyDescent="0.2">
      <c r="A3343" s="5"/>
      <c r="B3343" t="s">
        <v>6672</v>
      </c>
      <c r="H3343" t="s">
        <v>7923</v>
      </c>
      <c r="I3343" t="s">
        <v>7923</v>
      </c>
      <c r="J3343" s="77">
        <v>92</v>
      </c>
      <c r="K3343" s="5" t="s">
        <v>292</v>
      </c>
      <c r="L3343" s="5" t="s">
        <v>7619</v>
      </c>
      <c r="M3343" s="5">
        <v>39</v>
      </c>
      <c r="N3343" s="5" t="s">
        <v>34</v>
      </c>
    </row>
    <row r="3344" spans="1:14" x14ac:dyDescent="0.2">
      <c r="A3344" s="5"/>
      <c r="B3344" t="s">
        <v>6509</v>
      </c>
      <c r="H3344" t="s">
        <v>7920</v>
      </c>
      <c r="I3344" t="s">
        <v>7921</v>
      </c>
      <c r="J3344" s="77">
        <v>505</v>
      </c>
      <c r="K3344" s="5" t="s">
        <v>292</v>
      </c>
      <c r="L3344" s="5" t="s">
        <v>7619</v>
      </c>
      <c r="M3344" s="5">
        <v>39</v>
      </c>
      <c r="N3344" s="5" t="s">
        <v>34</v>
      </c>
    </row>
    <row r="3345" spans="1:14" x14ac:dyDescent="0.2">
      <c r="A3345" s="5"/>
      <c r="B3345" t="s">
        <v>7903</v>
      </c>
      <c r="H3345" t="s">
        <v>7921</v>
      </c>
      <c r="I3345" t="s">
        <v>7921</v>
      </c>
      <c r="J3345" s="77">
        <v>468</v>
      </c>
      <c r="K3345" s="5" t="s">
        <v>292</v>
      </c>
      <c r="L3345" s="5" t="s">
        <v>7619</v>
      </c>
      <c r="M3345" s="5">
        <v>39</v>
      </c>
      <c r="N3345" s="5" t="s">
        <v>34</v>
      </c>
    </row>
    <row r="3346" spans="1:14" x14ac:dyDescent="0.2">
      <c r="A3346" s="5"/>
      <c r="B3346" t="s">
        <v>6513</v>
      </c>
      <c r="H3346" t="s">
        <v>7921</v>
      </c>
      <c r="I3346" t="s">
        <v>7921</v>
      </c>
      <c r="J3346" s="77">
        <v>127</v>
      </c>
      <c r="K3346" s="5" t="s">
        <v>292</v>
      </c>
      <c r="L3346" s="5" t="s">
        <v>7619</v>
      </c>
      <c r="M3346" s="5">
        <v>39</v>
      </c>
      <c r="N3346" s="5" t="s">
        <v>34</v>
      </c>
    </row>
    <row r="3347" spans="1:14" x14ac:dyDescent="0.2">
      <c r="A3347" s="5"/>
      <c r="B3347" t="s">
        <v>6517</v>
      </c>
      <c r="H3347" t="s">
        <v>7921</v>
      </c>
      <c r="I3347" t="s">
        <v>7921</v>
      </c>
      <c r="J3347" s="77">
        <v>479</v>
      </c>
      <c r="K3347" s="5" t="s">
        <v>292</v>
      </c>
      <c r="L3347" s="5" t="s">
        <v>7619</v>
      </c>
      <c r="M3347" s="5">
        <v>39</v>
      </c>
      <c r="N3347" s="5" t="s">
        <v>34</v>
      </c>
    </row>
    <row r="3348" spans="1:14" x14ac:dyDescent="0.2">
      <c r="A3348" s="5"/>
      <c r="B3348" t="s">
        <v>6518</v>
      </c>
      <c r="H3348" t="s">
        <v>7921</v>
      </c>
      <c r="I3348" t="s">
        <v>7921</v>
      </c>
      <c r="J3348" s="77">
        <v>100</v>
      </c>
      <c r="K3348" s="5" t="s">
        <v>292</v>
      </c>
      <c r="L3348" s="5" t="s">
        <v>7619</v>
      </c>
      <c r="M3348" s="5">
        <v>39</v>
      </c>
      <c r="N3348" s="5" t="s">
        <v>34</v>
      </c>
    </row>
    <row r="3349" spans="1:14" x14ac:dyDescent="0.2">
      <c r="A3349" s="5"/>
      <c r="B3349" t="s">
        <v>6829</v>
      </c>
      <c r="H3349" t="s">
        <v>7921</v>
      </c>
      <c r="I3349" t="s">
        <v>7921</v>
      </c>
      <c r="J3349" s="78">
        <v>448</v>
      </c>
      <c r="K3349" s="5" t="s">
        <v>292</v>
      </c>
      <c r="L3349" s="5" t="s">
        <v>7619</v>
      </c>
      <c r="M3349" s="5">
        <v>39</v>
      </c>
      <c r="N3349" s="5" t="s">
        <v>34</v>
      </c>
    </row>
    <row r="3350" spans="1:14" x14ac:dyDescent="0.2">
      <c r="A3350" s="5"/>
      <c r="B3350" t="s">
        <v>6683</v>
      </c>
      <c r="H3350" t="s">
        <v>7923</v>
      </c>
      <c r="I3350" t="s">
        <v>7923</v>
      </c>
      <c r="J3350" s="78">
        <v>93</v>
      </c>
      <c r="K3350" s="5" t="s">
        <v>292</v>
      </c>
      <c r="L3350" s="5" t="s">
        <v>7619</v>
      </c>
      <c r="M3350" s="5">
        <v>39</v>
      </c>
      <c r="N3350" s="5" t="s">
        <v>34</v>
      </c>
    </row>
    <row r="3351" spans="1:14" x14ac:dyDescent="0.2">
      <c r="A3351" s="5"/>
      <c r="B3351" t="s">
        <v>7924</v>
      </c>
      <c r="H3351" t="s">
        <v>7925</v>
      </c>
      <c r="I3351" t="s">
        <v>7925</v>
      </c>
      <c r="J3351" s="78">
        <v>4</v>
      </c>
      <c r="K3351" s="5" t="s">
        <v>292</v>
      </c>
      <c r="L3351" s="5" t="s">
        <v>7619</v>
      </c>
      <c r="M3351" s="5">
        <v>39</v>
      </c>
      <c r="N3351" s="5" t="s">
        <v>34</v>
      </c>
    </row>
    <row r="3352" spans="1:14" x14ac:dyDescent="0.2">
      <c r="A3352" s="5"/>
      <c r="B3352" t="s">
        <v>7926</v>
      </c>
      <c r="H3352" t="s">
        <v>7920</v>
      </c>
      <c r="I3352" t="s">
        <v>7921</v>
      </c>
      <c r="J3352" s="78">
        <v>10</v>
      </c>
      <c r="K3352" s="5" t="s">
        <v>292</v>
      </c>
      <c r="L3352" s="5" t="s">
        <v>7619</v>
      </c>
      <c r="M3352" s="5">
        <v>39</v>
      </c>
      <c r="N3352" s="5" t="s">
        <v>34</v>
      </c>
    </row>
    <row r="3353" spans="1:14" x14ac:dyDescent="0.2">
      <c r="A3353" s="5"/>
      <c r="B3353" t="s">
        <v>6405</v>
      </c>
      <c r="H3353" t="s">
        <v>7920</v>
      </c>
      <c r="I3353" t="s">
        <v>7921</v>
      </c>
      <c r="J3353" s="78">
        <v>472</v>
      </c>
      <c r="K3353" s="5" t="s">
        <v>292</v>
      </c>
      <c r="L3353" s="5" t="s">
        <v>7619</v>
      </c>
      <c r="M3353" s="5">
        <v>39</v>
      </c>
      <c r="N3353" s="5" t="s">
        <v>34</v>
      </c>
    </row>
    <row r="3354" spans="1:14" x14ac:dyDescent="0.2">
      <c r="A3354" s="5"/>
      <c r="B3354" t="s">
        <v>6407</v>
      </c>
      <c r="H3354" t="s">
        <v>7920</v>
      </c>
      <c r="I3354" t="s">
        <v>7921</v>
      </c>
      <c r="J3354" s="78">
        <v>86</v>
      </c>
      <c r="K3354" s="5" t="s">
        <v>292</v>
      </c>
      <c r="L3354" s="5" t="s">
        <v>7619</v>
      </c>
      <c r="M3354" s="5">
        <v>39</v>
      </c>
      <c r="N3354" s="5" t="s">
        <v>34</v>
      </c>
    </row>
    <row r="3355" spans="1:14" x14ac:dyDescent="0.2">
      <c r="A3355" s="5"/>
      <c r="B3355" t="s">
        <v>6408</v>
      </c>
      <c r="H3355" t="s">
        <v>7920</v>
      </c>
      <c r="I3355" t="s">
        <v>7921</v>
      </c>
      <c r="J3355" s="78">
        <v>168</v>
      </c>
      <c r="K3355" s="5" t="s">
        <v>292</v>
      </c>
      <c r="L3355" s="5" t="s">
        <v>7619</v>
      </c>
      <c r="M3355" s="5">
        <v>39</v>
      </c>
      <c r="N3355" s="5" t="s">
        <v>34</v>
      </c>
    </row>
    <row r="3356" spans="1:14" x14ac:dyDescent="0.2">
      <c r="A3356" s="5"/>
      <c r="B3356" t="s">
        <v>7927</v>
      </c>
      <c r="H3356" t="s">
        <v>7920</v>
      </c>
      <c r="I3356" t="s">
        <v>7921</v>
      </c>
      <c r="J3356" s="78">
        <v>89</v>
      </c>
      <c r="K3356" s="5" t="s">
        <v>292</v>
      </c>
      <c r="L3356" s="5" t="s">
        <v>7619</v>
      </c>
      <c r="M3356" s="5">
        <v>39</v>
      </c>
      <c r="N3356" s="5" t="s">
        <v>34</v>
      </c>
    </row>
    <row r="3357" spans="1:14" x14ac:dyDescent="0.2">
      <c r="A3357" s="5"/>
      <c r="B3357" t="s">
        <v>7928</v>
      </c>
      <c r="H3357" t="s">
        <v>7920</v>
      </c>
      <c r="I3357" t="s">
        <v>7921</v>
      </c>
      <c r="J3357" s="78">
        <v>53</v>
      </c>
      <c r="K3357" s="5" t="s">
        <v>292</v>
      </c>
      <c r="L3357" s="5" t="s">
        <v>7619</v>
      </c>
      <c r="M3357" s="5">
        <v>39</v>
      </c>
      <c r="N3357" s="5" t="s">
        <v>34</v>
      </c>
    </row>
    <row r="3358" spans="1:14" x14ac:dyDescent="0.2">
      <c r="A3358" s="5"/>
      <c r="B3358" s="8" t="s">
        <v>7929</v>
      </c>
      <c r="H3358" s="8" t="s">
        <v>7930</v>
      </c>
      <c r="I3358" s="8" t="s">
        <v>7930</v>
      </c>
      <c r="J3358" s="70">
        <v>50</v>
      </c>
      <c r="K3358" s="5" t="s">
        <v>292</v>
      </c>
      <c r="L3358" s="5" t="s">
        <v>7619</v>
      </c>
      <c r="M3358" s="5">
        <v>40</v>
      </c>
      <c r="N3358" s="5" t="s">
        <v>3989</v>
      </c>
    </row>
    <row r="3359" spans="1:14" x14ac:dyDescent="0.2">
      <c r="A3359" s="5"/>
      <c r="B3359" s="8" t="s">
        <v>7931</v>
      </c>
      <c r="H3359" s="8" t="s">
        <v>7932</v>
      </c>
      <c r="I3359" s="8" t="s">
        <v>7932</v>
      </c>
      <c r="J3359" s="70">
        <v>1</v>
      </c>
      <c r="K3359" s="5" t="s">
        <v>292</v>
      </c>
      <c r="L3359" s="5" t="s">
        <v>7619</v>
      </c>
      <c r="M3359" s="5">
        <v>40</v>
      </c>
    </row>
    <row r="3360" spans="1:14" x14ac:dyDescent="0.2">
      <c r="A3360" s="5"/>
      <c r="B3360" s="8" t="s">
        <v>7933</v>
      </c>
      <c r="H3360" s="8" t="s">
        <v>7934</v>
      </c>
      <c r="I3360" s="8" t="s">
        <v>7934</v>
      </c>
      <c r="J3360" s="70">
        <v>1</v>
      </c>
      <c r="K3360" s="5" t="s">
        <v>292</v>
      </c>
      <c r="L3360" s="5" t="s">
        <v>7619</v>
      </c>
      <c r="M3360" s="5">
        <v>40</v>
      </c>
    </row>
    <row r="3361" spans="1:21" x14ac:dyDescent="0.2">
      <c r="A3361" s="5">
        <v>272</v>
      </c>
      <c r="B3361" s="8" t="s">
        <v>7935</v>
      </c>
      <c r="H3361" s="8" t="s">
        <v>7936</v>
      </c>
      <c r="I3361" s="8" t="s">
        <v>7936</v>
      </c>
      <c r="J3361" s="70">
        <v>5</v>
      </c>
      <c r="K3361" s="5" t="s">
        <v>292</v>
      </c>
      <c r="L3361" s="5" t="s">
        <v>7619</v>
      </c>
      <c r="M3361" s="5">
        <v>40</v>
      </c>
      <c r="N3361" s="5" t="s">
        <v>7937</v>
      </c>
      <c r="O3361" s="5" t="s">
        <v>520</v>
      </c>
      <c r="Q3361" s="5" t="s">
        <v>7938</v>
      </c>
    </row>
    <row r="3362" spans="1:21" x14ac:dyDescent="0.2">
      <c r="A3362" s="5">
        <v>275</v>
      </c>
      <c r="B3362" s="8" t="s">
        <v>7939</v>
      </c>
      <c r="H3362" s="8" t="s">
        <v>7936</v>
      </c>
      <c r="I3362" s="8" t="s">
        <v>7936</v>
      </c>
      <c r="J3362" s="70">
        <v>16</v>
      </c>
      <c r="K3362" s="5" t="s">
        <v>292</v>
      </c>
      <c r="L3362" s="5" t="s">
        <v>7619</v>
      </c>
      <c r="M3362" s="5">
        <v>40</v>
      </c>
      <c r="N3362" s="5" t="s">
        <v>7937</v>
      </c>
      <c r="O3362" s="5" t="s">
        <v>520</v>
      </c>
      <c r="Q3362" s="5" t="s">
        <v>7940</v>
      </c>
    </row>
    <row r="3363" spans="1:21" x14ac:dyDescent="0.2">
      <c r="A3363" s="5">
        <v>276</v>
      </c>
      <c r="B3363" s="8" t="s">
        <v>7941</v>
      </c>
      <c r="H3363" s="8" t="s">
        <v>7942</v>
      </c>
      <c r="I3363" s="8" t="s">
        <v>7942</v>
      </c>
      <c r="J3363" s="5">
        <v>12</v>
      </c>
      <c r="K3363" s="5" t="s">
        <v>292</v>
      </c>
      <c r="L3363" s="5" t="s">
        <v>7619</v>
      </c>
      <c r="M3363" s="5">
        <v>40</v>
      </c>
      <c r="N3363" s="5" t="s">
        <v>7937</v>
      </c>
      <c r="O3363" s="5" t="s">
        <v>520</v>
      </c>
      <c r="Q3363" s="5" t="s">
        <v>7940</v>
      </c>
    </row>
    <row r="3364" spans="1:21" x14ac:dyDescent="0.2">
      <c r="A3364" s="5">
        <v>277</v>
      </c>
      <c r="B3364" s="8" t="s">
        <v>7943</v>
      </c>
      <c r="H3364" s="8" t="s">
        <v>7936</v>
      </c>
      <c r="I3364" s="8" t="s">
        <v>7936</v>
      </c>
      <c r="J3364" s="5">
        <v>37</v>
      </c>
      <c r="K3364" s="5" t="s">
        <v>292</v>
      </c>
      <c r="L3364" s="5" t="s">
        <v>7619</v>
      </c>
      <c r="M3364" s="5">
        <v>40</v>
      </c>
      <c r="N3364" s="5" t="s">
        <v>7937</v>
      </c>
      <c r="O3364" s="5" t="s">
        <v>520</v>
      </c>
      <c r="Q3364" s="5" t="s">
        <v>7944</v>
      </c>
    </row>
    <row r="3365" spans="1:21" x14ac:dyDescent="0.2">
      <c r="A3365" s="5">
        <v>279</v>
      </c>
      <c r="B3365" s="8" t="s">
        <v>7945</v>
      </c>
      <c r="H3365" s="8" t="s">
        <v>7936</v>
      </c>
      <c r="I3365" s="8" t="s">
        <v>7946</v>
      </c>
      <c r="J3365" s="5">
        <v>73</v>
      </c>
      <c r="K3365" s="5" t="s">
        <v>292</v>
      </c>
      <c r="L3365" s="5" t="s">
        <v>7619</v>
      </c>
      <c r="M3365" s="5">
        <v>40</v>
      </c>
      <c r="N3365" s="5" t="s">
        <v>7937</v>
      </c>
      <c r="O3365" s="5" t="s">
        <v>520</v>
      </c>
      <c r="Q3365" s="5" t="s">
        <v>7947</v>
      </c>
    </row>
    <row r="3366" spans="1:21" x14ac:dyDescent="0.2">
      <c r="A3366" s="5"/>
      <c r="B3366" s="8" t="s">
        <v>7948</v>
      </c>
      <c r="H3366" s="8" t="s">
        <v>7949</v>
      </c>
      <c r="I3366" s="8" t="s">
        <v>7949</v>
      </c>
      <c r="J3366" s="5">
        <v>1</v>
      </c>
      <c r="K3366" s="5" t="s">
        <v>292</v>
      </c>
      <c r="L3366" s="5" t="s">
        <v>7619</v>
      </c>
      <c r="M3366" s="5">
        <v>40</v>
      </c>
      <c r="N3366" s="5" t="s">
        <v>7950</v>
      </c>
      <c r="O3366" s="5" t="s">
        <v>520</v>
      </c>
    </row>
    <row r="3367" spans="1:21" x14ac:dyDescent="0.2">
      <c r="A3367" s="5">
        <v>2</v>
      </c>
      <c r="B3367" s="8" t="s">
        <v>7951</v>
      </c>
      <c r="H3367" s="8" t="s">
        <v>7952</v>
      </c>
      <c r="I3367" s="8" t="s">
        <v>7953</v>
      </c>
      <c r="J3367" s="5">
        <f>1+3+1</f>
        <v>5</v>
      </c>
      <c r="K3367" s="5" t="s">
        <v>292</v>
      </c>
      <c r="L3367" s="5" t="s">
        <v>7619</v>
      </c>
      <c r="M3367" s="5">
        <v>41</v>
      </c>
      <c r="N3367" s="5" t="s">
        <v>7954</v>
      </c>
      <c r="O3367" s="5" t="s">
        <v>520</v>
      </c>
      <c r="Q3367" s="5" t="s">
        <v>7955</v>
      </c>
    </row>
    <row r="3368" spans="1:21" x14ac:dyDescent="0.2">
      <c r="A3368" s="5"/>
      <c r="B3368" s="8" t="s">
        <v>7956</v>
      </c>
      <c r="H3368" s="8" t="s">
        <v>7957</v>
      </c>
      <c r="I3368" s="8" t="s">
        <v>7957</v>
      </c>
      <c r="J3368" s="5">
        <v>1</v>
      </c>
      <c r="K3368" s="5" t="s">
        <v>292</v>
      </c>
      <c r="L3368" s="5" t="s">
        <v>7619</v>
      </c>
      <c r="M3368" s="5">
        <v>42</v>
      </c>
      <c r="N3368" s="5" t="s">
        <v>7958</v>
      </c>
      <c r="O3368" s="5" t="s">
        <v>520</v>
      </c>
      <c r="Q3368" s="5" t="s">
        <v>7959</v>
      </c>
      <c r="U3368" t="s">
        <v>321</v>
      </c>
    </row>
    <row r="3369" spans="1:21" x14ac:dyDescent="0.2">
      <c r="A3369" s="5"/>
      <c r="B3369" s="8" t="s">
        <v>7960</v>
      </c>
      <c r="H3369" s="8" t="s">
        <v>7961</v>
      </c>
      <c r="I3369" s="8" t="s">
        <v>7961</v>
      </c>
      <c r="J3369" s="5">
        <f>20+2</f>
        <v>22</v>
      </c>
      <c r="K3369" s="5" t="s">
        <v>292</v>
      </c>
      <c r="L3369" s="5" t="s">
        <v>7619</v>
      </c>
      <c r="M3369" s="5">
        <v>42</v>
      </c>
      <c r="N3369" s="5" t="s">
        <v>7958</v>
      </c>
      <c r="O3369" s="5" t="s">
        <v>520</v>
      </c>
    </row>
    <row r="3370" spans="1:21" x14ac:dyDescent="0.2">
      <c r="A3370" s="5"/>
      <c r="B3370" s="8" t="s">
        <v>7962</v>
      </c>
      <c r="H3370" s="8" t="s">
        <v>7963</v>
      </c>
      <c r="I3370" s="8" t="s">
        <v>7963</v>
      </c>
      <c r="J3370" s="5">
        <f>1+1</f>
        <v>2</v>
      </c>
      <c r="K3370" s="5" t="s">
        <v>292</v>
      </c>
      <c r="L3370" s="5" t="s">
        <v>7619</v>
      </c>
      <c r="M3370" s="5">
        <v>42</v>
      </c>
      <c r="N3370" s="5" t="s">
        <v>7958</v>
      </c>
      <c r="O3370" s="5" t="s">
        <v>520</v>
      </c>
    </row>
    <row r="3371" spans="1:21" x14ac:dyDescent="0.2">
      <c r="A3371" s="5">
        <v>339</v>
      </c>
      <c r="B3371" s="8" t="s">
        <v>7964</v>
      </c>
      <c r="H3371" s="8" t="s">
        <v>7965</v>
      </c>
      <c r="I3371" s="8" t="s">
        <v>7965</v>
      </c>
      <c r="J3371" s="5">
        <f>5+3</f>
        <v>8</v>
      </c>
      <c r="K3371" s="5" t="s">
        <v>292</v>
      </c>
      <c r="L3371" s="5" t="s">
        <v>7619</v>
      </c>
      <c r="M3371" s="5">
        <v>42</v>
      </c>
      <c r="N3371" s="5" t="s">
        <v>7958</v>
      </c>
      <c r="O3371" s="5" t="s">
        <v>520</v>
      </c>
      <c r="Q3371" s="5" t="s">
        <v>7966</v>
      </c>
    </row>
    <row r="3372" spans="1:21" x14ac:dyDescent="0.2">
      <c r="A3372" s="5"/>
      <c r="B3372" s="8" t="s">
        <v>7967</v>
      </c>
      <c r="I3372" s="8" t="s">
        <v>7968</v>
      </c>
      <c r="J3372" s="5">
        <v>1</v>
      </c>
      <c r="K3372" s="5" t="s">
        <v>292</v>
      </c>
      <c r="L3372" s="5" t="s">
        <v>7619</v>
      </c>
      <c r="M3372" s="5">
        <v>42</v>
      </c>
    </row>
    <row r="3373" spans="1:21" x14ac:dyDescent="0.2">
      <c r="A3373" s="5"/>
      <c r="B3373" s="8" t="s">
        <v>7969</v>
      </c>
      <c r="H3373" s="8" t="s">
        <v>7970</v>
      </c>
      <c r="I3373" s="8" t="s">
        <v>7970</v>
      </c>
      <c r="J3373" s="5">
        <v>72</v>
      </c>
      <c r="K3373" s="5" t="s">
        <v>7322</v>
      </c>
      <c r="L3373" s="5" t="s">
        <v>7619</v>
      </c>
      <c r="M3373" s="5">
        <v>43</v>
      </c>
      <c r="U3373" t="s">
        <v>321</v>
      </c>
    </row>
    <row r="3374" spans="1:21" x14ac:dyDescent="0.2">
      <c r="A3374" s="5"/>
      <c r="B3374" s="8" t="s">
        <v>553</v>
      </c>
      <c r="H3374" s="8" t="s">
        <v>7971</v>
      </c>
      <c r="I3374" s="8" t="s">
        <v>7971</v>
      </c>
      <c r="J3374" s="5">
        <v>24</v>
      </c>
      <c r="K3374" s="5" t="s">
        <v>292</v>
      </c>
      <c r="L3374" s="5" t="s">
        <v>7619</v>
      </c>
      <c r="M3374" s="5">
        <v>45</v>
      </c>
      <c r="O3374" s="5" t="s">
        <v>789</v>
      </c>
      <c r="U3374" t="s">
        <v>288</v>
      </c>
    </row>
    <row r="3375" spans="1:21" x14ac:dyDescent="0.2">
      <c r="A3375" s="5"/>
      <c r="B3375" s="8" t="s">
        <v>7972</v>
      </c>
      <c r="H3375" s="8" t="s">
        <v>7973</v>
      </c>
      <c r="I3375" s="8" t="s">
        <v>7973</v>
      </c>
      <c r="J3375" s="5">
        <v>150</v>
      </c>
      <c r="K3375" s="5" t="s">
        <v>292</v>
      </c>
      <c r="L3375" s="5" t="s">
        <v>7619</v>
      </c>
      <c r="M3375" s="5">
        <v>45</v>
      </c>
      <c r="O3375" s="5" t="s">
        <v>520</v>
      </c>
      <c r="U3375" t="s">
        <v>321</v>
      </c>
    </row>
    <row r="3376" spans="1:21" x14ac:dyDescent="0.2">
      <c r="A3376" s="5"/>
      <c r="B3376" s="8" t="s">
        <v>7974</v>
      </c>
      <c r="H3376" s="8" t="s">
        <v>7936</v>
      </c>
      <c r="I3376" s="8" t="s">
        <v>7936</v>
      </c>
      <c r="J3376" s="5">
        <v>2</v>
      </c>
      <c r="K3376" s="5" t="s">
        <v>292</v>
      </c>
      <c r="L3376" s="5" t="s">
        <v>7619</v>
      </c>
      <c r="M3376" s="5">
        <v>45</v>
      </c>
      <c r="O3376" s="5" t="s">
        <v>520</v>
      </c>
    </row>
    <row r="3377" spans="1:21" x14ac:dyDescent="0.2">
      <c r="A3377" s="5">
        <v>283</v>
      </c>
      <c r="B3377" s="8" t="s">
        <v>7975</v>
      </c>
      <c r="H3377" s="8" t="s">
        <v>7976</v>
      </c>
      <c r="I3377" s="8" t="s">
        <v>7976</v>
      </c>
      <c r="J3377" s="5">
        <v>1</v>
      </c>
      <c r="K3377" s="5" t="s">
        <v>292</v>
      </c>
      <c r="L3377" s="5" t="s">
        <v>7619</v>
      </c>
      <c r="M3377" s="5">
        <v>45</v>
      </c>
      <c r="N3377" s="5" t="s">
        <v>3320</v>
      </c>
      <c r="O3377" s="5" t="s">
        <v>520</v>
      </c>
      <c r="Q3377" s="5" t="s">
        <v>7977</v>
      </c>
    </row>
    <row r="3378" spans="1:21" x14ac:dyDescent="0.2">
      <c r="A3378" s="5">
        <v>287</v>
      </c>
      <c r="B3378" s="8" t="s">
        <v>7978</v>
      </c>
      <c r="H3378" s="8" t="s">
        <v>7979</v>
      </c>
      <c r="I3378" s="8" t="s">
        <v>7979</v>
      </c>
      <c r="J3378" s="5">
        <f>4-2-2</f>
        <v>0</v>
      </c>
      <c r="K3378" s="5" t="s">
        <v>292</v>
      </c>
      <c r="L3378" s="5" t="s">
        <v>7619</v>
      </c>
      <c r="M3378" s="5">
        <v>45</v>
      </c>
      <c r="N3378" s="5" t="s">
        <v>3320</v>
      </c>
      <c r="O3378" s="5" t="s">
        <v>520</v>
      </c>
      <c r="Q3378" s="5" t="s">
        <v>7980</v>
      </c>
    </row>
    <row r="3379" spans="1:21" x14ac:dyDescent="0.2">
      <c r="A3379" s="5"/>
      <c r="B3379" s="8" t="s">
        <v>182</v>
      </c>
      <c r="H3379" s="8" t="s">
        <v>7981</v>
      </c>
      <c r="I3379" s="8" t="s">
        <v>7981</v>
      </c>
      <c r="J3379" s="5">
        <f>1+3-4</f>
        <v>0</v>
      </c>
      <c r="K3379" s="5" t="s">
        <v>292</v>
      </c>
      <c r="L3379" s="5" t="s">
        <v>7619</v>
      </c>
      <c r="M3379" s="5">
        <v>45</v>
      </c>
      <c r="N3379" s="5" t="s">
        <v>3320</v>
      </c>
      <c r="O3379" s="5" t="s">
        <v>520</v>
      </c>
    </row>
    <row r="3380" spans="1:21" x14ac:dyDescent="0.2">
      <c r="A3380" s="5"/>
      <c r="B3380" s="8" t="s">
        <v>7982</v>
      </c>
      <c r="H3380" s="8" t="s">
        <v>7983</v>
      </c>
      <c r="I3380" s="8" t="s">
        <v>7983</v>
      </c>
      <c r="J3380" s="5">
        <v>24</v>
      </c>
      <c r="K3380" s="5" t="s">
        <v>292</v>
      </c>
      <c r="L3380" s="5" t="s">
        <v>7619</v>
      </c>
      <c r="M3380" s="5">
        <v>45</v>
      </c>
      <c r="O3380" s="5" t="s">
        <v>520</v>
      </c>
      <c r="Q3380" s="5" t="s">
        <v>7984</v>
      </c>
      <c r="U3380" t="s">
        <v>321</v>
      </c>
    </row>
    <row r="3381" spans="1:21" x14ac:dyDescent="0.2">
      <c r="A3381" s="5"/>
      <c r="B3381" s="8" t="s">
        <v>7985</v>
      </c>
      <c r="H3381" s="8" t="s">
        <v>7986</v>
      </c>
      <c r="I3381" s="8" t="s">
        <v>7986</v>
      </c>
      <c r="J3381" s="5">
        <v>8</v>
      </c>
      <c r="K3381" s="5" t="s">
        <v>292</v>
      </c>
      <c r="L3381" s="5" t="s">
        <v>7619</v>
      </c>
      <c r="M3381" s="5">
        <v>45</v>
      </c>
      <c r="O3381" s="5" t="s">
        <v>520</v>
      </c>
      <c r="Q3381" s="5" t="s">
        <v>7987</v>
      </c>
      <c r="U3381" t="s">
        <v>321</v>
      </c>
    </row>
    <row r="3382" spans="1:21" x14ac:dyDescent="0.2">
      <c r="A3382" s="5"/>
      <c r="B3382" s="8" t="s">
        <v>7988</v>
      </c>
      <c r="H3382" s="8" t="s">
        <v>7989</v>
      </c>
      <c r="I3382" s="8" t="s">
        <v>7989</v>
      </c>
      <c r="J3382" s="5">
        <v>59</v>
      </c>
      <c r="K3382" s="5" t="s">
        <v>292</v>
      </c>
      <c r="L3382" s="5" t="s">
        <v>7619</v>
      </c>
      <c r="M3382" s="5">
        <v>45</v>
      </c>
      <c r="N3382" s="5" t="s">
        <v>7990</v>
      </c>
      <c r="O3382" s="5" t="s">
        <v>520</v>
      </c>
      <c r="Q3382" s="5" t="s">
        <v>7991</v>
      </c>
      <c r="U3382" t="s">
        <v>321</v>
      </c>
    </row>
    <row r="3383" spans="1:21" x14ac:dyDescent="0.2">
      <c r="A3383" s="5"/>
      <c r="B3383" s="8" t="s">
        <v>7992</v>
      </c>
      <c r="H3383" s="8" t="s">
        <v>7993</v>
      </c>
      <c r="I3383" s="8" t="s">
        <v>7993</v>
      </c>
      <c r="J3383" s="5">
        <v>277</v>
      </c>
      <c r="K3383" s="5" t="s">
        <v>292</v>
      </c>
      <c r="L3383" s="5" t="s">
        <v>7619</v>
      </c>
      <c r="M3383" s="5">
        <v>45</v>
      </c>
      <c r="N3383" s="5" t="s">
        <v>2649</v>
      </c>
    </row>
    <row r="3384" spans="1:21" x14ac:dyDescent="0.2">
      <c r="A3384" s="5"/>
      <c r="B3384" s="8" t="s">
        <v>7994</v>
      </c>
      <c r="H3384" s="8" t="s">
        <v>7995</v>
      </c>
      <c r="I3384" s="8" t="s">
        <v>7995</v>
      </c>
      <c r="J3384" s="5">
        <v>20</v>
      </c>
      <c r="K3384" s="5" t="s">
        <v>292</v>
      </c>
      <c r="L3384" s="5" t="s">
        <v>7619</v>
      </c>
      <c r="M3384" s="5">
        <v>45</v>
      </c>
      <c r="N3384" s="5" t="s">
        <v>849</v>
      </c>
    </row>
    <row r="3385" spans="1:21" x14ac:dyDescent="0.2">
      <c r="A3385" s="5">
        <v>272</v>
      </c>
      <c r="B3385" s="8" t="s">
        <v>7996</v>
      </c>
      <c r="H3385" s="8" t="s">
        <v>7997</v>
      </c>
      <c r="I3385" s="8" t="s">
        <v>7997</v>
      </c>
      <c r="J3385" s="5">
        <v>0</v>
      </c>
      <c r="K3385" s="5" t="s">
        <v>292</v>
      </c>
      <c r="L3385" s="5" t="s">
        <v>7619</v>
      </c>
      <c r="M3385" s="5">
        <v>45</v>
      </c>
      <c r="N3385" s="5" t="s">
        <v>3510</v>
      </c>
      <c r="O3385" s="5" t="s">
        <v>520</v>
      </c>
    </row>
    <row r="3386" spans="1:21" x14ac:dyDescent="0.2">
      <c r="A3386" s="5">
        <v>314</v>
      </c>
      <c r="B3386" s="8" t="s">
        <v>7998</v>
      </c>
      <c r="H3386" s="8" t="s">
        <v>7997</v>
      </c>
      <c r="I3386" s="8" t="s">
        <v>7997</v>
      </c>
      <c r="J3386" s="5">
        <v>0</v>
      </c>
      <c r="K3386" s="5" t="s">
        <v>292</v>
      </c>
      <c r="L3386" s="5" t="s">
        <v>7619</v>
      </c>
      <c r="M3386" s="5">
        <v>45</v>
      </c>
      <c r="N3386" s="5" t="s">
        <v>3510</v>
      </c>
      <c r="O3386" s="5" t="s">
        <v>520</v>
      </c>
    </row>
    <row r="3387" spans="1:21" x14ac:dyDescent="0.2">
      <c r="A3387" s="5"/>
      <c r="B3387" s="8" t="s">
        <v>7999</v>
      </c>
      <c r="H3387" s="8" t="s">
        <v>8000</v>
      </c>
      <c r="I3387" s="8" t="s">
        <v>8000</v>
      </c>
      <c r="J3387" s="5">
        <v>2</v>
      </c>
      <c r="K3387" s="5" t="s">
        <v>6619</v>
      </c>
      <c r="L3387" s="5" t="s">
        <v>7619</v>
      </c>
      <c r="M3387" s="5">
        <v>46</v>
      </c>
      <c r="N3387" s="5" t="s">
        <v>8001</v>
      </c>
    </row>
    <row r="3388" spans="1:21" x14ac:dyDescent="0.2">
      <c r="A3388" s="5">
        <v>755</v>
      </c>
      <c r="B3388" s="8" t="s">
        <v>8002</v>
      </c>
      <c r="H3388" s="8" t="s">
        <v>8003</v>
      </c>
      <c r="I3388" s="8" t="s">
        <v>8003</v>
      </c>
      <c r="J3388" s="5">
        <f>32-10</f>
        <v>22</v>
      </c>
      <c r="K3388" s="5" t="s">
        <v>292</v>
      </c>
      <c r="L3388" s="5" t="s">
        <v>7619</v>
      </c>
      <c r="M3388" s="5">
        <v>47</v>
      </c>
      <c r="N3388" s="5" t="s">
        <v>2613</v>
      </c>
      <c r="O3388" s="5" t="s">
        <v>789</v>
      </c>
      <c r="Q3388" s="10" t="s">
        <v>553</v>
      </c>
      <c r="S3388" s="5" t="s">
        <v>328</v>
      </c>
    </row>
    <row r="3389" spans="1:21" x14ac:dyDescent="0.2">
      <c r="A3389" s="5"/>
      <c r="B3389" s="8" t="s">
        <v>8004</v>
      </c>
      <c r="H3389" s="8" t="s">
        <v>8005</v>
      </c>
      <c r="I3389" s="8" t="s">
        <v>8005</v>
      </c>
      <c r="J3389" s="5">
        <v>5</v>
      </c>
      <c r="K3389" s="5" t="s">
        <v>292</v>
      </c>
      <c r="L3389" s="5" t="s">
        <v>7619</v>
      </c>
      <c r="M3389" s="5">
        <v>47</v>
      </c>
      <c r="N3389" s="5" t="s">
        <v>654</v>
      </c>
      <c r="O3389" s="5" t="s">
        <v>789</v>
      </c>
      <c r="Q3389" s="10"/>
      <c r="U3389" t="s">
        <v>321</v>
      </c>
    </row>
    <row r="3390" spans="1:21" x14ac:dyDescent="0.2">
      <c r="A3390" s="5"/>
      <c r="B3390" s="8" t="s">
        <v>8006</v>
      </c>
      <c r="H3390" s="8" t="s">
        <v>8007</v>
      </c>
      <c r="I3390" s="8" t="s">
        <v>8007</v>
      </c>
      <c r="J3390" s="5">
        <v>128</v>
      </c>
      <c r="K3390" s="5" t="s">
        <v>292</v>
      </c>
      <c r="L3390" s="5" t="s">
        <v>7619</v>
      </c>
      <c r="M3390" s="5">
        <v>48</v>
      </c>
      <c r="N3390" s="5" t="s">
        <v>3356</v>
      </c>
      <c r="O3390" s="5" t="s">
        <v>520</v>
      </c>
      <c r="Q3390" s="5" t="s">
        <v>8008</v>
      </c>
      <c r="U3390" t="s">
        <v>321</v>
      </c>
    </row>
    <row r="3391" spans="1:21" x14ac:dyDescent="0.2">
      <c r="A3391" s="5"/>
      <c r="B3391" s="8" t="s">
        <v>8009</v>
      </c>
      <c r="H3391" s="8" t="s">
        <v>8007</v>
      </c>
      <c r="I3391" s="8" t="s">
        <v>8010</v>
      </c>
      <c r="J3391" s="5">
        <v>7</v>
      </c>
      <c r="K3391" s="5" t="s">
        <v>292</v>
      </c>
      <c r="L3391" s="5" t="s">
        <v>7619</v>
      </c>
      <c r="M3391" s="5">
        <v>48</v>
      </c>
      <c r="N3391" s="5" t="s">
        <v>849</v>
      </c>
      <c r="O3391" s="5" t="s">
        <v>789</v>
      </c>
    </row>
    <row r="3392" spans="1:21" x14ac:dyDescent="0.2">
      <c r="A3392" s="5"/>
      <c r="B3392" s="8" t="s">
        <v>8011</v>
      </c>
      <c r="H3392" s="8" t="s">
        <v>8012</v>
      </c>
      <c r="I3392" s="8" t="s">
        <v>8012</v>
      </c>
      <c r="J3392" s="5">
        <v>3</v>
      </c>
      <c r="K3392" s="5" t="s">
        <v>292</v>
      </c>
      <c r="L3392" s="5" t="s">
        <v>7619</v>
      </c>
      <c r="M3392" s="5">
        <v>48</v>
      </c>
      <c r="N3392" s="5" t="s">
        <v>654</v>
      </c>
      <c r="O3392" s="5" t="s">
        <v>789</v>
      </c>
      <c r="Q3392" s="5" t="s">
        <v>8013</v>
      </c>
      <c r="U3392" t="s">
        <v>321</v>
      </c>
    </row>
    <row r="3393" spans="1:21" x14ac:dyDescent="0.2">
      <c r="A3393" s="5"/>
      <c r="B3393" s="8" t="s">
        <v>8014</v>
      </c>
      <c r="H3393" s="8" t="s">
        <v>8015</v>
      </c>
      <c r="I3393" s="8" t="s">
        <v>8015</v>
      </c>
      <c r="J3393" s="5">
        <v>8</v>
      </c>
      <c r="K3393" s="5" t="s">
        <v>292</v>
      </c>
      <c r="L3393" s="5" t="s">
        <v>7619</v>
      </c>
      <c r="M3393" s="5">
        <v>48</v>
      </c>
      <c r="N3393" s="5" t="s">
        <v>8016</v>
      </c>
      <c r="O3393" s="5" t="s">
        <v>789</v>
      </c>
      <c r="Q3393" s="5" t="s">
        <v>8017</v>
      </c>
      <c r="U3393" t="s">
        <v>321</v>
      </c>
    </row>
    <row r="3394" spans="1:21" x14ac:dyDescent="0.2">
      <c r="A3394" s="5"/>
      <c r="B3394" s="8" t="s">
        <v>8018</v>
      </c>
      <c r="H3394" s="8" t="s">
        <v>8019</v>
      </c>
      <c r="I3394" s="8" t="s">
        <v>8019</v>
      </c>
      <c r="J3394" s="5">
        <v>5</v>
      </c>
      <c r="K3394" s="5" t="s">
        <v>292</v>
      </c>
      <c r="L3394" s="5" t="s">
        <v>7619</v>
      </c>
      <c r="M3394" s="5">
        <v>48</v>
      </c>
      <c r="N3394" s="5" t="s">
        <v>5834</v>
      </c>
      <c r="O3394" s="5" t="s">
        <v>520</v>
      </c>
      <c r="Q3394" s="5" t="s">
        <v>8020</v>
      </c>
      <c r="U3394" t="s">
        <v>321</v>
      </c>
    </row>
    <row r="3395" spans="1:21" x14ac:dyDescent="0.2">
      <c r="A3395" s="5">
        <v>248</v>
      </c>
      <c r="B3395" s="8" t="s">
        <v>8021</v>
      </c>
      <c r="H3395" s="8" t="s">
        <v>8022</v>
      </c>
      <c r="I3395" s="8" t="s">
        <v>8022</v>
      </c>
      <c r="J3395" s="5">
        <v>9</v>
      </c>
      <c r="K3395" s="5" t="s">
        <v>292</v>
      </c>
      <c r="L3395" s="5" t="s">
        <v>7619</v>
      </c>
      <c r="M3395" s="5">
        <v>48</v>
      </c>
      <c r="N3395" s="5" t="s">
        <v>3356</v>
      </c>
      <c r="O3395" s="5" t="s">
        <v>520</v>
      </c>
      <c r="Q3395" s="5" t="s">
        <v>8023</v>
      </c>
    </row>
    <row r="3396" spans="1:21" x14ac:dyDescent="0.2">
      <c r="A3396" s="5">
        <v>276</v>
      </c>
      <c r="B3396" s="8" t="s">
        <v>8024</v>
      </c>
      <c r="H3396" s="8" t="s">
        <v>8025</v>
      </c>
      <c r="I3396" s="8" t="s">
        <v>8025</v>
      </c>
      <c r="J3396" s="5">
        <v>2</v>
      </c>
      <c r="K3396" s="5" t="s">
        <v>292</v>
      </c>
      <c r="L3396" s="5" t="s">
        <v>7619</v>
      </c>
      <c r="M3396" s="5">
        <v>48</v>
      </c>
      <c r="N3396" s="5" t="s">
        <v>5834</v>
      </c>
      <c r="O3396" s="5" t="s">
        <v>520</v>
      </c>
      <c r="Q3396" s="5" t="s">
        <v>2883</v>
      </c>
    </row>
    <row r="3397" spans="1:21" x14ac:dyDescent="0.2">
      <c r="A3397" s="5">
        <v>286</v>
      </c>
      <c r="B3397" s="8" t="s">
        <v>7688</v>
      </c>
      <c r="H3397" s="8" t="s">
        <v>7689</v>
      </c>
      <c r="I3397" s="8" t="s">
        <v>7689</v>
      </c>
      <c r="J3397" s="5">
        <v>0</v>
      </c>
      <c r="K3397" s="5" t="s">
        <v>292</v>
      </c>
      <c r="L3397" s="5" t="s">
        <v>7619</v>
      </c>
      <c r="M3397" s="5">
        <v>48</v>
      </c>
      <c r="N3397" s="5" t="s">
        <v>3628</v>
      </c>
      <c r="O3397" s="5" t="s">
        <v>520</v>
      </c>
      <c r="Q3397" s="5" t="s">
        <v>8026</v>
      </c>
    </row>
    <row r="3398" spans="1:21" x14ac:dyDescent="0.2">
      <c r="A3398" s="5">
        <v>288</v>
      </c>
      <c r="B3398" s="8" t="s">
        <v>8027</v>
      </c>
      <c r="H3398" s="8" t="s">
        <v>8028</v>
      </c>
      <c r="I3398" s="8" t="s">
        <v>8028</v>
      </c>
      <c r="J3398" s="5">
        <v>4</v>
      </c>
      <c r="K3398" s="5" t="s">
        <v>292</v>
      </c>
      <c r="L3398" s="5" t="s">
        <v>7619</v>
      </c>
      <c r="M3398" s="5">
        <v>48</v>
      </c>
      <c r="N3398" s="5" t="s">
        <v>654</v>
      </c>
      <c r="O3398" s="5" t="s">
        <v>266</v>
      </c>
      <c r="Q3398" s="5" t="s">
        <v>8029</v>
      </c>
    </row>
    <row r="3399" spans="1:21" x14ac:dyDescent="0.2">
      <c r="A3399" s="5">
        <v>282</v>
      </c>
      <c r="B3399" s="8" t="s">
        <v>8030</v>
      </c>
      <c r="H3399" s="8" t="s">
        <v>8031</v>
      </c>
      <c r="I3399" s="8" t="s">
        <v>8031</v>
      </c>
      <c r="J3399" s="5">
        <f>2</f>
        <v>2</v>
      </c>
      <c r="K3399" s="5" t="s">
        <v>292</v>
      </c>
      <c r="L3399" s="5" t="s">
        <v>7619</v>
      </c>
      <c r="M3399" s="5">
        <v>48</v>
      </c>
      <c r="N3399" s="5" t="s">
        <v>2872</v>
      </c>
      <c r="O3399" s="5" t="s">
        <v>520</v>
      </c>
      <c r="Q3399" s="5" t="s">
        <v>8032</v>
      </c>
    </row>
    <row r="3400" spans="1:21" x14ac:dyDescent="0.2">
      <c r="A3400" s="5"/>
      <c r="B3400" s="8" t="s">
        <v>8033</v>
      </c>
      <c r="H3400" s="8" t="s">
        <v>8034</v>
      </c>
      <c r="I3400" s="8" t="s">
        <v>8035</v>
      </c>
      <c r="J3400" s="5">
        <v>2</v>
      </c>
      <c r="K3400" s="5" t="s">
        <v>292</v>
      </c>
      <c r="L3400" s="5" t="s">
        <v>7619</v>
      </c>
      <c r="M3400" s="5">
        <v>49</v>
      </c>
    </row>
    <row r="3401" spans="1:21" x14ac:dyDescent="0.2">
      <c r="A3401" s="5"/>
      <c r="B3401" s="8" t="s">
        <v>8036</v>
      </c>
      <c r="H3401" s="8" t="s">
        <v>7722</v>
      </c>
      <c r="I3401" s="8" t="s">
        <v>7706</v>
      </c>
      <c r="J3401" s="5">
        <f>35-1-5-1-1-1</f>
        <v>26</v>
      </c>
      <c r="K3401" s="5" t="s">
        <v>292</v>
      </c>
      <c r="L3401" s="5" t="s">
        <v>7619</v>
      </c>
      <c r="M3401" s="5">
        <v>51</v>
      </c>
      <c r="N3401" s="5" t="s">
        <v>2289</v>
      </c>
      <c r="O3401" s="5" t="s">
        <v>266</v>
      </c>
    </row>
    <row r="3402" spans="1:21" x14ac:dyDescent="0.2">
      <c r="A3402" s="5"/>
      <c r="B3402" s="8" t="s">
        <v>8037</v>
      </c>
      <c r="H3402" s="8" t="s">
        <v>7706</v>
      </c>
      <c r="I3402" s="8" t="s">
        <v>8038</v>
      </c>
      <c r="J3402" s="5">
        <v>1</v>
      </c>
      <c r="K3402" s="5" t="s">
        <v>292</v>
      </c>
      <c r="L3402" s="5" t="s">
        <v>7619</v>
      </c>
      <c r="M3402" s="5">
        <v>51</v>
      </c>
      <c r="N3402" s="5" t="s">
        <v>2289</v>
      </c>
    </row>
    <row r="3403" spans="1:21" x14ac:dyDescent="0.2">
      <c r="A3403" s="5"/>
      <c r="B3403" s="8" t="s">
        <v>8039</v>
      </c>
      <c r="H3403" s="8" t="s">
        <v>8040</v>
      </c>
      <c r="I3403" s="8" t="s">
        <v>8040</v>
      </c>
      <c r="J3403" s="5">
        <f>1-1</f>
        <v>0</v>
      </c>
      <c r="K3403" s="5" t="s">
        <v>6996</v>
      </c>
      <c r="L3403" s="5" t="s">
        <v>7619</v>
      </c>
      <c r="M3403" s="5">
        <v>52</v>
      </c>
      <c r="N3403" s="5" t="s">
        <v>51</v>
      </c>
      <c r="Q3403" s="5" t="s">
        <v>8041</v>
      </c>
      <c r="U3403" t="s">
        <v>321</v>
      </c>
    </row>
    <row r="3404" spans="1:21" x14ac:dyDescent="0.2">
      <c r="A3404" s="5"/>
      <c r="B3404" s="8" t="s">
        <v>8042</v>
      </c>
      <c r="H3404" s="8" t="s">
        <v>8043</v>
      </c>
      <c r="I3404" s="8" t="s">
        <v>8044</v>
      </c>
      <c r="J3404" s="5">
        <f>2+3-2</f>
        <v>3</v>
      </c>
      <c r="K3404" s="5" t="s">
        <v>6996</v>
      </c>
      <c r="L3404" s="5" t="s">
        <v>7619</v>
      </c>
      <c r="M3404" s="5">
        <v>52</v>
      </c>
      <c r="N3404" s="5" t="s">
        <v>51</v>
      </c>
      <c r="Q3404" s="5" t="s">
        <v>8045</v>
      </c>
      <c r="U3404" t="s">
        <v>321</v>
      </c>
    </row>
    <row r="3405" spans="1:21" x14ac:dyDescent="0.2">
      <c r="A3405" s="5"/>
      <c r="B3405" s="8" t="s">
        <v>8046</v>
      </c>
      <c r="H3405" s="8" t="s">
        <v>8047</v>
      </c>
      <c r="I3405" s="8" t="s">
        <v>8044</v>
      </c>
      <c r="J3405" s="5">
        <f>6-1-3-1-1</f>
        <v>0</v>
      </c>
      <c r="K3405" s="5" t="s">
        <v>6996</v>
      </c>
      <c r="L3405" s="5" t="s">
        <v>7619</v>
      </c>
      <c r="M3405" s="5">
        <v>52</v>
      </c>
      <c r="N3405" s="5" t="s">
        <v>51</v>
      </c>
    </row>
    <row r="3406" spans="1:21" x14ac:dyDescent="0.2">
      <c r="A3406" s="5">
        <v>285</v>
      </c>
      <c r="B3406" s="8" t="s">
        <v>8048</v>
      </c>
      <c r="H3406" s="8" t="s">
        <v>8049</v>
      </c>
      <c r="I3406" s="8" t="s">
        <v>8049</v>
      </c>
      <c r="J3406" s="5">
        <v>4.7</v>
      </c>
      <c r="K3406" s="5" t="s">
        <v>292</v>
      </c>
      <c r="L3406" s="5" t="s">
        <v>7619</v>
      </c>
      <c r="M3406" s="5">
        <v>54</v>
      </c>
      <c r="N3406" s="5" t="s">
        <v>654</v>
      </c>
      <c r="O3406" s="5" t="s">
        <v>520</v>
      </c>
      <c r="Q3406" s="5" t="s">
        <v>8050</v>
      </c>
    </row>
    <row r="3407" spans="1:21" x14ac:dyDescent="0.2">
      <c r="A3407" s="5">
        <v>286</v>
      </c>
      <c r="B3407" s="8" t="s">
        <v>8051</v>
      </c>
      <c r="H3407" s="8" t="s">
        <v>8052</v>
      </c>
      <c r="I3407" s="8" t="s">
        <v>8052</v>
      </c>
      <c r="J3407" s="5">
        <v>284</v>
      </c>
      <c r="K3407" s="5" t="s">
        <v>292</v>
      </c>
      <c r="L3407" s="5" t="s">
        <v>7619</v>
      </c>
      <c r="M3407" s="5">
        <v>54</v>
      </c>
      <c r="N3407" s="5" t="s">
        <v>8053</v>
      </c>
      <c r="O3407" s="5" t="s">
        <v>520</v>
      </c>
      <c r="Q3407" s="5" t="s">
        <v>8054</v>
      </c>
    </row>
    <row r="3408" spans="1:21" x14ac:dyDescent="0.2">
      <c r="A3408" s="5">
        <v>288</v>
      </c>
      <c r="B3408" s="8" t="s">
        <v>8055</v>
      </c>
      <c r="H3408" s="8" t="s">
        <v>8056</v>
      </c>
      <c r="I3408" s="8" t="s">
        <v>8056</v>
      </c>
      <c r="J3408" s="5">
        <v>10</v>
      </c>
      <c r="K3408" s="5" t="s">
        <v>8057</v>
      </c>
      <c r="L3408" s="5" t="s">
        <v>7619</v>
      </c>
      <c r="M3408" s="5">
        <v>54</v>
      </c>
      <c r="N3408" s="5" t="s">
        <v>8058</v>
      </c>
      <c r="O3408" s="5" t="s">
        <v>266</v>
      </c>
      <c r="Q3408" s="5" t="s">
        <v>8059</v>
      </c>
    </row>
    <row r="3409" spans="1:17" x14ac:dyDescent="0.2">
      <c r="A3409" s="5"/>
      <c r="B3409" s="8">
        <v>4313</v>
      </c>
      <c r="I3409" s="8" t="s">
        <v>8060</v>
      </c>
      <c r="J3409" s="5">
        <f>1</f>
        <v>1</v>
      </c>
      <c r="K3409" s="5" t="s">
        <v>21</v>
      </c>
      <c r="L3409" s="5" t="s">
        <v>7619</v>
      </c>
      <c r="M3409" s="5">
        <v>54</v>
      </c>
    </row>
    <row r="3410" spans="1:17" x14ac:dyDescent="0.2">
      <c r="A3410" s="5"/>
      <c r="B3410" s="8" t="s">
        <v>8061</v>
      </c>
      <c r="H3410" s="8" t="s">
        <v>8062</v>
      </c>
      <c r="I3410" s="8" t="s">
        <v>8062</v>
      </c>
      <c r="J3410" s="5">
        <v>27</v>
      </c>
      <c r="K3410" s="5" t="s">
        <v>292</v>
      </c>
      <c r="L3410" s="5" t="s">
        <v>8063</v>
      </c>
      <c r="M3410" s="5">
        <v>1</v>
      </c>
      <c r="N3410" s="5" t="s">
        <v>2289</v>
      </c>
    </row>
    <row r="3411" spans="1:17" x14ac:dyDescent="0.2">
      <c r="A3411" s="5"/>
      <c r="B3411" s="8" t="s">
        <v>8064</v>
      </c>
      <c r="H3411" s="8" t="s">
        <v>8065</v>
      </c>
      <c r="I3411" s="8" t="s">
        <v>8065</v>
      </c>
      <c r="J3411" s="5">
        <f>1-1</f>
        <v>0</v>
      </c>
      <c r="K3411" s="5" t="s">
        <v>292</v>
      </c>
      <c r="L3411" s="5" t="s">
        <v>8063</v>
      </c>
      <c r="M3411" s="5">
        <v>1</v>
      </c>
      <c r="N3411" s="5" t="s">
        <v>2289</v>
      </c>
    </row>
    <row r="3412" spans="1:17" x14ac:dyDescent="0.2">
      <c r="A3412" s="5"/>
      <c r="B3412" s="8" t="s">
        <v>8066</v>
      </c>
      <c r="H3412" s="8" t="s">
        <v>8067</v>
      </c>
      <c r="I3412" s="8" t="s">
        <v>8067</v>
      </c>
      <c r="J3412" s="5">
        <v>2</v>
      </c>
      <c r="K3412" s="5" t="s">
        <v>292</v>
      </c>
      <c r="L3412" s="5" t="s">
        <v>8063</v>
      </c>
      <c r="M3412" s="5">
        <v>1</v>
      </c>
      <c r="N3412" s="5" t="s">
        <v>2289</v>
      </c>
    </row>
    <row r="3413" spans="1:17" x14ac:dyDescent="0.2">
      <c r="A3413" s="5"/>
      <c r="B3413" s="8" t="s">
        <v>8068</v>
      </c>
      <c r="H3413" s="8" t="s">
        <v>8069</v>
      </c>
      <c r="I3413" s="8" t="s">
        <v>8069</v>
      </c>
      <c r="J3413" s="5">
        <v>1</v>
      </c>
      <c r="K3413" s="5" t="s">
        <v>292</v>
      </c>
      <c r="L3413" s="5" t="s">
        <v>8063</v>
      </c>
      <c r="M3413" s="5">
        <v>1</v>
      </c>
      <c r="N3413" s="5" t="s">
        <v>2289</v>
      </c>
    </row>
    <row r="3414" spans="1:17" x14ac:dyDescent="0.2">
      <c r="A3414" s="5"/>
      <c r="B3414" s="8" t="s">
        <v>8070</v>
      </c>
      <c r="H3414" s="8" t="s">
        <v>8071</v>
      </c>
      <c r="I3414" s="8" t="s">
        <v>8071</v>
      </c>
      <c r="J3414" s="5">
        <f>2+11</f>
        <v>13</v>
      </c>
      <c r="K3414" s="5" t="s">
        <v>292</v>
      </c>
      <c r="L3414" s="5" t="s">
        <v>8063</v>
      </c>
      <c r="M3414" s="5">
        <v>2</v>
      </c>
      <c r="N3414" s="5" t="s">
        <v>2289</v>
      </c>
    </row>
    <row r="3415" spans="1:17" x14ac:dyDescent="0.2">
      <c r="A3415" s="5"/>
      <c r="B3415" s="8" t="s">
        <v>8072</v>
      </c>
      <c r="H3415" s="8" t="s">
        <v>8073</v>
      </c>
      <c r="I3415" s="8" t="s">
        <v>8073</v>
      </c>
      <c r="J3415" s="5">
        <v>19</v>
      </c>
      <c r="K3415" s="5" t="s">
        <v>292</v>
      </c>
      <c r="L3415" s="5" t="s">
        <v>8063</v>
      </c>
      <c r="M3415" s="5" t="s">
        <v>8074</v>
      </c>
      <c r="N3415" s="5" t="s">
        <v>8073</v>
      </c>
      <c r="Q3415" s="10"/>
    </row>
    <row r="3416" spans="1:17" x14ac:dyDescent="0.2">
      <c r="A3416" s="5"/>
      <c r="B3416" s="8" t="s">
        <v>8075</v>
      </c>
      <c r="H3416" s="8" t="s">
        <v>8076</v>
      </c>
      <c r="I3416" s="8" t="s">
        <v>8076</v>
      </c>
      <c r="J3416" s="5">
        <v>24</v>
      </c>
      <c r="K3416" s="5" t="s">
        <v>292</v>
      </c>
      <c r="L3416" s="5" t="s">
        <v>8063</v>
      </c>
      <c r="M3416" s="5">
        <v>7</v>
      </c>
      <c r="N3416" s="5" t="s">
        <v>8077</v>
      </c>
      <c r="Q3416" s="10"/>
    </row>
    <row r="3417" spans="1:17" x14ac:dyDescent="0.2">
      <c r="A3417" s="5"/>
      <c r="B3417" s="8" t="s">
        <v>8078</v>
      </c>
      <c r="H3417" s="8" t="s">
        <v>7776</v>
      </c>
      <c r="I3417" s="8" t="s">
        <v>7776</v>
      </c>
      <c r="J3417" s="5">
        <v>2</v>
      </c>
      <c r="K3417" s="5" t="s">
        <v>292</v>
      </c>
      <c r="L3417" s="5" t="s">
        <v>8063</v>
      </c>
      <c r="M3417" s="5">
        <v>7</v>
      </c>
      <c r="N3417" s="5" t="s">
        <v>998</v>
      </c>
      <c r="Q3417" s="10"/>
    </row>
    <row r="3418" spans="1:17" x14ac:dyDescent="0.2">
      <c r="A3418" s="5">
        <v>14</v>
      </c>
      <c r="B3418" s="8" t="s">
        <v>8079</v>
      </c>
      <c r="H3418" s="8" t="s">
        <v>8080</v>
      </c>
      <c r="I3418" s="8" t="s">
        <v>8080</v>
      </c>
      <c r="J3418" s="5">
        <v>2</v>
      </c>
      <c r="K3418" s="5" t="s">
        <v>292</v>
      </c>
      <c r="L3418" s="5" t="s">
        <v>8063</v>
      </c>
      <c r="M3418" s="5">
        <v>9</v>
      </c>
      <c r="N3418" s="5" t="s">
        <v>563</v>
      </c>
      <c r="O3418" s="5" t="s">
        <v>5626</v>
      </c>
      <c r="Q3418" s="5" t="s">
        <v>6886</v>
      </c>
    </row>
    <row r="3419" spans="1:17" x14ac:dyDescent="0.2">
      <c r="A3419" s="5">
        <v>13</v>
      </c>
      <c r="B3419" s="8" t="s">
        <v>8081</v>
      </c>
      <c r="H3419" s="8" t="s">
        <v>8082</v>
      </c>
      <c r="I3419" s="8" t="s">
        <v>8082</v>
      </c>
      <c r="J3419" s="5">
        <v>2</v>
      </c>
      <c r="K3419" s="5" t="s">
        <v>292</v>
      </c>
      <c r="L3419" s="5" t="s">
        <v>8063</v>
      </c>
      <c r="M3419" s="5">
        <v>10</v>
      </c>
      <c r="N3419" s="5" t="s">
        <v>4676</v>
      </c>
      <c r="O3419" s="5" t="s">
        <v>5626</v>
      </c>
      <c r="Q3419" s="5" t="s">
        <v>6886</v>
      </c>
    </row>
    <row r="3420" spans="1:17" x14ac:dyDescent="0.2">
      <c r="A3420" s="5"/>
      <c r="B3420" s="8" t="s">
        <v>8083</v>
      </c>
      <c r="H3420" s="8" t="s">
        <v>8084</v>
      </c>
      <c r="I3420" s="8" t="s">
        <v>8084</v>
      </c>
      <c r="J3420" s="5">
        <v>2</v>
      </c>
      <c r="K3420" s="5" t="s">
        <v>292</v>
      </c>
      <c r="L3420" s="5" t="s">
        <v>8063</v>
      </c>
      <c r="M3420" s="5">
        <v>11</v>
      </c>
      <c r="N3420" s="5" t="s">
        <v>2289</v>
      </c>
    </row>
    <row r="3421" spans="1:17" x14ac:dyDescent="0.2">
      <c r="A3421" s="5"/>
      <c r="B3421" s="8" t="s">
        <v>8085</v>
      </c>
      <c r="H3421" s="8" t="s">
        <v>8086</v>
      </c>
      <c r="I3421" s="8" t="s">
        <v>8086</v>
      </c>
      <c r="J3421" s="5">
        <v>4</v>
      </c>
      <c r="K3421" s="5" t="s">
        <v>292</v>
      </c>
      <c r="L3421" s="5" t="s">
        <v>8063</v>
      </c>
      <c r="M3421" s="5">
        <v>11</v>
      </c>
      <c r="N3421" s="5" t="s">
        <v>2289</v>
      </c>
    </row>
    <row r="3422" spans="1:17" x14ac:dyDescent="0.2">
      <c r="A3422" s="5"/>
      <c r="B3422" s="8" t="s">
        <v>8087</v>
      </c>
      <c r="H3422" s="8" t="s">
        <v>8088</v>
      </c>
      <c r="I3422" s="8" t="s">
        <v>8088</v>
      </c>
      <c r="J3422" s="5">
        <v>1</v>
      </c>
      <c r="K3422" s="5" t="s">
        <v>292</v>
      </c>
      <c r="L3422" s="5" t="s">
        <v>8063</v>
      </c>
      <c r="M3422" s="5">
        <v>11</v>
      </c>
      <c r="N3422" s="5" t="s">
        <v>2289</v>
      </c>
    </row>
    <row r="3423" spans="1:17" x14ac:dyDescent="0.2">
      <c r="A3423" s="5"/>
      <c r="B3423" s="8" t="s">
        <v>8089</v>
      </c>
      <c r="H3423" s="8" t="s">
        <v>8090</v>
      </c>
      <c r="I3423" s="8" t="s">
        <v>8090</v>
      </c>
      <c r="J3423" s="5">
        <v>1</v>
      </c>
      <c r="K3423" s="5" t="s">
        <v>292</v>
      </c>
      <c r="L3423" s="5" t="s">
        <v>8063</v>
      </c>
      <c r="M3423" s="5">
        <v>11</v>
      </c>
      <c r="N3423" s="5" t="s">
        <v>2289</v>
      </c>
    </row>
    <row r="3424" spans="1:17" x14ac:dyDescent="0.2">
      <c r="A3424" s="5"/>
      <c r="B3424" s="8" t="s">
        <v>8091</v>
      </c>
      <c r="H3424" s="8" t="s">
        <v>8092</v>
      </c>
      <c r="I3424" s="8" t="s">
        <v>8092</v>
      </c>
      <c r="J3424" s="5">
        <v>1</v>
      </c>
      <c r="K3424" s="5" t="s">
        <v>292</v>
      </c>
      <c r="L3424" s="5" t="s">
        <v>8063</v>
      </c>
      <c r="M3424" s="5">
        <v>11</v>
      </c>
      <c r="N3424" s="5" t="s">
        <v>2289</v>
      </c>
    </row>
    <row r="3425" spans="1:21" x14ac:dyDescent="0.2">
      <c r="A3425" s="5"/>
      <c r="B3425" s="8" t="s">
        <v>8093</v>
      </c>
      <c r="H3425" s="8" t="s">
        <v>8094</v>
      </c>
      <c r="I3425" s="8" t="s">
        <v>8094</v>
      </c>
      <c r="J3425" s="5">
        <v>1</v>
      </c>
      <c r="K3425" s="5" t="s">
        <v>292</v>
      </c>
      <c r="L3425" s="5" t="s">
        <v>8063</v>
      </c>
      <c r="M3425" s="5">
        <v>11</v>
      </c>
      <c r="N3425" s="5" t="s">
        <v>2289</v>
      </c>
    </row>
    <row r="3426" spans="1:21" x14ac:dyDescent="0.2">
      <c r="A3426" s="5"/>
      <c r="B3426" s="8" t="s">
        <v>8095</v>
      </c>
      <c r="H3426" s="8" t="s">
        <v>8096</v>
      </c>
      <c r="I3426" s="8" t="s">
        <v>8096</v>
      </c>
      <c r="J3426" s="5">
        <v>1</v>
      </c>
      <c r="K3426" s="5" t="s">
        <v>292</v>
      </c>
      <c r="L3426" s="5" t="s">
        <v>8063</v>
      </c>
      <c r="M3426" s="5">
        <v>12</v>
      </c>
      <c r="N3426" s="5" t="s">
        <v>8097</v>
      </c>
    </row>
    <row r="3427" spans="1:21" x14ac:dyDescent="0.2">
      <c r="A3427" s="5"/>
      <c r="B3427" s="8" t="s">
        <v>8098</v>
      </c>
      <c r="H3427" s="8" t="s">
        <v>8099</v>
      </c>
      <c r="I3427" s="8" t="s">
        <v>8099</v>
      </c>
      <c r="J3427" s="5">
        <v>2</v>
      </c>
      <c r="K3427" s="5" t="s">
        <v>6996</v>
      </c>
      <c r="L3427" s="5" t="s">
        <v>8063</v>
      </c>
      <c r="M3427" s="5">
        <v>13</v>
      </c>
      <c r="Q3427" s="5" t="s">
        <v>8100</v>
      </c>
      <c r="U3427" t="s">
        <v>321</v>
      </c>
    </row>
    <row r="3428" spans="1:21" x14ac:dyDescent="0.2">
      <c r="A3428" s="5"/>
      <c r="B3428" s="8" t="s">
        <v>8101</v>
      </c>
      <c r="H3428" s="8" t="s">
        <v>8102</v>
      </c>
      <c r="I3428" s="8" t="s">
        <v>8102</v>
      </c>
      <c r="J3428" s="5">
        <v>1</v>
      </c>
      <c r="K3428" s="5" t="s">
        <v>292</v>
      </c>
      <c r="L3428" s="5" t="s">
        <v>8063</v>
      </c>
      <c r="M3428" s="5">
        <v>13</v>
      </c>
      <c r="Q3428" s="5" t="s">
        <v>8103</v>
      </c>
      <c r="U3428" t="s">
        <v>321</v>
      </c>
    </row>
    <row r="3429" spans="1:21" x14ac:dyDescent="0.2">
      <c r="A3429" s="5"/>
      <c r="B3429" s="8" t="s">
        <v>8104</v>
      </c>
      <c r="H3429" s="8" t="s">
        <v>8105</v>
      </c>
      <c r="I3429" s="8" t="s">
        <v>8105</v>
      </c>
      <c r="J3429" s="5">
        <v>2</v>
      </c>
      <c r="K3429" s="5" t="s">
        <v>292</v>
      </c>
      <c r="L3429" s="5" t="s">
        <v>8063</v>
      </c>
      <c r="M3429" s="5">
        <v>14</v>
      </c>
    </row>
    <row r="3430" spans="1:21" x14ac:dyDescent="0.2">
      <c r="A3430" s="5"/>
      <c r="B3430" s="8" t="s">
        <v>180</v>
      </c>
      <c r="H3430" s="8" t="s">
        <v>8106</v>
      </c>
      <c r="I3430" s="8" t="s">
        <v>8106</v>
      </c>
      <c r="J3430" s="5">
        <v>17</v>
      </c>
      <c r="K3430" s="5" t="s">
        <v>292</v>
      </c>
      <c r="L3430" s="5" t="s">
        <v>8063</v>
      </c>
      <c r="M3430" s="5">
        <v>15</v>
      </c>
      <c r="N3430" s="5" t="s">
        <v>8107</v>
      </c>
      <c r="Q3430" s="5" t="s">
        <v>8108</v>
      </c>
    </row>
    <row r="3431" spans="1:21" x14ac:dyDescent="0.2">
      <c r="A3431" s="5"/>
      <c r="B3431" s="8" t="s">
        <v>8109</v>
      </c>
      <c r="H3431" s="8" t="s">
        <v>8110</v>
      </c>
      <c r="I3431" s="8" t="s">
        <v>8110</v>
      </c>
      <c r="J3431" s="5">
        <v>1</v>
      </c>
      <c r="K3431" s="5" t="s">
        <v>292</v>
      </c>
      <c r="L3431" s="5" t="s">
        <v>8063</v>
      </c>
      <c r="M3431" s="5">
        <v>16</v>
      </c>
    </row>
    <row r="3432" spans="1:21" x14ac:dyDescent="0.2">
      <c r="A3432" s="5"/>
      <c r="B3432" s="8" t="s">
        <v>8111</v>
      </c>
      <c r="H3432" s="8" t="s">
        <v>8112</v>
      </c>
      <c r="I3432" s="8" t="s">
        <v>8112</v>
      </c>
      <c r="J3432" s="5">
        <v>6</v>
      </c>
      <c r="K3432" s="5" t="s">
        <v>292</v>
      </c>
      <c r="L3432" s="5" t="s">
        <v>8063</v>
      </c>
      <c r="M3432" s="5">
        <v>16</v>
      </c>
      <c r="N3432" s="5" t="s">
        <v>43</v>
      </c>
    </row>
    <row r="3433" spans="1:21" x14ac:dyDescent="0.2">
      <c r="A3433" s="5"/>
      <c r="B3433" s="8" t="s">
        <v>553</v>
      </c>
      <c r="H3433" s="8" t="s">
        <v>8113</v>
      </c>
      <c r="I3433" s="8" t="s">
        <v>8113</v>
      </c>
      <c r="J3433" s="5">
        <v>49</v>
      </c>
      <c r="K3433" s="5" t="s">
        <v>292</v>
      </c>
      <c r="L3433" s="5" t="s">
        <v>8063</v>
      </c>
      <c r="M3433" s="5">
        <v>16</v>
      </c>
      <c r="N3433" s="5" t="s">
        <v>43</v>
      </c>
      <c r="U3433" t="s">
        <v>2789</v>
      </c>
    </row>
    <row r="3434" spans="1:21" x14ac:dyDescent="0.2">
      <c r="A3434" s="5"/>
      <c r="B3434" s="8" t="s">
        <v>553</v>
      </c>
      <c r="H3434" s="8" t="s">
        <v>8114</v>
      </c>
      <c r="I3434" s="8" t="s">
        <v>8114</v>
      </c>
      <c r="J3434" s="5">
        <v>49</v>
      </c>
      <c r="K3434" s="5" t="s">
        <v>292</v>
      </c>
      <c r="L3434" s="5" t="s">
        <v>8063</v>
      </c>
      <c r="M3434" s="5">
        <v>16</v>
      </c>
      <c r="N3434" s="5" t="s">
        <v>43</v>
      </c>
      <c r="U3434" t="s">
        <v>2789</v>
      </c>
    </row>
    <row r="3435" spans="1:21" x14ac:dyDescent="0.2">
      <c r="A3435" s="5"/>
      <c r="B3435" s="8" t="s">
        <v>553</v>
      </c>
      <c r="H3435" s="8" t="s">
        <v>8115</v>
      </c>
      <c r="I3435" s="8" t="s">
        <v>8115</v>
      </c>
      <c r="J3435" s="5">
        <v>49</v>
      </c>
      <c r="K3435" s="5" t="s">
        <v>292</v>
      </c>
      <c r="L3435" s="5" t="s">
        <v>8063</v>
      </c>
      <c r="M3435" s="5">
        <v>16</v>
      </c>
      <c r="N3435" s="5" t="s">
        <v>43</v>
      </c>
      <c r="U3435" t="s">
        <v>2789</v>
      </c>
    </row>
    <row r="3436" spans="1:21" x14ac:dyDescent="0.2">
      <c r="B3436" s="8" t="s">
        <v>175</v>
      </c>
      <c r="H3436" s="8" t="s">
        <v>8116</v>
      </c>
      <c r="I3436" s="8" t="s">
        <v>8117</v>
      </c>
      <c r="J3436" s="5">
        <f>33-12-8-13</f>
        <v>0</v>
      </c>
      <c r="K3436" s="5" t="s">
        <v>292</v>
      </c>
      <c r="L3436" s="5" t="s">
        <v>8063</v>
      </c>
      <c r="M3436" s="5">
        <v>17</v>
      </c>
      <c r="N3436" s="5" t="s">
        <v>563</v>
      </c>
      <c r="Q3436" s="5" t="s">
        <v>8108</v>
      </c>
      <c r="U3436" t="s">
        <v>321</v>
      </c>
    </row>
    <row r="3437" spans="1:21" x14ac:dyDescent="0.2">
      <c r="B3437" s="8" t="s">
        <v>8118</v>
      </c>
      <c r="H3437" s="8" t="s">
        <v>8119</v>
      </c>
      <c r="I3437" s="8" t="s">
        <v>8119</v>
      </c>
      <c r="J3437" s="5">
        <v>2</v>
      </c>
      <c r="K3437" s="5" t="s">
        <v>292</v>
      </c>
      <c r="L3437" s="5" t="s">
        <v>8063</v>
      </c>
      <c r="M3437" s="5">
        <v>18</v>
      </c>
      <c r="N3437" s="5" t="s">
        <v>8120</v>
      </c>
      <c r="Q3437" s="5" t="s">
        <v>8121</v>
      </c>
    </row>
    <row r="3438" spans="1:21" x14ac:dyDescent="0.2">
      <c r="B3438" s="8" t="s">
        <v>8122</v>
      </c>
      <c r="H3438" s="8" t="s">
        <v>8123</v>
      </c>
      <c r="I3438" s="8" t="s">
        <v>8123</v>
      </c>
      <c r="J3438" s="5">
        <v>12</v>
      </c>
      <c r="K3438" s="5" t="s">
        <v>292</v>
      </c>
      <c r="L3438" s="5" t="s">
        <v>8063</v>
      </c>
      <c r="M3438" s="5">
        <v>18</v>
      </c>
      <c r="Q3438" s="5" t="s">
        <v>8121</v>
      </c>
    </row>
    <row r="3439" spans="1:21" x14ac:dyDescent="0.2">
      <c r="B3439" s="8" t="s">
        <v>8124</v>
      </c>
      <c r="H3439" s="8" t="s">
        <v>8125</v>
      </c>
      <c r="I3439" s="8" t="s">
        <v>8125</v>
      </c>
      <c r="J3439" s="5">
        <v>13</v>
      </c>
      <c r="K3439" s="5" t="s">
        <v>292</v>
      </c>
      <c r="L3439" s="5" t="s">
        <v>8063</v>
      </c>
      <c r="M3439" s="5">
        <v>18</v>
      </c>
      <c r="Q3439" s="5" t="s">
        <v>8121</v>
      </c>
    </row>
    <row r="3440" spans="1:21" x14ac:dyDescent="0.2">
      <c r="B3440" s="11" t="s">
        <v>8126</v>
      </c>
      <c r="H3440" s="8" t="s">
        <v>8127</v>
      </c>
      <c r="I3440" s="8" t="s">
        <v>8127</v>
      </c>
      <c r="J3440" s="5">
        <v>200</v>
      </c>
      <c r="K3440" s="5" t="s">
        <v>8128</v>
      </c>
      <c r="L3440" s="5" t="s">
        <v>8063</v>
      </c>
      <c r="M3440" s="5">
        <v>19</v>
      </c>
      <c r="N3440" s="5" t="s">
        <v>8129</v>
      </c>
      <c r="Q3440" s="5" t="s">
        <v>8130</v>
      </c>
    </row>
    <row r="3441" spans="1:21" x14ac:dyDescent="0.2">
      <c r="B3441" s="11">
        <v>3802102</v>
      </c>
      <c r="H3441" s="8" t="s">
        <v>8131</v>
      </c>
      <c r="I3441" s="8" t="s">
        <v>8131</v>
      </c>
      <c r="J3441" s="5">
        <v>115</v>
      </c>
      <c r="K3441" s="5" t="s">
        <v>8128</v>
      </c>
      <c r="L3441" s="5" t="s">
        <v>8063</v>
      </c>
      <c r="M3441" s="5">
        <v>19</v>
      </c>
      <c r="N3441" s="5" t="s">
        <v>8129</v>
      </c>
      <c r="Q3441" s="5" t="s">
        <v>8130</v>
      </c>
    </row>
    <row r="3442" spans="1:21" x14ac:dyDescent="0.2">
      <c r="B3442" s="11" t="s">
        <v>8132</v>
      </c>
      <c r="H3442" s="8" t="s">
        <v>8133</v>
      </c>
      <c r="I3442" s="8" t="s">
        <v>8133</v>
      </c>
      <c r="J3442" s="5">
        <v>300</v>
      </c>
      <c r="K3442" s="5" t="s">
        <v>8128</v>
      </c>
      <c r="L3442" s="5" t="s">
        <v>8063</v>
      </c>
      <c r="M3442" s="5">
        <v>20</v>
      </c>
      <c r="N3442" s="5" t="s">
        <v>8129</v>
      </c>
      <c r="Q3442" s="5" t="s">
        <v>8130</v>
      </c>
    </row>
    <row r="3443" spans="1:21" x14ac:dyDescent="0.2">
      <c r="B3443" s="11" t="s">
        <v>7969</v>
      </c>
      <c r="H3443" s="8" t="s">
        <v>7970</v>
      </c>
      <c r="I3443" s="8" t="s">
        <v>7970</v>
      </c>
      <c r="J3443" s="5">
        <v>1</v>
      </c>
      <c r="K3443" s="5" t="s">
        <v>6996</v>
      </c>
      <c r="L3443" s="5" t="s">
        <v>8063</v>
      </c>
      <c r="M3443" s="5">
        <v>21</v>
      </c>
      <c r="U3443" t="s">
        <v>321</v>
      </c>
    </row>
    <row r="3444" spans="1:21" x14ac:dyDescent="0.2">
      <c r="B3444" s="11" t="s">
        <v>8134</v>
      </c>
      <c r="H3444" s="8" t="s">
        <v>8135</v>
      </c>
      <c r="I3444" s="8" t="s">
        <v>8135</v>
      </c>
      <c r="J3444" s="5">
        <v>96</v>
      </c>
      <c r="K3444" s="5" t="s">
        <v>21</v>
      </c>
      <c r="L3444" s="5" t="s">
        <v>8063</v>
      </c>
      <c r="M3444" s="5">
        <v>24</v>
      </c>
      <c r="Q3444" s="5" t="s">
        <v>8136</v>
      </c>
    </row>
    <row r="3445" spans="1:21" x14ac:dyDescent="0.2">
      <c r="B3445" s="8" t="s">
        <v>8137</v>
      </c>
      <c r="H3445" s="8" t="s">
        <v>8138</v>
      </c>
      <c r="I3445" s="8" t="s">
        <v>8138</v>
      </c>
      <c r="J3445" s="5">
        <v>0</v>
      </c>
      <c r="K3445" s="5" t="s">
        <v>292</v>
      </c>
      <c r="L3445" s="5" t="s">
        <v>8063</v>
      </c>
    </row>
    <row r="3446" spans="1:21" x14ac:dyDescent="0.2">
      <c r="B3446" s="8" t="s">
        <v>8139</v>
      </c>
      <c r="H3446" s="8" t="s">
        <v>8140</v>
      </c>
      <c r="I3446" s="8" t="s">
        <v>8140</v>
      </c>
      <c r="J3446" s="5">
        <v>952</v>
      </c>
      <c r="K3446" s="5" t="s">
        <v>7608</v>
      </c>
      <c r="L3446" s="5" t="s">
        <v>8063</v>
      </c>
      <c r="M3446" s="5" t="s">
        <v>8141</v>
      </c>
      <c r="N3446" s="5" t="s">
        <v>7323</v>
      </c>
    </row>
    <row r="3447" spans="1:21" ht="14.25" customHeight="1" x14ac:dyDescent="0.2">
      <c r="A3447" s="5">
        <v>2332</v>
      </c>
      <c r="B3447" s="8" t="s">
        <v>8142</v>
      </c>
      <c r="H3447" s="8" t="s">
        <v>8143</v>
      </c>
      <c r="I3447" s="8" t="s">
        <v>8143</v>
      </c>
      <c r="J3447" s="5">
        <v>0</v>
      </c>
      <c r="K3447" s="5" t="s">
        <v>292</v>
      </c>
      <c r="L3447" s="70" t="s">
        <v>8144</v>
      </c>
      <c r="M3447" s="70">
        <v>1</v>
      </c>
      <c r="N3447" s="5" t="s">
        <v>511</v>
      </c>
      <c r="O3447" s="5" t="s">
        <v>511</v>
      </c>
      <c r="Q3447" s="5" t="s">
        <v>8145</v>
      </c>
    </row>
    <row r="3448" spans="1:21" x14ac:dyDescent="0.2">
      <c r="A3448" s="5">
        <v>370</v>
      </c>
      <c r="B3448" s="8" t="s">
        <v>8146</v>
      </c>
      <c r="H3448" s="8" t="s">
        <v>8147</v>
      </c>
      <c r="I3448" s="8" t="s">
        <v>8147</v>
      </c>
      <c r="J3448" s="5">
        <v>0</v>
      </c>
      <c r="K3448" s="5" t="s">
        <v>292</v>
      </c>
      <c r="L3448" s="70" t="s">
        <v>8144</v>
      </c>
      <c r="M3448" s="70">
        <v>2</v>
      </c>
    </row>
    <row r="3449" spans="1:21" x14ac:dyDescent="0.2">
      <c r="A3449" s="5">
        <v>371</v>
      </c>
      <c r="B3449" s="8" t="s">
        <v>8148</v>
      </c>
      <c r="H3449" s="8" t="s">
        <v>8149</v>
      </c>
      <c r="I3449" s="8" t="s">
        <v>8149</v>
      </c>
      <c r="J3449" s="5">
        <v>0</v>
      </c>
      <c r="K3449" s="5" t="s">
        <v>292</v>
      </c>
      <c r="L3449" s="70" t="s">
        <v>8144</v>
      </c>
      <c r="M3449" s="70">
        <v>2</v>
      </c>
    </row>
    <row r="3450" spans="1:21" x14ac:dyDescent="0.2">
      <c r="A3450" s="5"/>
      <c r="B3450" s="8" t="s">
        <v>8150</v>
      </c>
      <c r="H3450" s="8" t="s">
        <v>8151</v>
      </c>
      <c r="I3450" s="8" t="s">
        <v>8151</v>
      </c>
      <c r="J3450" s="5">
        <f>4-1-1-1</f>
        <v>1</v>
      </c>
      <c r="K3450" s="5" t="s">
        <v>292</v>
      </c>
      <c r="L3450" s="70" t="s">
        <v>8144</v>
      </c>
      <c r="M3450" s="70" t="s">
        <v>8152</v>
      </c>
    </row>
    <row r="3451" spans="1:21" x14ac:dyDescent="0.2">
      <c r="A3451" s="5"/>
      <c r="B3451" s="8" t="s">
        <v>8153</v>
      </c>
      <c r="H3451" s="8" t="s">
        <v>8154</v>
      </c>
      <c r="I3451" s="8" t="s">
        <v>8154</v>
      </c>
      <c r="J3451" s="5">
        <f>10</f>
        <v>10</v>
      </c>
      <c r="K3451" s="5" t="s">
        <v>292</v>
      </c>
      <c r="L3451" s="70" t="s">
        <v>8144</v>
      </c>
      <c r="M3451" s="70" t="s">
        <v>8152</v>
      </c>
      <c r="Q3451" s="107" t="s">
        <v>8155</v>
      </c>
    </row>
    <row r="3452" spans="1:21" x14ac:dyDescent="0.2">
      <c r="A3452" s="5"/>
      <c r="B3452" s="8" t="s">
        <v>8156</v>
      </c>
      <c r="H3452" s="8" t="s">
        <v>8157</v>
      </c>
      <c r="I3452" s="8" t="s">
        <v>8157</v>
      </c>
      <c r="J3452" s="5">
        <f>20-1-1-1</f>
        <v>17</v>
      </c>
      <c r="K3452" s="5" t="s">
        <v>292</v>
      </c>
      <c r="L3452" s="70" t="s">
        <v>8144</v>
      </c>
      <c r="M3452" s="70" t="s">
        <v>8152</v>
      </c>
      <c r="Q3452" s="107" t="s">
        <v>8158</v>
      </c>
    </row>
    <row r="3453" spans="1:21" x14ac:dyDescent="0.2">
      <c r="A3453" s="5"/>
      <c r="B3453" s="8" t="s">
        <v>8159</v>
      </c>
      <c r="H3453" s="8" t="s">
        <v>8160</v>
      </c>
      <c r="I3453" s="8" t="s">
        <v>8160</v>
      </c>
      <c r="J3453" s="5">
        <f>2-1</f>
        <v>1</v>
      </c>
      <c r="K3453" s="5" t="s">
        <v>292</v>
      </c>
      <c r="L3453" s="70" t="s">
        <v>8144</v>
      </c>
      <c r="M3453" s="70" t="s">
        <v>8152</v>
      </c>
    </row>
    <row r="3454" spans="1:21" x14ac:dyDescent="0.2">
      <c r="A3454" s="5"/>
      <c r="B3454" s="8" t="s">
        <v>8161</v>
      </c>
      <c r="H3454" s="8" t="s">
        <v>8162</v>
      </c>
      <c r="I3454" s="8" t="s">
        <v>8162</v>
      </c>
      <c r="J3454" s="5">
        <f>49-3-2-1-1-2-1-1</f>
        <v>38</v>
      </c>
      <c r="K3454" s="5" t="s">
        <v>292</v>
      </c>
      <c r="L3454" s="70" t="s">
        <v>8144</v>
      </c>
      <c r="M3454" s="70">
        <v>1</v>
      </c>
      <c r="Q3454" s="107" t="s">
        <v>8163</v>
      </c>
    </row>
    <row r="3455" spans="1:21" x14ac:dyDescent="0.2">
      <c r="A3455" s="5"/>
      <c r="B3455" s="8" t="s">
        <v>8164</v>
      </c>
      <c r="H3455" s="8" t="s">
        <v>8165</v>
      </c>
      <c r="I3455" s="8" t="s">
        <v>8165</v>
      </c>
      <c r="J3455" s="5">
        <f>55-1-3-3-2-1-1-1</f>
        <v>43</v>
      </c>
      <c r="K3455" s="5" t="s">
        <v>292</v>
      </c>
      <c r="L3455" s="70" t="s">
        <v>8144</v>
      </c>
      <c r="M3455" s="70">
        <v>2</v>
      </c>
      <c r="Q3455" s="107" t="s">
        <v>8166</v>
      </c>
    </row>
    <row r="3456" spans="1:21" x14ac:dyDescent="0.2">
      <c r="A3456" s="5"/>
      <c r="B3456" s="8" t="s">
        <v>8167</v>
      </c>
      <c r="H3456" s="8" t="s">
        <v>8168</v>
      </c>
      <c r="I3456" s="8" t="s">
        <v>8168</v>
      </c>
      <c r="J3456" s="5">
        <f>59-6-3-8-6-3-3-2-3</f>
        <v>25</v>
      </c>
      <c r="K3456" s="5" t="s">
        <v>292</v>
      </c>
      <c r="L3456" s="70" t="s">
        <v>8144</v>
      </c>
      <c r="M3456" s="70">
        <v>2</v>
      </c>
      <c r="Q3456" s="107" t="s">
        <v>8166</v>
      </c>
    </row>
    <row r="3457" spans="1:17" x14ac:dyDescent="0.2">
      <c r="A3457" s="5">
        <v>368</v>
      </c>
      <c r="B3457" s="8" t="s">
        <v>8169</v>
      </c>
      <c r="H3457" s="8" t="s">
        <v>8170</v>
      </c>
      <c r="I3457" s="8" t="s">
        <v>8171</v>
      </c>
      <c r="J3457" s="5">
        <f>86-1-8-29-1-1-5-3-1-1-1-5-3-1-5-1+50-4-1-1-2-1-3-1-2-1-1</f>
        <v>53</v>
      </c>
      <c r="K3457" s="5" t="s">
        <v>6996</v>
      </c>
      <c r="L3457" s="70" t="s">
        <v>8144</v>
      </c>
      <c r="M3457" s="70">
        <v>2</v>
      </c>
      <c r="N3457" s="5" t="s">
        <v>7467</v>
      </c>
    </row>
    <row r="3458" spans="1:17" x14ac:dyDescent="0.2">
      <c r="A3458" s="5"/>
      <c r="B3458" s="8" t="s">
        <v>8172</v>
      </c>
      <c r="H3458" s="8" t="s">
        <v>8173</v>
      </c>
      <c r="I3458" s="8" t="s">
        <v>8173</v>
      </c>
      <c r="J3458" s="5">
        <v>5</v>
      </c>
      <c r="K3458" s="5" t="s">
        <v>6996</v>
      </c>
      <c r="L3458" s="70" t="s">
        <v>8144</v>
      </c>
      <c r="M3458" s="70">
        <v>2</v>
      </c>
      <c r="N3458" s="5" t="s">
        <v>7467</v>
      </c>
    </row>
    <row r="3459" spans="1:17" x14ac:dyDescent="0.2">
      <c r="B3459" s="8" t="s">
        <v>8174</v>
      </c>
      <c r="H3459" s="8" t="s">
        <v>8175</v>
      </c>
      <c r="I3459" s="8" t="s">
        <v>8175</v>
      </c>
      <c r="J3459" s="5">
        <f>25+44-1</f>
        <v>68</v>
      </c>
      <c r="K3459" s="5" t="s">
        <v>6996</v>
      </c>
      <c r="L3459" s="70" t="s">
        <v>8144</v>
      </c>
      <c r="M3459" s="70">
        <v>2</v>
      </c>
    </row>
    <row r="3460" spans="1:17" x14ac:dyDescent="0.2">
      <c r="B3460" s="8" t="s">
        <v>8176</v>
      </c>
      <c r="H3460" s="8" t="s">
        <v>8177</v>
      </c>
      <c r="I3460" s="8" t="s">
        <v>8178</v>
      </c>
      <c r="J3460" s="5">
        <v>15</v>
      </c>
      <c r="K3460" s="5" t="s">
        <v>6996</v>
      </c>
      <c r="L3460" s="70" t="s">
        <v>8144</v>
      </c>
      <c r="M3460" s="70">
        <v>2</v>
      </c>
    </row>
    <row r="3461" spans="1:17" x14ac:dyDescent="0.2">
      <c r="B3461" s="8" t="s">
        <v>8179</v>
      </c>
      <c r="H3461" s="8" t="s">
        <v>8180</v>
      </c>
      <c r="I3461" s="8" t="s">
        <v>8180</v>
      </c>
      <c r="J3461" s="5">
        <f>32-3</f>
        <v>29</v>
      </c>
      <c r="K3461" s="5" t="s">
        <v>6996</v>
      </c>
      <c r="L3461" s="70" t="s">
        <v>8144</v>
      </c>
      <c r="M3461" s="70">
        <v>2</v>
      </c>
    </row>
    <row r="3462" spans="1:17" x14ac:dyDescent="0.2">
      <c r="A3462" s="5"/>
      <c r="B3462" s="8" t="s">
        <v>8181</v>
      </c>
      <c r="H3462" s="8" t="s">
        <v>8182</v>
      </c>
      <c r="I3462" s="8" t="s">
        <v>8182</v>
      </c>
      <c r="J3462" s="5">
        <f>2</f>
        <v>2</v>
      </c>
      <c r="K3462" s="5" t="s">
        <v>292</v>
      </c>
      <c r="L3462" s="70" t="s">
        <v>8144</v>
      </c>
      <c r="M3462" s="70">
        <f>2</f>
        <v>2</v>
      </c>
    </row>
    <row r="3463" spans="1:17" x14ac:dyDescent="0.2">
      <c r="B3463" s="8">
        <v>4157446</v>
      </c>
      <c r="H3463" s="8" t="s">
        <v>8183</v>
      </c>
      <c r="I3463" s="8" t="s">
        <v>8183</v>
      </c>
      <c r="J3463" s="5">
        <f>6</f>
        <v>6</v>
      </c>
      <c r="K3463" s="5" t="s">
        <v>292</v>
      </c>
      <c r="L3463" s="70" t="s">
        <v>8144</v>
      </c>
      <c r="M3463" s="70">
        <v>3</v>
      </c>
    </row>
    <row r="3464" spans="1:17" x14ac:dyDescent="0.2">
      <c r="B3464" s="8">
        <v>4157447</v>
      </c>
      <c r="H3464" s="8" t="s">
        <v>7253</v>
      </c>
      <c r="I3464" s="8" t="s">
        <v>7253</v>
      </c>
      <c r="J3464" s="5">
        <f>3</f>
        <v>3</v>
      </c>
      <c r="K3464" s="5" t="s">
        <v>292</v>
      </c>
      <c r="L3464" s="70" t="s">
        <v>8144</v>
      </c>
      <c r="M3464" s="70">
        <v>3</v>
      </c>
    </row>
    <row r="3465" spans="1:17" x14ac:dyDescent="0.2">
      <c r="B3465" s="8" t="s">
        <v>7254</v>
      </c>
      <c r="H3465" s="8" t="s">
        <v>8184</v>
      </c>
      <c r="I3465" s="8" t="s">
        <v>7253</v>
      </c>
      <c r="J3465" s="5">
        <f>3</f>
        <v>3</v>
      </c>
      <c r="K3465" s="5" t="s">
        <v>292</v>
      </c>
      <c r="L3465" s="70" t="s">
        <v>8144</v>
      </c>
      <c r="M3465" s="70">
        <v>3</v>
      </c>
    </row>
    <row r="3466" spans="1:17" x14ac:dyDescent="0.2">
      <c r="B3466" s="8">
        <v>4126984</v>
      </c>
      <c r="H3466" s="8" t="s">
        <v>7265</v>
      </c>
      <c r="I3466" s="8" t="s">
        <v>7265</v>
      </c>
      <c r="J3466" s="5">
        <f>10-5-2+8-1-1</f>
        <v>9</v>
      </c>
      <c r="K3466" s="5" t="s">
        <v>6978</v>
      </c>
      <c r="L3466" s="70" t="s">
        <v>8144</v>
      </c>
      <c r="M3466" s="70">
        <v>3</v>
      </c>
    </row>
    <row r="3467" spans="1:17" x14ac:dyDescent="0.2">
      <c r="B3467" s="8" t="s">
        <v>8185</v>
      </c>
      <c r="H3467" s="8" t="s">
        <v>7238</v>
      </c>
      <c r="I3467" s="8" t="s">
        <v>7238</v>
      </c>
      <c r="J3467" s="5">
        <f>1</f>
        <v>1</v>
      </c>
      <c r="K3467" s="5" t="s">
        <v>8186</v>
      </c>
      <c r="L3467" s="70" t="s">
        <v>8144</v>
      </c>
      <c r="M3467" s="70">
        <v>3</v>
      </c>
    </row>
    <row r="3468" spans="1:17" x14ac:dyDescent="0.2">
      <c r="A3468" s="5">
        <v>2334</v>
      </c>
      <c r="B3468" s="8" t="s">
        <v>8187</v>
      </c>
      <c r="H3468" s="8" t="s">
        <v>8188</v>
      </c>
      <c r="I3468" s="8" t="s">
        <v>8188</v>
      </c>
      <c r="J3468" s="5">
        <f>56-6-12-14-12-4-2-2-2-2</f>
        <v>0</v>
      </c>
      <c r="K3468" s="5" t="s">
        <v>292</v>
      </c>
      <c r="L3468" s="70" t="s">
        <v>8144</v>
      </c>
      <c r="M3468" s="70">
        <v>4</v>
      </c>
      <c r="N3468" s="5" t="s">
        <v>511</v>
      </c>
      <c r="O3468" s="5" t="s">
        <v>511</v>
      </c>
      <c r="Q3468" s="5" t="s">
        <v>8189</v>
      </c>
    </row>
    <row r="3469" spans="1:17" x14ac:dyDescent="0.2">
      <c r="A3469" s="5"/>
      <c r="B3469" s="8" t="s">
        <v>8190</v>
      </c>
      <c r="H3469" s="8" t="s">
        <v>8191</v>
      </c>
      <c r="I3469" s="8" t="s">
        <v>8191</v>
      </c>
      <c r="J3469" s="5">
        <f>120-4-2-2-4-2</f>
        <v>106</v>
      </c>
      <c r="K3469" s="5" t="s">
        <v>292</v>
      </c>
      <c r="L3469" s="70" t="s">
        <v>8144</v>
      </c>
      <c r="M3469" s="70">
        <v>4</v>
      </c>
      <c r="Q3469" s="107" t="s">
        <v>8155</v>
      </c>
    </row>
    <row r="3470" spans="1:17" x14ac:dyDescent="0.2">
      <c r="A3470" s="5">
        <v>369</v>
      </c>
      <c r="B3470" s="8" t="s">
        <v>8192</v>
      </c>
      <c r="H3470" s="8" t="s">
        <v>8193</v>
      </c>
      <c r="I3470" s="8" t="s">
        <v>8194</v>
      </c>
      <c r="J3470" s="5">
        <f>15-2-1-4-1-1-1-1-1-1-1+10+40-1+50-1-1-1-1-13</f>
        <v>83</v>
      </c>
      <c r="K3470" s="5" t="s">
        <v>6996</v>
      </c>
      <c r="L3470" s="70" t="s">
        <v>8144</v>
      </c>
      <c r="M3470" s="70">
        <v>5</v>
      </c>
      <c r="N3470" s="5" t="s">
        <v>7467</v>
      </c>
      <c r="Q3470" s="107" t="s">
        <v>8195</v>
      </c>
    </row>
    <row r="3471" spans="1:17" x14ac:dyDescent="0.2">
      <c r="A3471" s="5"/>
      <c r="B3471" s="8" t="s">
        <v>8196</v>
      </c>
      <c r="H3471" s="8" t="s">
        <v>8197</v>
      </c>
      <c r="I3471" s="8" t="s">
        <v>8197</v>
      </c>
      <c r="J3471" s="5">
        <f>9</f>
        <v>9</v>
      </c>
      <c r="K3471" s="5" t="s">
        <v>292</v>
      </c>
      <c r="L3471" s="70" t="s">
        <v>8144</v>
      </c>
      <c r="M3471" s="70">
        <v>6</v>
      </c>
    </row>
    <row r="3472" spans="1:17" x14ac:dyDescent="0.2">
      <c r="A3472" s="5">
        <v>2333</v>
      </c>
      <c r="B3472" s="8" t="s">
        <v>8198</v>
      </c>
      <c r="H3472" s="8" t="s">
        <v>8199</v>
      </c>
      <c r="I3472" s="8" t="s">
        <v>8199</v>
      </c>
      <c r="J3472" s="5">
        <f>805-4-60</f>
        <v>741</v>
      </c>
      <c r="K3472" s="5" t="s">
        <v>292</v>
      </c>
      <c r="L3472" s="70" t="s">
        <v>8144</v>
      </c>
      <c r="M3472" s="70">
        <v>7</v>
      </c>
      <c r="N3472" s="5" t="s">
        <v>511</v>
      </c>
      <c r="Q3472" s="107" t="s">
        <v>8200</v>
      </c>
    </row>
    <row r="3473" spans="1:21" x14ac:dyDescent="0.2">
      <c r="A3473" s="5"/>
      <c r="B3473" s="8" t="s">
        <v>8201</v>
      </c>
      <c r="H3473" s="8" t="s">
        <v>8201</v>
      </c>
      <c r="I3473" s="8" t="s">
        <v>8201</v>
      </c>
      <c r="J3473" s="5">
        <f>1</f>
        <v>1</v>
      </c>
      <c r="K3473" s="5" t="s">
        <v>292</v>
      </c>
      <c r="L3473" s="70" t="s">
        <v>8144</v>
      </c>
      <c r="M3473" s="70">
        <v>8</v>
      </c>
      <c r="Q3473" s="107" t="s">
        <v>8202</v>
      </c>
    </row>
    <row r="3474" spans="1:21" x14ac:dyDescent="0.2">
      <c r="A3474" s="5"/>
      <c r="B3474" s="8" t="s">
        <v>8203</v>
      </c>
      <c r="H3474" s="8" t="s">
        <v>8203</v>
      </c>
      <c r="I3474" s="8" t="s">
        <v>8203</v>
      </c>
      <c r="J3474" s="5">
        <f>3</f>
        <v>3</v>
      </c>
      <c r="K3474" s="5" t="s">
        <v>292</v>
      </c>
      <c r="L3474" s="70" t="s">
        <v>8144</v>
      </c>
      <c r="M3474" s="70">
        <v>8</v>
      </c>
      <c r="Q3474" s="107" t="s">
        <v>8202</v>
      </c>
    </row>
    <row r="3475" spans="1:21" x14ac:dyDescent="0.2">
      <c r="A3475" s="5"/>
      <c r="B3475" s="8" t="s">
        <v>8204</v>
      </c>
      <c r="H3475" s="8" t="s">
        <v>8204</v>
      </c>
      <c r="I3475" s="8" t="s">
        <v>8204</v>
      </c>
      <c r="J3475" s="5">
        <f>2-1-1</f>
        <v>0</v>
      </c>
      <c r="K3475" s="5" t="s">
        <v>292</v>
      </c>
      <c r="L3475" s="70" t="s">
        <v>8144</v>
      </c>
      <c r="M3475" s="70">
        <v>8</v>
      </c>
    </row>
    <row r="3476" spans="1:21" x14ac:dyDescent="0.2">
      <c r="A3476" s="5"/>
      <c r="B3476" s="8" t="s">
        <v>8205</v>
      </c>
      <c r="H3476" s="8" t="s">
        <v>8206</v>
      </c>
      <c r="I3476" s="8" t="s">
        <v>8206</v>
      </c>
      <c r="J3476" s="5">
        <f>4-2-1-1</f>
        <v>0</v>
      </c>
      <c r="K3476" s="5" t="s">
        <v>292</v>
      </c>
      <c r="L3476" s="70" t="s">
        <v>8144</v>
      </c>
      <c r="M3476" s="70">
        <v>8</v>
      </c>
      <c r="U3476" t="s">
        <v>8207</v>
      </c>
    </row>
    <row r="3477" spans="1:21" x14ac:dyDescent="0.2">
      <c r="A3477" s="5"/>
      <c r="B3477" s="8" t="s">
        <v>8205</v>
      </c>
      <c r="H3477" s="8" t="s">
        <v>8208</v>
      </c>
      <c r="I3477" s="8" t="s">
        <v>8208</v>
      </c>
      <c r="J3477" s="5">
        <f>4-3-1</f>
        <v>0</v>
      </c>
      <c r="K3477" s="5" t="s">
        <v>292</v>
      </c>
      <c r="L3477" s="70" t="s">
        <v>8144</v>
      </c>
      <c r="M3477" s="70">
        <v>8</v>
      </c>
      <c r="U3477" t="s">
        <v>8207</v>
      </c>
    </row>
    <row r="3478" spans="1:21" x14ac:dyDescent="0.2">
      <c r="A3478" s="5">
        <v>1216</v>
      </c>
      <c r="B3478" s="8" t="s">
        <v>8209</v>
      </c>
      <c r="H3478" s="8" t="s">
        <v>8210</v>
      </c>
      <c r="I3478" s="8" t="s">
        <v>8211</v>
      </c>
      <c r="J3478" s="5">
        <f>270-10-30-30-60-110+50-30</f>
        <v>50</v>
      </c>
      <c r="K3478" s="5" t="s">
        <v>8186</v>
      </c>
      <c r="L3478" s="70" t="s">
        <v>8144</v>
      </c>
      <c r="M3478" s="70">
        <v>36</v>
      </c>
      <c r="N3478" s="5" t="s">
        <v>8212</v>
      </c>
      <c r="O3478" s="5" t="s">
        <v>1640</v>
      </c>
      <c r="Q3478" s="5" t="s">
        <v>8213</v>
      </c>
      <c r="S3478" s="5" t="s">
        <v>328</v>
      </c>
    </row>
    <row r="3479" spans="1:21" x14ac:dyDescent="0.2">
      <c r="A3479" s="5"/>
      <c r="B3479" s="8" t="s">
        <v>8214</v>
      </c>
      <c r="H3479" s="8" t="s">
        <v>8215</v>
      </c>
      <c r="I3479" s="8" t="s">
        <v>8215</v>
      </c>
      <c r="J3479" s="5">
        <v>0</v>
      </c>
      <c r="K3479" s="5" t="s">
        <v>21</v>
      </c>
      <c r="L3479" s="70" t="s">
        <v>8144</v>
      </c>
      <c r="M3479" s="70">
        <v>36</v>
      </c>
      <c r="N3479" s="5" t="s">
        <v>81</v>
      </c>
    </row>
    <row r="3480" spans="1:21" x14ac:dyDescent="0.2">
      <c r="A3480" s="5"/>
      <c r="B3480" s="8" t="s">
        <v>8216</v>
      </c>
      <c r="H3480" s="8" t="s">
        <v>8217</v>
      </c>
      <c r="I3480" s="8" t="s">
        <v>8217</v>
      </c>
      <c r="J3480" s="5">
        <v>0</v>
      </c>
      <c r="K3480" s="5" t="s">
        <v>21</v>
      </c>
      <c r="L3480" s="70" t="s">
        <v>8144</v>
      </c>
      <c r="M3480" s="70">
        <v>36</v>
      </c>
      <c r="N3480" s="5" t="s">
        <v>2872</v>
      </c>
    </row>
    <row r="3481" spans="1:21" x14ac:dyDescent="0.2">
      <c r="A3481" s="5">
        <v>2384</v>
      </c>
      <c r="B3481" s="8" t="s">
        <v>8218</v>
      </c>
      <c r="H3481" s="8" t="s">
        <v>8219</v>
      </c>
      <c r="I3481" s="8" t="s">
        <v>8219</v>
      </c>
      <c r="J3481" s="5">
        <v>0</v>
      </c>
      <c r="K3481" s="5" t="s">
        <v>292</v>
      </c>
      <c r="L3481" s="70" t="s">
        <v>8144</v>
      </c>
      <c r="M3481" s="70">
        <v>36</v>
      </c>
      <c r="N3481" s="5" t="s">
        <v>4676</v>
      </c>
      <c r="O3481" s="5" t="s">
        <v>520</v>
      </c>
      <c r="Q3481" s="5" t="s">
        <v>8220</v>
      </c>
    </row>
    <row r="3482" spans="1:21" x14ac:dyDescent="0.2">
      <c r="A3482" s="5">
        <v>2385</v>
      </c>
      <c r="B3482" s="8" t="s">
        <v>8221</v>
      </c>
      <c r="H3482" s="8" t="s">
        <v>8222</v>
      </c>
      <c r="I3482" s="8" t="s">
        <v>8222</v>
      </c>
      <c r="J3482" s="5">
        <v>0</v>
      </c>
      <c r="K3482" s="5" t="s">
        <v>292</v>
      </c>
      <c r="L3482" s="70" t="s">
        <v>8144</v>
      </c>
      <c r="M3482" s="70">
        <v>36</v>
      </c>
      <c r="N3482" s="5" t="s">
        <v>4676</v>
      </c>
      <c r="O3482" s="5" t="s">
        <v>520</v>
      </c>
      <c r="Q3482" s="5" t="s">
        <v>8220</v>
      </c>
    </row>
    <row r="3483" spans="1:21" x14ac:dyDescent="0.2">
      <c r="A3483" s="5">
        <v>2386</v>
      </c>
      <c r="B3483" s="8" t="s">
        <v>8223</v>
      </c>
      <c r="H3483" s="8" t="s">
        <v>8224</v>
      </c>
      <c r="I3483" s="8" t="s">
        <v>8224</v>
      </c>
      <c r="J3483" s="5">
        <v>0</v>
      </c>
      <c r="K3483" s="5" t="s">
        <v>292</v>
      </c>
      <c r="L3483" s="70" t="s">
        <v>8144</v>
      </c>
      <c r="M3483" s="70">
        <v>36</v>
      </c>
      <c r="N3483" s="5" t="s">
        <v>4676</v>
      </c>
      <c r="O3483" s="5" t="s">
        <v>520</v>
      </c>
      <c r="Q3483" s="5" t="s">
        <v>8225</v>
      </c>
    </row>
    <row r="3484" spans="1:21" x14ac:dyDescent="0.2">
      <c r="A3484" s="5"/>
      <c r="B3484" s="8" t="s">
        <v>8226</v>
      </c>
      <c r="H3484" s="8" t="s">
        <v>8227</v>
      </c>
      <c r="I3484" s="8" t="s">
        <v>8227</v>
      </c>
      <c r="J3484" s="5">
        <f>338</f>
        <v>338</v>
      </c>
      <c r="K3484" s="5" t="s">
        <v>292</v>
      </c>
      <c r="L3484" s="70" t="s">
        <v>8144</v>
      </c>
      <c r="M3484" s="70">
        <v>36</v>
      </c>
      <c r="N3484" s="5" t="s">
        <v>5025</v>
      </c>
    </row>
    <row r="3485" spans="1:21" x14ac:dyDescent="0.2">
      <c r="A3485" s="5">
        <v>2331</v>
      </c>
      <c r="B3485" s="8" t="s">
        <v>8228</v>
      </c>
      <c r="H3485" s="8" t="s">
        <v>8229</v>
      </c>
      <c r="I3485" s="8" t="s">
        <v>8229</v>
      </c>
      <c r="J3485" s="5">
        <f>50-1+8-3-30-1-3-10+2+2-4</f>
        <v>10</v>
      </c>
      <c r="K3485" s="5" t="s">
        <v>292</v>
      </c>
      <c r="L3485" s="70" t="s">
        <v>8230</v>
      </c>
      <c r="M3485" s="70">
        <v>1</v>
      </c>
      <c r="N3485" s="5" t="s">
        <v>8231</v>
      </c>
      <c r="O3485" s="5" t="s">
        <v>789</v>
      </c>
      <c r="Q3485" s="5" t="s">
        <v>8232</v>
      </c>
    </row>
    <row r="3486" spans="1:21" x14ac:dyDescent="0.2">
      <c r="A3486" s="5">
        <v>2162</v>
      </c>
      <c r="B3486" s="8" t="s">
        <v>8233</v>
      </c>
      <c r="H3486" s="8" t="s">
        <v>8234</v>
      </c>
      <c r="I3486" s="8" t="s">
        <v>8235</v>
      </c>
      <c r="J3486" s="5">
        <f>34-1+1</f>
        <v>34</v>
      </c>
      <c r="K3486" s="5" t="s">
        <v>7221</v>
      </c>
      <c r="L3486" s="5" t="s">
        <v>8230</v>
      </c>
      <c r="M3486" s="5">
        <v>1</v>
      </c>
      <c r="N3486" s="5" t="s">
        <v>8236</v>
      </c>
      <c r="O3486" s="5" t="s">
        <v>266</v>
      </c>
      <c r="Q3486" s="5" t="s">
        <v>553</v>
      </c>
    </row>
    <row r="3487" spans="1:21" x14ac:dyDescent="0.2">
      <c r="A3487" s="5">
        <v>2161</v>
      </c>
      <c r="B3487" s="8" t="s">
        <v>8237</v>
      </c>
      <c r="H3487" s="8" t="s">
        <v>8238</v>
      </c>
      <c r="I3487" s="8" t="s">
        <v>8239</v>
      </c>
      <c r="J3487" s="5">
        <f>19-1-1-1-1-1-1</f>
        <v>13</v>
      </c>
      <c r="K3487" s="5" t="s">
        <v>7221</v>
      </c>
      <c r="L3487" s="5" t="s">
        <v>8230</v>
      </c>
      <c r="M3487" s="5">
        <v>1</v>
      </c>
      <c r="N3487" s="5" t="s">
        <v>8236</v>
      </c>
      <c r="O3487" s="5" t="s">
        <v>266</v>
      </c>
      <c r="Q3487" s="5" t="s">
        <v>553</v>
      </c>
    </row>
    <row r="3488" spans="1:21" x14ac:dyDescent="0.2">
      <c r="A3488" s="5">
        <v>2354</v>
      </c>
      <c r="B3488" s="8" t="s">
        <v>8228</v>
      </c>
      <c r="H3488" s="8" t="s">
        <v>8229</v>
      </c>
      <c r="I3488" s="8" t="s">
        <v>8229</v>
      </c>
      <c r="J3488" s="5">
        <v>0</v>
      </c>
      <c r="K3488" s="5" t="s">
        <v>21</v>
      </c>
      <c r="L3488" s="70" t="s">
        <v>8230</v>
      </c>
      <c r="M3488" s="70">
        <v>1</v>
      </c>
      <c r="N3488" s="5" t="s">
        <v>8240</v>
      </c>
      <c r="O3488" s="5" t="s">
        <v>789</v>
      </c>
      <c r="Q3488" s="5" t="s">
        <v>8241</v>
      </c>
    </row>
    <row r="3489" spans="1:21" x14ac:dyDescent="0.2">
      <c r="A3489" s="5"/>
      <c r="B3489" s="8" t="s">
        <v>8242</v>
      </c>
      <c r="H3489" s="8" t="s">
        <v>8243</v>
      </c>
      <c r="I3489" s="8" t="s">
        <v>8243</v>
      </c>
      <c r="J3489" s="5">
        <v>1</v>
      </c>
      <c r="K3489" s="5" t="s">
        <v>7221</v>
      </c>
      <c r="L3489" s="70" t="s">
        <v>8230</v>
      </c>
      <c r="M3489" s="70">
        <v>2</v>
      </c>
      <c r="N3489" s="5" t="s">
        <v>8236</v>
      </c>
      <c r="O3489" s="5" t="s">
        <v>789</v>
      </c>
      <c r="Q3489" s="5" t="s">
        <v>8244</v>
      </c>
      <c r="U3489" t="s">
        <v>321</v>
      </c>
    </row>
    <row r="3490" spans="1:21" x14ac:dyDescent="0.2">
      <c r="A3490" s="5"/>
      <c r="B3490" s="8" t="s">
        <v>8245</v>
      </c>
      <c r="H3490" s="8" t="s">
        <v>8246</v>
      </c>
      <c r="I3490" s="8" t="s">
        <v>8246</v>
      </c>
      <c r="J3490" s="5">
        <v>1</v>
      </c>
      <c r="K3490" s="5" t="s">
        <v>7221</v>
      </c>
      <c r="L3490" s="70" t="s">
        <v>8230</v>
      </c>
      <c r="M3490" s="70">
        <v>2</v>
      </c>
      <c r="N3490" s="5" t="s">
        <v>8236</v>
      </c>
      <c r="O3490" s="5" t="s">
        <v>789</v>
      </c>
      <c r="Q3490" s="5" t="s">
        <v>2686</v>
      </c>
      <c r="U3490" t="s">
        <v>321</v>
      </c>
    </row>
    <row r="3491" spans="1:21" x14ac:dyDescent="0.2">
      <c r="A3491" s="5"/>
      <c r="B3491" s="8" t="s">
        <v>8247</v>
      </c>
      <c r="H3491" s="8" t="s">
        <v>8248</v>
      </c>
      <c r="I3491" s="8" t="s">
        <v>8248</v>
      </c>
      <c r="J3491" s="5">
        <v>1</v>
      </c>
      <c r="K3491" s="5" t="s">
        <v>7221</v>
      </c>
      <c r="L3491" s="70" t="s">
        <v>8230</v>
      </c>
      <c r="M3491" s="70">
        <v>2</v>
      </c>
      <c r="N3491" s="5" t="s">
        <v>8236</v>
      </c>
      <c r="O3491" s="5" t="s">
        <v>789</v>
      </c>
      <c r="Q3491" s="5" t="s">
        <v>8249</v>
      </c>
      <c r="U3491" t="s">
        <v>321</v>
      </c>
    </row>
    <row r="3492" spans="1:21" x14ac:dyDescent="0.2">
      <c r="A3492" s="5"/>
      <c r="B3492" s="8" t="s">
        <v>8250</v>
      </c>
      <c r="H3492" s="8" t="s">
        <v>8251</v>
      </c>
      <c r="I3492" s="8" t="s">
        <v>8251</v>
      </c>
      <c r="J3492" s="5">
        <v>1</v>
      </c>
      <c r="K3492" s="5" t="s">
        <v>7221</v>
      </c>
      <c r="L3492" s="70" t="s">
        <v>8230</v>
      </c>
      <c r="M3492" s="70">
        <v>2</v>
      </c>
      <c r="N3492" s="5" t="s">
        <v>8236</v>
      </c>
      <c r="O3492" s="5" t="s">
        <v>789</v>
      </c>
    </row>
    <row r="3493" spans="1:21" x14ac:dyDescent="0.2">
      <c r="A3493" s="5">
        <v>2178</v>
      </c>
      <c r="B3493" s="8" t="s">
        <v>8252</v>
      </c>
      <c r="H3493" s="8" t="s">
        <v>8253</v>
      </c>
      <c r="I3493" s="8" t="s">
        <v>8253</v>
      </c>
      <c r="J3493" s="5">
        <v>0</v>
      </c>
      <c r="K3493" s="5" t="s">
        <v>7221</v>
      </c>
      <c r="L3493" s="70" t="s">
        <v>8230</v>
      </c>
      <c r="M3493" s="70">
        <v>2</v>
      </c>
      <c r="N3493" s="5" t="s">
        <v>8236</v>
      </c>
      <c r="O3493" s="5" t="s">
        <v>266</v>
      </c>
      <c r="Q3493" s="7" t="s">
        <v>8254</v>
      </c>
    </row>
    <row r="3494" spans="1:21" x14ac:dyDescent="0.2">
      <c r="A3494" s="5">
        <v>2179</v>
      </c>
      <c r="B3494" s="8" t="s">
        <v>8255</v>
      </c>
      <c r="H3494" s="8" t="s">
        <v>8256</v>
      </c>
      <c r="I3494" s="8" t="s">
        <v>8256</v>
      </c>
      <c r="J3494" s="5">
        <v>0</v>
      </c>
      <c r="K3494" s="5" t="s">
        <v>7221</v>
      </c>
      <c r="L3494" s="70" t="s">
        <v>8230</v>
      </c>
      <c r="M3494" s="70">
        <v>2</v>
      </c>
      <c r="N3494" s="5" t="s">
        <v>8236</v>
      </c>
      <c r="O3494" s="5" t="s">
        <v>266</v>
      </c>
      <c r="Q3494" s="5" t="s">
        <v>8257</v>
      </c>
    </row>
    <row r="3495" spans="1:21" x14ac:dyDescent="0.2">
      <c r="A3495" s="5">
        <v>2180</v>
      </c>
      <c r="B3495" s="8" t="s">
        <v>8258</v>
      </c>
      <c r="H3495" s="8" t="s">
        <v>8259</v>
      </c>
      <c r="I3495" s="8" t="s">
        <v>8259</v>
      </c>
      <c r="J3495" s="5">
        <v>0</v>
      </c>
      <c r="K3495" s="5" t="s">
        <v>7221</v>
      </c>
      <c r="L3495" s="70" t="s">
        <v>8230</v>
      </c>
      <c r="M3495" s="70">
        <v>2</v>
      </c>
      <c r="N3495" s="5" t="s">
        <v>8236</v>
      </c>
      <c r="O3495" s="5" t="s">
        <v>266</v>
      </c>
      <c r="Q3495" s="5" t="s">
        <v>8257</v>
      </c>
    </row>
    <row r="3496" spans="1:21" x14ac:dyDescent="0.2">
      <c r="A3496" s="5">
        <v>2181</v>
      </c>
      <c r="B3496" s="8" t="s">
        <v>8260</v>
      </c>
      <c r="H3496" s="8" t="s">
        <v>8261</v>
      </c>
      <c r="I3496" s="8" t="s">
        <v>8261</v>
      </c>
      <c r="J3496" s="5">
        <v>0</v>
      </c>
      <c r="K3496" s="5" t="s">
        <v>7221</v>
      </c>
      <c r="L3496" s="70" t="s">
        <v>8230</v>
      </c>
      <c r="M3496" s="70">
        <v>2</v>
      </c>
      <c r="N3496" s="5" t="s">
        <v>8236</v>
      </c>
      <c r="O3496" s="5" t="s">
        <v>266</v>
      </c>
      <c r="Q3496" s="5" t="s">
        <v>8257</v>
      </c>
    </row>
    <row r="3497" spans="1:21" x14ac:dyDescent="0.2">
      <c r="A3497" s="5">
        <v>2182</v>
      </c>
      <c r="B3497" s="8" t="s">
        <v>8262</v>
      </c>
      <c r="H3497" s="8" t="s">
        <v>8263</v>
      </c>
      <c r="I3497" s="8" t="s">
        <v>8263</v>
      </c>
      <c r="J3497" s="5">
        <v>0</v>
      </c>
      <c r="K3497" s="5" t="s">
        <v>7221</v>
      </c>
      <c r="L3497" s="70" t="s">
        <v>8230</v>
      </c>
      <c r="M3497" s="70">
        <v>2</v>
      </c>
      <c r="N3497" s="5" t="s">
        <v>8236</v>
      </c>
      <c r="O3497" s="5" t="s">
        <v>266</v>
      </c>
      <c r="S3497" s="5" t="s">
        <v>1139</v>
      </c>
    </row>
    <row r="3498" spans="1:21" x14ac:dyDescent="0.2">
      <c r="A3498" s="5">
        <v>2183</v>
      </c>
      <c r="B3498" s="8" t="s">
        <v>8264</v>
      </c>
      <c r="H3498" s="8" t="s">
        <v>8265</v>
      </c>
      <c r="I3498" s="8" t="s">
        <v>8265</v>
      </c>
      <c r="J3498" s="5">
        <v>0</v>
      </c>
      <c r="K3498" s="5" t="s">
        <v>7221</v>
      </c>
      <c r="L3498" s="70" t="s">
        <v>8230</v>
      </c>
      <c r="M3498" s="70">
        <v>2</v>
      </c>
      <c r="N3498" s="5" t="s">
        <v>8236</v>
      </c>
      <c r="O3498" s="5" t="s">
        <v>266</v>
      </c>
      <c r="S3498" s="5" t="s">
        <v>1139</v>
      </c>
    </row>
    <row r="3499" spans="1:21" x14ac:dyDescent="0.2">
      <c r="A3499" s="5">
        <v>2184</v>
      </c>
      <c r="B3499" s="8" t="s">
        <v>8266</v>
      </c>
      <c r="H3499" s="8" t="s">
        <v>8267</v>
      </c>
      <c r="I3499" s="8" t="s">
        <v>8267</v>
      </c>
      <c r="J3499" s="5">
        <v>0</v>
      </c>
      <c r="K3499" s="5" t="s">
        <v>7221</v>
      </c>
      <c r="L3499" s="70" t="s">
        <v>8230</v>
      </c>
      <c r="M3499" s="70">
        <v>2</v>
      </c>
      <c r="N3499" s="5" t="s">
        <v>8236</v>
      </c>
      <c r="O3499" s="5" t="s">
        <v>266</v>
      </c>
      <c r="S3499" s="5" t="s">
        <v>1139</v>
      </c>
    </row>
    <row r="3500" spans="1:21" x14ac:dyDescent="0.2">
      <c r="A3500" s="5">
        <v>2185</v>
      </c>
      <c r="B3500" s="8" t="s">
        <v>8268</v>
      </c>
      <c r="H3500" s="8" t="s">
        <v>8269</v>
      </c>
      <c r="I3500" s="8" t="s">
        <v>8269</v>
      </c>
      <c r="J3500" s="5">
        <v>0</v>
      </c>
      <c r="K3500" s="5" t="s">
        <v>7221</v>
      </c>
      <c r="L3500" s="70" t="s">
        <v>8230</v>
      </c>
      <c r="M3500" s="70">
        <v>3</v>
      </c>
      <c r="N3500" s="5" t="s">
        <v>8236</v>
      </c>
      <c r="O3500" s="5" t="s">
        <v>266</v>
      </c>
      <c r="Q3500" s="5" t="s">
        <v>8270</v>
      </c>
    </row>
    <row r="3501" spans="1:21" x14ac:dyDescent="0.2">
      <c r="A3501" s="5"/>
      <c r="B3501" s="8" t="s">
        <v>60</v>
      </c>
      <c r="H3501" s="8" t="s">
        <v>8271</v>
      </c>
      <c r="I3501" s="8" t="s">
        <v>8271</v>
      </c>
      <c r="J3501" s="5">
        <f>2-1-1</f>
        <v>0</v>
      </c>
      <c r="K3501" s="5" t="s">
        <v>7221</v>
      </c>
      <c r="L3501" s="70" t="s">
        <v>8230</v>
      </c>
      <c r="M3501" s="70">
        <v>3</v>
      </c>
      <c r="N3501" s="5" t="s">
        <v>8236</v>
      </c>
      <c r="Q3501" s="107" t="s">
        <v>8272</v>
      </c>
    </row>
    <row r="3502" spans="1:21" x14ac:dyDescent="0.2">
      <c r="A3502" s="5">
        <v>2188</v>
      </c>
      <c r="B3502" s="8" t="s">
        <v>553</v>
      </c>
      <c r="H3502" s="8" t="s">
        <v>8273</v>
      </c>
      <c r="I3502" s="8" t="s">
        <v>8274</v>
      </c>
      <c r="J3502" s="5">
        <v>3</v>
      </c>
      <c r="K3502" s="5" t="s">
        <v>7221</v>
      </c>
      <c r="L3502" s="70" t="s">
        <v>8230</v>
      </c>
      <c r="M3502" s="70">
        <v>3</v>
      </c>
      <c r="N3502" s="5" t="s">
        <v>8236</v>
      </c>
      <c r="O3502" s="5" t="s">
        <v>266</v>
      </c>
      <c r="Q3502" s="5" t="s">
        <v>8275</v>
      </c>
      <c r="U3502" t="s">
        <v>2789</v>
      </c>
    </row>
    <row r="3503" spans="1:21" x14ac:dyDescent="0.2">
      <c r="A3503" s="5">
        <v>2187</v>
      </c>
      <c r="B3503" s="8" t="s">
        <v>8276</v>
      </c>
      <c r="H3503" s="8" t="s">
        <v>8277</v>
      </c>
      <c r="I3503" s="8" t="s">
        <v>8277</v>
      </c>
      <c r="J3503" s="5">
        <f>2-1</f>
        <v>1</v>
      </c>
      <c r="K3503" s="5" t="s">
        <v>7221</v>
      </c>
      <c r="L3503" s="70" t="s">
        <v>8230</v>
      </c>
      <c r="M3503" s="70">
        <v>3</v>
      </c>
      <c r="N3503" s="5" t="s">
        <v>8236</v>
      </c>
      <c r="O3503" s="5" t="s">
        <v>266</v>
      </c>
      <c r="Q3503" s="7" t="s">
        <v>8278</v>
      </c>
    </row>
    <row r="3504" spans="1:21" x14ac:dyDescent="0.2">
      <c r="A3504" s="5"/>
      <c r="B3504" s="8" t="s">
        <v>8279</v>
      </c>
      <c r="H3504" s="8" t="s">
        <v>8280</v>
      </c>
      <c r="I3504" s="8" t="s">
        <v>8280</v>
      </c>
      <c r="J3504" s="5">
        <f>1</f>
        <v>1</v>
      </c>
      <c r="K3504" s="5" t="s">
        <v>7221</v>
      </c>
      <c r="L3504" s="70" t="s">
        <v>8230</v>
      </c>
      <c r="M3504" s="70">
        <v>3</v>
      </c>
      <c r="N3504" s="5" t="s">
        <v>8236</v>
      </c>
      <c r="Q3504" s="5" t="s">
        <v>8281</v>
      </c>
    </row>
    <row r="3505" spans="1:17" x14ac:dyDescent="0.2">
      <c r="A3505" s="5">
        <v>2186</v>
      </c>
      <c r="B3505" s="108" t="s">
        <v>8282</v>
      </c>
      <c r="H3505" s="108" t="s">
        <v>8283</v>
      </c>
      <c r="I3505" s="8" t="s">
        <v>8284</v>
      </c>
      <c r="J3505" s="5">
        <f>3-1-1-1</f>
        <v>0</v>
      </c>
      <c r="K3505" s="5" t="s">
        <v>7221</v>
      </c>
      <c r="L3505" s="70" t="s">
        <v>8230</v>
      </c>
      <c r="M3505" s="70">
        <v>3</v>
      </c>
      <c r="N3505" s="5" t="s">
        <v>8236</v>
      </c>
      <c r="O3505" s="5" t="s">
        <v>266</v>
      </c>
      <c r="Q3505" s="7" t="s">
        <v>8285</v>
      </c>
    </row>
    <row r="3506" spans="1:17" x14ac:dyDescent="0.2">
      <c r="A3506" s="5"/>
      <c r="B3506" s="8" t="s">
        <v>8286</v>
      </c>
      <c r="H3506" s="8" t="s">
        <v>8280</v>
      </c>
      <c r="I3506" s="8" t="s">
        <v>8280</v>
      </c>
      <c r="J3506" s="5">
        <f>2</f>
        <v>2</v>
      </c>
      <c r="K3506" s="5" t="s">
        <v>7221</v>
      </c>
      <c r="L3506" s="70" t="s">
        <v>8230</v>
      </c>
      <c r="M3506" s="70">
        <v>3</v>
      </c>
      <c r="N3506" s="5" t="s">
        <v>8236</v>
      </c>
      <c r="Q3506" s="5" t="s">
        <v>8281</v>
      </c>
    </row>
    <row r="3507" spans="1:17" x14ac:dyDescent="0.2">
      <c r="A3507" s="5">
        <v>2293</v>
      </c>
      <c r="B3507" s="8" t="s">
        <v>8287</v>
      </c>
      <c r="H3507" s="8" t="s">
        <v>8288</v>
      </c>
      <c r="I3507" s="8" t="s">
        <v>8289</v>
      </c>
      <c r="J3507" s="5">
        <v>2</v>
      </c>
      <c r="K3507" s="5" t="s">
        <v>7221</v>
      </c>
      <c r="L3507" s="70" t="s">
        <v>8230</v>
      </c>
      <c r="M3507" s="70">
        <v>4</v>
      </c>
      <c r="N3507" s="5" t="s">
        <v>8236</v>
      </c>
      <c r="O3507" s="5" t="s">
        <v>266</v>
      </c>
    </row>
    <row r="3508" spans="1:17" x14ac:dyDescent="0.2">
      <c r="A3508" s="5">
        <v>2291</v>
      </c>
      <c r="B3508" s="8">
        <v>4520006</v>
      </c>
      <c r="H3508" s="8" t="s">
        <v>8290</v>
      </c>
      <c r="I3508" s="8" t="s">
        <v>8290</v>
      </c>
      <c r="J3508" s="5">
        <v>2</v>
      </c>
      <c r="K3508" s="5" t="s">
        <v>7221</v>
      </c>
      <c r="L3508" s="70" t="s">
        <v>8230</v>
      </c>
      <c r="M3508" s="70">
        <v>4</v>
      </c>
      <c r="N3508" s="5" t="s">
        <v>8236</v>
      </c>
      <c r="O3508" s="5" t="s">
        <v>266</v>
      </c>
      <c r="Q3508" s="5" t="s">
        <v>8291</v>
      </c>
    </row>
    <row r="3509" spans="1:17" x14ac:dyDescent="0.2">
      <c r="A3509" s="5">
        <v>2292</v>
      </c>
      <c r="B3509" s="8">
        <v>4520066</v>
      </c>
      <c r="H3509" s="8" t="s">
        <v>8292</v>
      </c>
      <c r="I3509" s="8" t="s">
        <v>8292</v>
      </c>
      <c r="J3509" s="5">
        <v>1</v>
      </c>
      <c r="K3509" s="5" t="s">
        <v>7221</v>
      </c>
      <c r="L3509" s="70" t="s">
        <v>8230</v>
      </c>
      <c r="M3509" s="70">
        <v>4</v>
      </c>
      <c r="N3509" s="5" t="s">
        <v>8236</v>
      </c>
      <c r="O3509" s="5" t="s">
        <v>266</v>
      </c>
      <c r="Q3509" s="5" t="s">
        <v>8291</v>
      </c>
    </row>
    <row r="3510" spans="1:17" x14ac:dyDescent="0.2">
      <c r="A3510" s="5">
        <v>2154</v>
      </c>
      <c r="B3510" s="8" t="s">
        <v>8293</v>
      </c>
      <c r="H3510" s="8" t="s">
        <v>8294</v>
      </c>
      <c r="I3510" s="8" t="s">
        <v>8295</v>
      </c>
      <c r="J3510" s="5">
        <f>5-1</f>
        <v>4</v>
      </c>
      <c r="K3510" s="5" t="s">
        <v>7221</v>
      </c>
      <c r="L3510" s="70" t="s">
        <v>8230</v>
      </c>
      <c r="M3510" s="70">
        <v>5</v>
      </c>
      <c r="N3510" s="5" t="s">
        <v>8236</v>
      </c>
      <c r="O3510" s="5" t="s">
        <v>266</v>
      </c>
      <c r="Q3510" s="5" t="s">
        <v>553</v>
      </c>
    </row>
    <row r="3511" spans="1:17" x14ac:dyDescent="0.2">
      <c r="A3511" s="5">
        <v>2156</v>
      </c>
      <c r="B3511" s="8" t="s">
        <v>8296</v>
      </c>
      <c r="H3511" s="8" t="s">
        <v>8297</v>
      </c>
      <c r="I3511" s="8" t="s">
        <v>8298</v>
      </c>
      <c r="J3511" s="5">
        <v>5</v>
      </c>
      <c r="K3511" s="5" t="s">
        <v>7221</v>
      </c>
      <c r="L3511" s="70" t="s">
        <v>8230</v>
      </c>
      <c r="M3511" s="70">
        <v>5</v>
      </c>
      <c r="N3511" s="5" t="s">
        <v>8236</v>
      </c>
      <c r="O3511" s="5" t="s">
        <v>266</v>
      </c>
      <c r="Q3511" s="5" t="s">
        <v>553</v>
      </c>
    </row>
    <row r="3512" spans="1:17" x14ac:dyDescent="0.2">
      <c r="A3512" s="5">
        <v>2155</v>
      </c>
      <c r="B3512" s="8" t="s">
        <v>8299</v>
      </c>
      <c r="H3512" s="8" t="s">
        <v>8300</v>
      </c>
      <c r="I3512" s="8" t="s">
        <v>8301</v>
      </c>
      <c r="J3512" s="5">
        <v>9</v>
      </c>
      <c r="K3512" s="5" t="s">
        <v>7221</v>
      </c>
      <c r="L3512" s="70" t="s">
        <v>8230</v>
      </c>
      <c r="M3512" s="70">
        <v>5</v>
      </c>
      <c r="N3512" s="5" t="s">
        <v>8236</v>
      </c>
      <c r="O3512" s="5" t="s">
        <v>266</v>
      </c>
      <c r="Q3512" s="5" t="s">
        <v>553</v>
      </c>
    </row>
    <row r="3513" spans="1:17" x14ac:dyDescent="0.2">
      <c r="A3513" s="5">
        <v>2153</v>
      </c>
      <c r="B3513" s="8" t="s">
        <v>8302</v>
      </c>
      <c r="H3513" s="8" t="s">
        <v>8303</v>
      </c>
      <c r="I3513" s="8" t="s">
        <v>8304</v>
      </c>
      <c r="J3513" s="5">
        <f>3-1-1+1-1</f>
        <v>1</v>
      </c>
      <c r="K3513" s="5" t="s">
        <v>7221</v>
      </c>
      <c r="L3513" s="70" t="s">
        <v>8230</v>
      </c>
      <c r="M3513" s="70">
        <v>5</v>
      </c>
      <c r="N3513" s="5" t="s">
        <v>8236</v>
      </c>
      <c r="O3513" s="5" t="s">
        <v>266</v>
      </c>
      <c r="Q3513" s="5" t="s">
        <v>8305</v>
      </c>
    </row>
    <row r="3514" spans="1:17" x14ac:dyDescent="0.2">
      <c r="A3514" s="5">
        <v>2160</v>
      </c>
      <c r="B3514" s="8" t="s">
        <v>8306</v>
      </c>
      <c r="H3514" s="8" t="s">
        <v>8307</v>
      </c>
      <c r="I3514" s="8" t="s">
        <v>8308</v>
      </c>
      <c r="J3514" s="5">
        <f>1-1</f>
        <v>0</v>
      </c>
      <c r="K3514" s="5" t="s">
        <v>7221</v>
      </c>
      <c r="L3514" s="70" t="s">
        <v>8230</v>
      </c>
      <c r="M3514" s="70">
        <v>5</v>
      </c>
      <c r="N3514" s="5" t="s">
        <v>8236</v>
      </c>
      <c r="O3514" s="5" t="s">
        <v>266</v>
      </c>
      <c r="Q3514" s="5" t="s">
        <v>8309</v>
      </c>
    </row>
    <row r="3515" spans="1:17" x14ac:dyDescent="0.2">
      <c r="A3515" s="5"/>
      <c r="B3515" s="8" t="s">
        <v>8310</v>
      </c>
      <c r="H3515" s="8" t="s">
        <v>8311</v>
      </c>
      <c r="I3515" s="8" t="s">
        <v>8311</v>
      </c>
      <c r="J3515" s="5">
        <f>3-1-1-1+5-2</f>
        <v>3</v>
      </c>
      <c r="K3515" s="5" t="s">
        <v>7221</v>
      </c>
      <c r="L3515" s="70" t="s">
        <v>8230</v>
      </c>
      <c r="M3515" s="70">
        <v>5</v>
      </c>
      <c r="N3515" s="5" t="s">
        <v>8236</v>
      </c>
      <c r="Q3515" s="5" t="s">
        <v>8312</v>
      </c>
    </row>
    <row r="3516" spans="1:17" x14ac:dyDescent="0.2">
      <c r="A3516" s="5"/>
      <c r="B3516" s="8" t="s">
        <v>8313</v>
      </c>
      <c r="H3516" s="8" t="s">
        <v>8314</v>
      </c>
      <c r="I3516" s="8" t="s">
        <v>8315</v>
      </c>
      <c r="J3516" s="5">
        <f>0+2</f>
        <v>2</v>
      </c>
      <c r="K3516" s="5" t="s">
        <v>7221</v>
      </c>
      <c r="L3516" s="70" t="s">
        <v>8230</v>
      </c>
      <c r="M3516" s="70">
        <v>5</v>
      </c>
      <c r="N3516" s="5" t="s">
        <v>8236</v>
      </c>
      <c r="Q3516" s="5" t="s">
        <v>8309</v>
      </c>
    </row>
    <row r="3517" spans="1:17" x14ac:dyDescent="0.2">
      <c r="A3517" s="5">
        <v>2159</v>
      </c>
      <c r="B3517" s="8" t="s">
        <v>8316</v>
      </c>
      <c r="H3517" s="8" t="s">
        <v>8317</v>
      </c>
      <c r="I3517" s="8" t="s">
        <v>8318</v>
      </c>
      <c r="J3517" s="5">
        <v>2</v>
      </c>
      <c r="K3517" s="5" t="s">
        <v>7221</v>
      </c>
      <c r="L3517" s="70" t="s">
        <v>8230</v>
      </c>
      <c r="M3517" s="70">
        <v>5</v>
      </c>
      <c r="N3517" s="5" t="s">
        <v>8236</v>
      </c>
      <c r="O3517" s="5" t="s">
        <v>266</v>
      </c>
      <c r="Q3517" s="5" t="s">
        <v>553</v>
      </c>
    </row>
    <row r="3518" spans="1:17" x14ac:dyDescent="0.2">
      <c r="A3518" s="5">
        <v>2158</v>
      </c>
      <c r="B3518" s="8" t="s">
        <v>8319</v>
      </c>
      <c r="H3518" s="8" t="s">
        <v>8320</v>
      </c>
      <c r="I3518" s="8" t="s">
        <v>8321</v>
      </c>
      <c r="J3518" s="5">
        <f>6-1+1-1-1-1-1</f>
        <v>2</v>
      </c>
      <c r="K3518" s="5" t="s">
        <v>7221</v>
      </c>
      <c r="L3518" s="70" t="s">
        <v>8230</v>
      </c>
      <c r="M3518" s="70">
        <v>5</v>
      </c>
      <c r="N3518" s="5" t="s">
        <v>8236</v>
      </c>
      <c r="O3518" s="5" t="s">
        <v>266</v>
      </c>
      <c r="Q3518" s="5" t="s">
        <v>553</v>
      </c>
    </row>
    <row r="3519" spans="1:17" x14ac:dyDescent="0.2">
      <c r="A3519" s="5"/>
      <c r="B3519" s="8" t="s">
        <v>8322</v>
      </c>
      <c r="H3519" s="8" t="s">
        <v>8323</v>
      </c>
      <c r="I3519" s="8" t="s">
        <v>8323</v>
      </c>
      <c r="J3519" s="5">
        <f>4-1-1-2</f>
        <v>0</v>
      </c>
      <c r="K3519" s="5" t="s">
        <v>7221</v>
      </c>
      <c r="L3519" s="70" t="s">
        <v>8230</v>
      </c>
      <c r="M3519" s="70">
        <v>5</v>
      </c>
      <c r="N3519" s="5" t="s">
        <v>8236</v>
      </c>
      <c r="Q3519" s="107" t="s">
        <v>8324</v>
      </c>
    </row>
    <row r="3520" spans="1:17" x14ac:dyDescent="0.2">
      <c r="A3520" s="5"/>
      <c r="B3520" s="8" t="s">
        <v>8325</v>
      </c>
      <c r="H3520" s="8" t="s">
        <v>8326</v>
      </c>
      <c r="I3520" s="8" t="s">
        <v>8326</v>
      </c>
      <c r="J3520" s="5">
        <f>1+2+3-5+5-1-1-1+2-2+2-1-1-1-2+2</f>
        <v>2</v>
      </c>
      <c r="K3520" s="5" t="s">
        <v>7221</v>
      </c>
      <c r="L3520" s="70" t="s">
        <v>8230</v>
      </c>
      <c r="M3520" s="70">
        <v>5</v>
      </c>
      <c r="N3520" s="5" t="s">
        <v>8236</v>
      </c>
      <c r="Q3520" s="107" t="s">
        <v>8309</v>
      </c>
    </row>
    <row r="3521" spans="1:21" x14ac:dyDescent="0.2">
      <c r="A3521" s="5">
        <v>2157</v>
      </c>
      <c r="B3521" s="8" t="s">
        <v>8327</v>
      </c>
      <c r="H3521" s="8" t="s">
        <v>8328</v>
      </c>
      <c r="I3521" s="8" t="s">
        <v>8329</v>
      </c>
      <c r="J3521" s="5">
        <f>4-1-1-1-1</f>
        <v>0</v>
      </c>
      <c r="K3521" s="5" t="s">
        <v>7221</v>
      </c>
      <c r="L3521" s="70" t="s">
        <v>8230</v>
      </c>
      <c r="M3521" s="70">
        <v>5</v>
      </c>
      <c r="N3521" s="5" t="s">
        <v>8236</v>
      </c>
      <c r="O3521" s="5" t="s">
        <v>266</v>
      </c>
      <c r="Q3521" s="5" t="s">
        <v>553</v>
      </c>
    </row>
    <row r="3522" spans="1:21" x14ac:dyDescent="0.2">
      <c r="A3522" s="5"/>
      <c r="B3522" s="8" t="s">
        <v>8330</v>
      </c>
      <c r="H3522" s="8" t="s">
        <v>8331</v>
      </c>
      <c r="I3522" s="8" t="s">
        <v>8331</v>
      </c>
      <c r="J3522" s="5">
        <f>3-1-1-1</f>
        <v>0</v>
      </c>
      <c r="K3522" s="5" t="s">
        <v>7221</v>
      </c>
      <c r="L3522" s="70" t="s">
        <v>8230</v>
      </c>
      <c r="M3522" s="70">
        <v>5</v>
      </c>
      <c r="N3522" s="5" t="s">
        <v>8236</v>
      </c>
      <c r="Q3522" s="5" t="s">
        <v>8312</v>
      </c>
    </row>
    <row r="3523" spans="1:21" x14ac:dyDescent="0.2">
      <c r="A3523" s="5"/>
      <c r="B3523" s="8" t="s">
        <v>8332</v>
      </c>
      <c r="H3523" s="8" t="s">
        <v>8333</v>
      </c>
      <c r="I3523" s="8" t="s">
        <v>8333</v>
      </c>
      <c r="J3523" s="5">
        <f>4-1-1</f>
        <v>2</v>
      </c>
      <c r="K3523" s="5" t="s">
        <v>7221</v>
      </c>
      <c r="L3523" s="70" t="s">
        <v>8230</v>
      </c>
      <c r="M3523" s="70">
        <v>5</v>
      </c>
      <c r="N3523" s="5" t="s">
        <v>8236</v>
      </c>
      <c r="Q3523" s="107" t="s">
        <v>8324</v>
      </c>
    </row>
    <row r="3524" spans="1:21" x14ac:dyDescent="0.2">
      <c r="A3524" s="5">
        <v>299</v>
      </c>
      <c r="B3524" s="8" t="s">
        <v>8327</v>
      </c>
      <c r="H3524" s="8" t="s">
        <v>8328</v>
      </c>
      <c r="I3524" s="8" t="s">
        <v>8328</v>
      </c>
      <c r="J3524" s="5">
        <v>0</v>
      </c>
      <c r="K3524" s="5" t="s">
        <v>292</v>
      </c>
      <c r="L3524" s="70" t="s">
        <v>8230</v>
      </c>
      <c r="M3524" s="70">
        <v>5</v>
      </c>
      <c r="N3524" s="5" t="s">
        <v>8236</v>
      </c>
      <c r="O3524" s="5" t="s">
        <v>266</v>
      </c>
      <c r="Q3524" s="5" t="s">
        <v>8334</v>
      </c>
    </row>
    <row r="3525" spans="1:21" x14ac:dyDescent="0.2">
      <c r="A3525" s="5">
        <v>2173</v>
      </c>
      <c r="B3525" s="8" t="s">
        <v>8335</v>
      </c>
      <c r="H3525" s="8" t="s">
        <v>8336</v>
      </c>
      <c r="I3525" s="8" t="s">
        <v>8336</v>
      </c>
      <c r="J3525" s="5">
        <v>3</v>
      </c>
      <c r="K3525" s="5" t="s">
        <v>7221</v>
      </c>
      <c r="L3525" s="70" t="s">
        <v>8230</v>
      </c>
      <c r="M3525" s="70">
        <v>6</v>
      </c>
      <c r="N3525" s="5" t="s">
        <v>8236</v>
      </c>
      <c r="O3525" s="5" t="s">
        <v>266</v>
      </c>
      <c r="Q3525" s="5" t="s">
        <v>553</v>
      </c>
      <c r="U3525" t="s">
        <v>321</v>
      </c>
    </row>
    <row r="3526" spans="1:21" x14ac:dyDescent="0.2">
      <c r="A3526" s="5">
        <v>2172</v>
      </c>
      <c r="B3526" s="8" t="s">
        <v>8337</v>
      </c>
      <c r="H3526" s="8" t="s">
        <v>8338</v>
      </c>
      <c r="I3526" s="8" t="s">
        <v>8339</v>
      </c>
      <c r="J3526" s="5">
        <v>2</v>
      </c>
      <c r="K3526" s="5" t="s">
        <v>7221</v>
      </c>
      <c r="L3526" s="70" t="s">
        <v>8230</v>
      </c>
      <c r="M3526" s="70">
        <v>6</v>
      </c>
      <c r="N3526" s="5" t="s">
        <v>8236</v>
      </c>
      <c r="O3526" s="5" t="s">
        <v>266</v>
      </c>
      <c r="Q3526" s="5" t="s">
        <v>553</v>
      </c>
    </row>
    <row r="3527" spans="1:21" x14ac:dyDescent="0.2">
      <c r="A3527" s="5">
        <v>2165</v>
      </c>
      <c r="B3527" s="8" t="s">
        <v>8340</v>
      </c>
      <c r="H3527" s="8" t="s">
        <v>8341</v>
      </c>
      <c r="I3527" s="8" t="s">
        <v>8341</v>
      </c>
      <c r="J3527" s="5">
        <f>1-1+1</f>
        <v>1</v>
      </c>
      <c r="K3527" s="5" t="s">
        <v>7221</v>
      </c>
      <c r="L3527" s="70" t="s">
        <v>8230</v>
      </c>
      <c r="M3527" s="70">
        <v>6</v>
      </c>
      <c r="N3527" s="5" t="s">
        <v>8236</v>
      </c>
      <c r="O3527" s="5" t="s">
        <v>266</v>
      </c>
      <c r="Q3527" s="7" t="s">
        <v>8342</v>
      </c>
    </row>
    <row r="3528" spans="1:21" x14ac:dyDescent="0.2">
      <c r="A3528" s="5">
        <v>2167</v>
      </c>
      <c r="B3528" s="8" t="s">
        <v>8343</v>
      </c>
      <c r="H3528" s="8" t="s">
        <v>8344</v>
      </c>
      <c r="I3528" s="8" t="s">
        <v>8344</v>
      </c>
      <c r="J3528" s="5">
        <v>1</v>
      </c>
      <c r="K3528" s="5" t="s">
        <v>7221</v>
      </c>
      <c r="L3528" s="70" t="s">
        <v>8230</v>
      </c>
      <c r="M3528" s="70">
        <v>6</v>
      </c>
      <c r="N3528" s="5" t="s">
        <v>8236</v>
      </c>
      <c r="O3528" s="5" t="s">
        <v>266</v>
      </c>
      <c r="Q3528" s="7" t="s">
        <v>8345</v>
      </c>
    </row>
    <row r="3529" spans="1:21" x14ac:dyDescent="0.2">
      <c r="A3529" s="5">
        <v>2169</v>
      </c>
      <c r="B3529" s="8" t="s">
        <v>8346</v>
      </c>
      <c r="H3529" s="8" t="s">
        <v>8347</v>
      </c>
      <c r="I3529" s="8" t="s">
        <v>8347</v>
      </c>
      <c r="J3529" s="5">
        <f>2-2</f>
        <v>0</v>
      </c>
      <c r="K3529" s="5" t="s">
        <v>7221</v>
      </c>
      <c r="L3529" s="70" t="s">
        <v>8230</v>
      </c>
      <c r="M3529" s="70">
        <v>6</v>
      </c>
      <c r="N3529" s="5" t="s">
        <v>8236</v>
      </c>
      <c r="O3529" s="5" t="s">
        <v>266</v>
      </c>
      <c r="Q3529" s="5" t="s">
        <v>8348</v>
      </c>
    </row>
    <row r="3530" spans="1:21" x14ac:dyDescent="0.2">
      <c r="A3530" s="5"/>
      <c r="B3530" s="108" t="s">
        <v>8349</v>
      </c>
      <c r="H3530" s="8" t="s">
        <v>8350</v>
      </c>
      <c r="I3530" s="8" t="s">
        <v>8350</v>
      </c>
      <c r="J3530" s="5">
        <f>3</f>
        <v>3</v>
      </c>
      <c r="K3530" s="5" t="s">
        <v>7221</v>
      </c>
      <c r="L3530" s="70" t="s">
        <v>8230</v>
      </c>
      <c r="M3530" s="70">
        <v>6</v>
      </c>
      <c r="N3530" s="5" t="s">
        <v>8236</v>
      </c>
      <c r="Q3530" s="5" t="s">
        <v>8351</v>
      </c>
    </row>
    <row r="3531" spans="1:21" x14ac:dyDescent="0.2">
      <c r="A3531" s="5">
        <v>2166</v>
      </c>
      <c r="B3531" s="8" t="s">
        <v>8352</v>
      </c>
      <c r="H3531" s="8" t="s">
        <v>8353</v>
      </c>
      <c r="I3531" s="8" t="s">
        <v>8353</v>
      </c>
      <c r="J3531" s="5">
        <v>2</v>
      </c>
      <c r="K3531" s="5" t="s">
        <v>7221</v>
      </c>
      <c r="L3531" s="70" t="s">
        <v>8230</v>
      </c>
      <c r="M3531" s="70">
        <v>6</v>
      </c>
      <c r="N3531" s="5" t="s">
        <v>8236</v>
      </c>
      <c r="O3531" s="5" t="s">
        <v>266</v>
      </c>
      <c r="Q3531" s="5" t="s">
        <v>8345</v>
      </c>
    </row>
    <row r="3532" spans="1:21" x14ac:dyDescent="0.2">
      <c r="A3532" s="5">
        <v>2164</v>
      </c>
      <c r="B3532" s="8" t="s">
        <v>8354</v>
      </c>
      <c r="H3532" s="8" t="s">
        <v>8355</v>
      </c>
      <c r="I3532" s="8" t="s">
        <v>8355</v>
      </c>
      <c r="J3532" s="5">
        <f>2-1-1</f>
        <v>0</v>
      </c>
      <c r="K3532" s="5" t="s">
        <v>7221</v>
      </c>
      <c r="L3532" s="70" t="s">
        <v>8230</v>
      </c>
      <c r="M3532" s="70">
        <v>6</v>
      </c>
      <c r="N3532" s="5" t="s">
        <v>8236</v>
      </c>
      <c r="O3532" s="5" t="s">
        <v>266</v>
      </c>
      <c r="Q3532" s="7" t="s">
        <v>8342</v>
      </c>
    </row>
    <row r="3533" spans="1:21" x14ac:dyDescent="0.2">
      <c r="A3533" s="5"/>
      <c r="B3533" s="8" t="s">
        <v>8356</v>
      </c>
      <c r="H3533" s="8" t="s">
        <v>8357</v>
      </c>
      <c r="I3533" s="8" t="s">
        <v>8357</v>
      </c>
      <c r="J3533" s="5">
        <f>3-1</f>
        <v>2</v>
      </c>
      <c r="K3533" s="5" t="s">
        <v>7221</v>
      </c>
      <c r="L3533" s="70" t="s">
        <v>8230</v>
      </c>
      <c r="M3533" s="70">
        <v>6</v>
      </c>
      <c r="N3533" s="5" t="s">
        <v>8236</v>
      </c>
      <c r="Q3533" s="107" t="s">
        <v>8351</v>
      </c>
    </row>
    <row r="3534" spans="1:21" x14ac:dyDescent="0.2">
      <c r="A3534" s="5">
        <v>2163</v>
      </c>
      <c r="B3534" s="8" t="s">
        <v>8358</v>
      </c>
      <c r="H3534" s="8" t="s">
        <v>8359</v>
      </c>
      <c r="I3534" s="8" t="s">
        <v>8359</v>
      </c>
      <c r="J3534" s="5">
        <f>2-2</f>
        <v>0</v>
      </c>
      <c r="K3534" s="5" t="s">
        <v>7221</v>
      </c>
      <c r="L3534" s="70" t="s">
        <v>8230</v>
      </c>
      <c r="M3534" s="70">
        <v>6</v>
      </c>
      <c r="N3534" s="5" t="s">
        <v>8236</v>
      </c>
      <c r="O3534" s="5" t="s">
        <v>266</v>
      </c>
      <c r="Q3534" s="5" t="s">
        <v>8342</v>
      </c>
    </row>
    <row r="3535" spans="1:21" x14ac:dyDescent="0.2">
      <c r="A3535" s="5"/>
      <c r="B3535" s="8" t="s">
        <v>8360</v>
      </c>
      <c r="H3535" s="8" t="s">
        <v>8350</v>
      </c>
      <c r="I3535" s="8" t="s">
        <v>8350</v>
      </c>
      <c r="J3535" s="5">
        <f>3</f>
        <v>3</v>
      </c>
      <c r="K3535" s="5" t="s">
        <v>7221</v>
      </c>
      <c r="L3535" s="70" t="s">
        <v>8230</v>
      </c>
      <c r="M3535" s="70">
        <v>6</v>
      </c>
      <c r="N3535" s="5" t="s">
        <v>8236</v>
      </c>
      <c r="Q3535" s="107" t="s">
        <v>8351</v>
      </c>
    </row>
    <row r="3536" spans="1:21" x14ac:dyDescent="0.2">
      <c r="A3536" s="5">
        <v>2168</v>
      </c>
      <c r="B3536" s="8" t="s">
        <v>8361</v>
      </c>
      <c r="H3536" s="8" t="s">
        <v>8362</v>
      </c>
      <c r="I3536" s="8" t="s">
        <v>8362</v>
      </c>
      <c r="J3536" s="5">
        <v>2</v>
      </c>
      <c r="K3536" s="5" t="s">
        <v>7221</v>
      </c>
      <c r="L3536" s="70" t="s">
        <v>8230</v>
      </c>
      <c r="M3536" s="70">
        <v>6</v>
      </c>
      <c r="N3536" s="5" t="s">
        <v>8236</v>
      </c>
      <c r="O3536" s="5" t="s">
        <v>266</v>
      </c>
      <c r="Q3536" s="7" t="s">
        <v>8342</v>
      </c>
    </row>
    <row r="3537" spans="1:21" x14ac:dyDescent="0.2">
      <c r="A3537" s="5">
        <v>2170</v>
      </c>
      <c r="B3537" s="8" t="s">
        <v>8363</v>
      </c>
      <c r="H3537" s="8" t="s">
        <v>8364</v>
      </c>
      <c r="I3537" s="8" t="s">
        <v>8364</v>
      </c>
      <c r="J3537" s="5">
        <v>0</v>
      </c>
      <c r="K3537" s="5" t="s">
        <v>7221</v>
      </c>
      <c r="L3537" s="70" t="s">
        <v>8230</v>
      </c>
      <c r="M3537" s="70">
        <v>6</v>
      </c>
      <c r="N3537" s="5" t="s">
        <v>8236</v>
      </c>
      <c r="O3537" s="5" t="s">
        <v>266</v>
      </c>
      <c r="Q3537" s="5" t="s">
        <v>8345</v>
      </c>
    </row>
    <row r="3538" spans="1:21" x14ac:dyDescent="0.2">
      <c r="A3538" s="5">
        <v>2171</v>
      </c>
      <c r="B3538" s="8" t="s">
        <v>8365</v>
      </c>
      <c r="H3538" s="8" t="s">
        <v>8366</v>
      </c>
      <c r="I3538" s="8" t="s">
        <v>8366</v>
      </c>
      <c r="J3538" s="5">
        <v>0</v>
      </c>
      <c r="K3538" s="5" t="s">
        <v>7221</v>
      </c>
      <c r="L3538" s="70" t="s">
        <v>8230</v>
      </c>
      <c r="M3538" s="70">
        <v>6</v>
      </c>
      <c r="N3538" s="5" t="s">
        <v>8236</v>
      </c>
      <c r="O3538" s="5" t="s">
        <v>266</v>
      </c>
      <c r="Q3538" s="5" t="s">
        <v>8345</v>
      </c>
    </row>
    <row r="3539" spans="1:21" x14ac:dyDescent="0.2">
      <c r="A3539" s="5">
        <v>2177</v>
      </c>
      <c r="B3539" s="8" t="s">
        <v>8367</v>
      </c>
      <c r="H3539" s="8" t="s">
        <v>8368</v>
      </c>
      <c r="I3539" s="8" t="s">
        <v>8369</v>
      </c>
      <c r="J3539" s="5">
        <v>1</v>
      </c>
      <c r="K3539" s="5" t="s">
        <v>7221</v>
      </c>
      <c r="L3539" s="70" t="s">
        <v>8230</v>
      </c>
      <c r="M3539" s="70">
        <v>7</v>
      </c>
      <c r="N3539" s="5" t="s">
        <v>8236</v>
      </c>
      <c r="O3539" s="5" t="s">
        <v>266</v>
      </c>
      <c r="S3539" s="5" t="s">
        <v>1139</v>
      </c>
      <c r="U3539" t="s">
        <v>321</v>
      </c>
    </row>
    <row r="3540" spans="1:21" x14ac:dyDescent="0.2">
      <c r="A3540" s="5">
        <v>2176</v>
      </c>
      <c r="B3540" s="8" t="s">
        <v>8370</v>
      </c>
      <c r="H3540" s="8" t="s">
        <v>8368</v>
      </c>
      <c r="I3540" s="8" t="s">
        <v>8369</v>
      </c>
      <c r="J3540" s="5">
        <v>9</v>
      </c>
      <c r="K3540" s="5" t="s">
        <v>7221</v>
      </c>
      <c r="L3540" s="70" t="s">
        <v>8230</v>
      </c>
      <c r="M3540" s="70">
        <v>7</v>
      </c>
      <c r="N3540" s="5" t="s">
        <v>8236</v>
      </c>
      <c r="O3540" s="5" t="s">
        <v>266</v>
      </c>
      <c r="Q3540" s="7" t="s">
        <v>8371</v>
      </c>
    </row>
    <row r="3541" spans="1:21" x14ac:dyDescent="0.2">
      <c r="A3541" s="5">
        <v>2175</v>
      </c>
      <c r="B3541" s="8" t="s">
        <v>8372</v>
      </c>
      <c r="H3541" s="8" t="s">
        <v>8368</v>
      </c>
      <c r="I3541" s="8" t="s">
        <v>8369</v>
      </c>
      <c r="J3541" s="5">
        <f>13-1</f>
        <v>12</v>
      </c>
      <c r="K3541" s="5" t="s">
        <v>7221</v>
      </c>
      <c r="L3541" s="70" t="s">
        <v>8230</v>
      </c>
      <c r="M3541" s="70">
        <v>7</v>
      </c>
      <c r="N3541" s="5" t="s">
        <v>8236</v>
      </c>
      <c r="O3541" s="5" t="s">
        <v>266</v>
      </c>
      <c r="Q3541" s="5" t="s">
        <v>8371</v>
      </c>
    </row>
    <row r="3542" spans="1:21" x14ac:dyDescent="0.2">
      <c r="A3542" s="5">
        <v>2174</v>
      </c>
      <c r="B3542" s="8" t="s">
        <v>8373</v>
      </c>
      <c r="H3542" s="8" t="s">
        <v>8368</v>
      </c>
      <c r="I3542" s="8" t="s">
        <v>8369</v>
      </c>
      <c r="J3542" s="5">
        <v>9</v>
      </c>
      <c r="K3542" s="5" t="s">
        <v>7221</v>
      </c>
      <c r="L3542" s="70" t="s">
        <v>8230</v>
      </c>
      <c r="M3542" s="70">
        <v>7</v>
      </c>
      <c r="N3542" s="5" t="s">
        <v>8236</v>
      </c>
      <c r="O3542" s="5" t="s">
        <v>266</v>
      </c>
      <c r="Q3542" s="5" t="s">
        <v>8374</v>
      </c>
    </row>
    <row r="3543" spans="1:21" x14ac:dyDescent="0.2">
      <c r="A3543" s="5">
        <v>2288</v>
      </c>
      <c r="B3543" s="8">
        <v>4520016</v>
      </c>
      <c r="H3543" s="8" t="s">
        <v>8375</v>
      </c>
      <c r="I3543" s="8" t="s">
        <v>8375</v>
      </c>
      <c r="J3543" s="5">
        <v>2</v>
      </c>
      <c r="K3543" s="5" t="s">
        <v>7221</v>
      </c>
      <c r="L3543" s="70" t="s">
        <v>8230</v>
      </c>
      <c r="M3543" s="70">
        <v>8</v>
      </c>
      <c r="N3543" s="5" t="s">
        <v>8236</v>
      </c>
      <c r="O3543" s="5" t="s">
        <v>266</v>
      </c>
      <c r="Q3543" s="5" t="s">
        <v>8291</v>
      </c>
      <c r="R3543" s="20"/>
    </row>
    <row r="3544" spans="1:21" x14ac:dyDescent="0.2">
      <c r="A3544" s="5">
        <v>2290</v>
      </c>
      <c r="B3544" s="8">
        <v>4520026</v>
      </c>
      <c r="H3544" s="8" t="s">
        <v>8376</v>
      </c>
      <c r="I3544" s="8" t="s">
        <v>8376</v>
      </c>
      <c r="J3544" s="5">
        <v>1</v>
      </c>
      <c r="K3544" s="5" t="s">
        <v>7221</v>
      </c>
      <c r="L3544" s="70" t="s">
        <v>8230</v>
      </c>
      <c r="M3544" s="70">
        <v>8</v>
      </c>
      <c r="N3544" s="5" t="s">
        <v>8236</v>
      </c>
      <c r="O3544" s="5" t="s">
        <v>266</v>
      </c>
      <c r="Q3544" s="5" t="s">
        <v>8291</v>
      </c>
    </row>
    <row r="3545" spans="1:21" x14ac:dyDescent="0.2">
      <c r="A3545" s="5">
        <v>2289</v>
      </c>
      <c r="B3545" s="8">
        <v>4520036</v>
      </c>
      <c r="H3545" s="8" t="s">
        <v>8377</v>
      </c>
      <c r="I3545" s="8" t="s">
        <v>8377</v>
      </c>
      <c r="J3545" s="5">
        <v>2</v>
      </c>
      <c r="K3545" s="5" t="s">
        <v>7221</v>
      </c>
      <c r="L3545" s="70" t="s">
        <v>8230</v>
      </c>
      <c r="M3545" s="70">
        <v>8</v>
      </c>
      <c r="N3545" s="5" t="s">
        <v>8236</v>
      </c>
      <c r="O3545" s="5" t="s">
        <v>266</v>
      </c>
      <c r="Q3545" s="21" t="s">
        <v>8378</v>
      </c>
    </row>
    <row r="3546" spans="1:21" x14ac:dyDescent="0.2">
      <c r="A3546" s="5"/>
      <c r="B3546" s="8" t="s">
        <v>8379</v>
      </c>
      <c r="H3546" s="8" t="s">
        <v>8380</v>
      </c>
      <c r="I3546" s="8" t="s">
        <v>8380</v>
      </c>
      <c r="J3546" s="5">
        <f>1-1</f>
        <v>0</v>
      </c>
      <c r="K3546" s="5" t="s">
        <v>7221</v>
      </c>
      <c r="L3546" s="70" t="s">
        <v>8230</v>
      </c>
      <c r="M3546" s="70">
        <v>9</v>
      </c>
      <c r="N3546" s="5" t="s">
        <v>8236</v>
      </c>
      <c r="O3546" s="5" t="s">
        <v>266</v>
      </c>
      <c r="Q3546" s="21"/>
      <c r="U3546" t="s">
        <v>321</v>
      </c>
    </row>
    <row r="3547" spans="1:21" x14ac:dyDescent="0.2">
      <c r="A3547" s="5">
        <v>2119</v>
      </c>
      <c r="B3547" s="11" t="s">
        <v>8381</v>
      </c>
      <c r="H3547" s="8" t="s">
        <v>8382</v>
      </c>
      <c r="I3547" s="8" t="s">
        <v>8382</v>
      </c>
      <c r="J3547" s="5">
        <v>1</v>
      </c>
      <c r="K3547" s="5" t="s">
        <v>7221</v>
      </c>
      <c r="L3547" s="70" t="s">
        <v>8230</v>
      </c>
      <c r="M3547" s="70">
        <v>10</v>
      </c>
      <c r="N3547" s="5" t="s">
        <v>8383</v>
      </c>
      <c r="O3547" s="5" t="s">
        <v>51</v>
      </c>
      <c r="Q3547" s="7" t="s">
        <v>553</v>
      </c>
    </row>
    <row r="3548" spans="1:21" x14ac:dyDescent="0.2">
      <c r="A3548" s="5"/>
      <c r="B3548" s="8" t="s">
        <v>8384</v>
      </c>
      <c r="H3548" s="8" t="s">
        <v>8385</v>
      </c>
      <c r="I3548" s="8" t="s">
        <v>8385</v>
      </c>
      <c r="J3548" s="5">
        <v>0</v>
      </c>
      <c r="K3548" s="5" t="s">
        <v>7221</v>
      </c>
      <c r="L3548" s="70" t="s">
        <v>8230</v>
      </c>
      <c r="M3548" s="70">
        <v>10</v>
      </c>
      <c r="N3548" s="5" t="s">
        <v>8386</v>
      </c>
      <c r="Q3548" s="7"/>
    </row>
    <row r="3549" spans="1:21" x14ac:dyDescent="0.2">
      <c r="A3549" s="5">
        <v>2120</v>
      </c>
      <c r="B3549" s="8" t="s">
        <v>8387</v>
      </c>
      <c r="H3549" s="8" t="s">
        <v>8388</v>
      </c>
      <c r="I3549" s="8" t="s">
        <v>8388</v>
      </c>
      <c r="J3549" s="5">
        <v>0</v>
      </c>
      <c r="K3549" s="5" t="s">
        <v>7221</v>
      </c>
      <c r="L3549" s="70" t="s">
        <v>8230</v>
      </c>
      <c r="M3549" s="70">
        <v>10</v>
      </c>
      <c r="N3549" s="5" t="s">
        <v>8386</v>
      </c>
      <c r="O3549" s="5" t="s">
        <v>51</v>
      </c>
      <c r="Q3549" s="7" t="s">
        <v>8389</v>
      </c>
    </row>
    <row r="3550" spans="1:21" x14ac:dyDescent="0.2">
      <c r="A3550" s="5"/>
      <c r="B3550" s="8" t="s">
        <v>8390</v>
      </c>
      <c r="H3550" s="8" t="s">
        <v>8391</v>
      </c>
      <c r="I3550" s="8" t="s">
        <v>8391</v>
      </c>
      <c r="J3550" s="5">
        <v>1</v>
      </c>
      <c r="K3550" s="5" t="s">
        <v>7221</v>
      </c>
      <c r="L3550" s="70" t="s">
        <v>8230</v>
      </c>
      <c r="M3550" s="70">
        <v>10</v>
      </c>
      <c r="N3550" s="5" t="s">
        <v>8386</v>
      </c>
      <c r="Q3550" s="7"/>
    </row>
    <row r="3551" spans="1:21" x14ac:dyDescent="0.2">
      <c r="A3551" s="5">
        <v>2121</v>
      </c>
      <c r="B3551" s="11" t="s">
        <v>8392</v>
      </c>
      <c r="H3551" s="8" t="s">
        <v>8393</v>
      </c>
      <c r="I3551" s="8" t="s">
        <v>8393</v>
      </c>
      <c r="J3551" s="5">
        <f>2-1</f>
        <v>1</v>
      </c>
      <c r="K3551" s="5" t="s">
        <v>7221</v>
      </c>
      <c r="L3551" s="70" t="s">
        <v>8230</v>
      </c>
      <c r="M3551" s="70">
        <v>10</v>
      </c>
      <c r="N3551" s="5" t="s">
        <v>8383</v>
      </c>
      <c r="O3551" s="5" t="s">
        <v>51</v>
      </c>
      <c r="Q3551" s="5" t="s">
        <v>8394</v>
      </c>
    </row>
    <row r="3552" spans="1:21" x14ac:dyDescent="0.2">
      <c r="A3552" s="5">
        <v>2125</v>
      </c>
      <c r="B3552" s="11" t="s">
        <v>8395</v>
      </c>
      <c r="H3552" s="8" t="s">
        <v>8396</v>
      </c>
      <c r="I3552" s="8" t="s">
        <v>8396</v>
      </c>
      <c r="J3552" s="5">
        <f>4-3</f>
        <v>1</v>
      </c>
      <c r="K3552" s="5" t="s">
        <v>7221</v>
      </c>
      <c r="L3552" s="70" t="s">
        <v>8230</v>
      </c>
      <c r="M3552" s="70">
        <v>10</v>
      </c>
      <c r="N3552" s="5" t="s">
        <v>8383</v>
      </c>
      <c r="O3552" s="5" t="s">
        <v>51</v>
      </c>
      <c r="Q3552" s="5" t="s">
        <v>8397</v>
      </c>
    </row>
    <row r="3553" spans="1:21" x14ac:dyDescent="0.2">
      <c r="A3553" s="5">
        <v>2122</v>
      </c>
      <c r="B3553" s="11" t="s">
        <v>8398</v>
      </c>
      <c r="H3553" s="8" t="s">
        <v>8399</v>
      </c>
      <c r="I3553" s="8" t="s">
        <v>8400</v>
      </c>
      <c r="J3553" s="5">
        <f>1-1</f>
        <v>0</v>
      </c>
      <c r="K3553" s="5" t="s">
        <v>7221</v>
      </c>
      <c r="L3553" s="70" t="s">
        <v>8230</v>
      </c>
      <c r="M3553" s="70">
        <v>10</v>
      </c>
      <c r="N3553" s="5" t="s">
        <v>8383</v>
      </c>
      <c r="O3553" s="5" t="s">
        <v>51</v>
      </c>
      <c r="Q3553" s="37" t="s">
        <v>2050</v>
      </c>
    </row>
    <row r="3554" spans="1:21" x14ac:dyDescent="0.2">
      <c r="A3554" s="5">
        <v>2123</v>
      </c>
      <c r="B3554" s="8" t="s">
        <v>8401</v>
      </c>
      <c r="H3554" s="8" t="s">
        <v>8402</v>
      </c>
      <c r="I3554" s="8" t="s">
        <v>8402</v>
      </c>
      <c r="J3554" s="5">
        <v>2</v>
      </c>
      <c r="K3554" s="5" t="s">
        <v>7221</v>
      </c>
      <c r="L3554" s="70" t="s">
        <v>8230</v>
      </c>
      <c r="M3554" s="70">
        <v>10</v>
      </c>
      <c r="N3554" s="5" t="s">
        <v>8383</v>
      </c>
      <c r="O3554" s="5" t="s">
        <v>51</v>
      </c>
      <c r="Q3554" s="7" t="s">
        <v>8397</v>
      </c>
    </row>
    <row r="3555" spans="1:21" x14ac:dyDescent="0.2">
      <c r="A3555" s="5"/>
      <c r="B3555" s="11" t="s">
        <v>8403</v>
      </c>
      <c r="H3555" s="8" t="s">
        <v>8404</v>
      </c>
      <c r="I3555" s="8" t="s">
        <v>8404</v>
      </c>
      <c r="J3555" s="5">
        <v>3</v>
      </c>
      <c r="K3555" s="5" t="s">
        <v>7221</v>
      </c>
      <c r="L3555" s="70" t="s">
        <v>8230</v>
      </c>
      <c r="M3555" s="70">
        <v>10</v>
      </c>
      <c r="N3555" s="5" t="s">
        <v>8383</v>
      </c>
      <c r="Q3555" s="37"/>
    </row>
    <row r="3556" spans="1:21" x14ac:dyDescent="0.2">
      <c r="A3556" s="5"/>
      <c r="B3556" s="11" t="s">
        <v>8405</v>
      </c>
      <c r="H3556" s="8" t="s">
        <v>8406</v>
      </c>
      <c r="I3556" s="8" t="s">
        <v>8406</v>
      </c>
      <c r="J3556" s="5">
        <v>3</v>
      </c>
      <c r="K3556" s="5" t="s">
        <v>7221</v>
      </c>
      <c r="L3556" s="70" t="s">
        <v>8230</v>
      </c>
      <c r="M3556" s="70">
        <v>10</v>
      </c>
      <c r="N3556" s="5" t="s">
        <v>8383</v>
      </c>
    </row>
    <row r="3557" spans="1:21" x14ac:dyDescent="0.2">
      <c r="A3557" s="5">
        <v>2126</v>
      </c>
      <c r="B3557" s="8" t="s">
        <v>8407</v>
      </c>
      <c r="H3557" s="8" t="s">
        <v>8406</v>
      </c>
      <c r="I3557" s="8" t="s">
        <v>8406</v>
      </c>
      <c r="J3557" s="5">
        <v>200</v>
      </c>
      <c r="K3557" s="5" t="s">
        <v>8128</v>
      </c>
      <c r="L3557" s="70" t="s">
        <v>8230</v>
      </c>
      <c r="M3557" s="70">
        <v>10</v>
      </c>
      <c r="N3557" s="5" t="s">
        <v>8383</v>
      </c>
      <c r="O3557" s="5" t="s">
        <v>51</v>
      </c>
      <c r="Q3557" s="5" t="s">
        <v>8408</v>
      </c>
    </row>
    <row r="3558" spans="1:21" x14ac:dyDescent="0.2">
      <c r="A3558" s="5">
        <v>2127</v>
      </c>
      <c r="B3558" s="11" t="s">
        <v>8409</v>
      </c>
      <c r="H3558" s="8" t="s">
        <v>8410</v>
      </c>
      <c r="I3558" s="8" t="s">
        <v>8410</v>
      </c>
      <c r="J3558" s="5">
        <v>1</v>
      </c>
      <c r="K3558" s="5" t="s">
        <v>7221</v>
      </c>
      <c r="L3558" s="70" t="s">
        <v>8230</v>
      </c>
      <c r="M3558" s="70">
        <v>10</v>
      </c>
      <c r="N3558" s="5" t="s">
        <v>8383</v>
      </c>
      <c r="O3558" s="5" t="s">
        <v>51</v>
      </c>
      <c r="Q3558" s="5" t="s">
        <v>8411</v>
      </c>
    </row>
    <row r="3559" spans="1:21" x14ac:dyDescent="0.2">
      <c r="A3559" s="5">
        <v>2128</v>
      </c>
      <c r="B3559" s="11" t="s">
        <v>8412</v>
      </c>
      <c r="H3559" s="8" t="s">
        <v>8413</v>
      </c>
      <c r="I3559" s="8" t="s">
        <v>8413</v>
      </c>
      <c r="J3559" s="5">
        <v>2</v>
      </c>
      <c r="K3559" s="5" t="s">
        <v>7221</v>
      </c>
      <c r="L3559" s="70" t="s">
        <v>8230</v>
      </c>
      <c r="M3559" s="70">
        <v>10</v>
      </c>
      <c r="N3559" s="5" t="s">
        <v>8383</v>
      </c>
      <c r="O3559" s="5" t="s">
        <v>51</v>
      </c>
      <c r="Q3559" s="5" t="s">
        <v>8414</v>
      </c>
    </row>
    <row r="3560" spans="1:21" x14ac:dyDescent="0.2">
      <c r="A3560" s="5">
        <v>268</v>
      </c>
      <c r="B3560" s="8" t="s">
        <v>8415</v>
      </c>
      <c r="H3560" s="8" t="s">
        <v>8416</v>
      </c>
      <c r="I3560" s="8" t="s">
        <v>8416</v>
      </c>
      <c r="J3560" s="5">
        <v>1</v>
      </c>
      <c r="K3560" s="5" t="s">
        <v>7221</v>
      </c>
      <c r="L3560" s="70" t="s">
        <v>8230</v>
      </c>
      <c r="M3560" s="70">
        <v>10</v>
      </c>
      <c r="N3560" s="5" t="s">
        <v>8383</v>
      </c>
      <c r="O3560" s="5" t="s">
        <v>520</v>
      </c>
      <c r="Q3560" s="5" t="s">
        <v>8417</v>
      </c>
    </row>
    <row r="3561" spans="1:21" x14ac:dyDescent="0.2">
      <c r="A3561" s="5"/>
      <c r="B3561" s="8" t="s">
        <v>8418</v>
      </c>
      <c r="H3561" s="8" t="s">
        <v>8416</v>
      </c>
      <c r="I3561" s="8" t="s">
        <v>8416</v>
      </c>
      <c r="J3561" s="5">
        <v>1</v>
      </c>
      <c r="K3561" s="5" t="s">
        <v>7221</v>
      </c>
      <c r="L3561" s="70" t="s">
        <v>8230</v>
      </c>
      <c r="M3561" s="70">
        <v>10</v>
      </c>
      <c r="N3561" s="5" t="s">
        <v>8383</v>
      </c>
    </row>
    <row r="3562" spans="1:21" x14ac:dyDescent="0.2">
      <c r="A3562" s="5"/>
      <c r="B3562" s="11" t="s">
        <v>8419</v>
      </c>
      <c r="H3562" s="8" t="s">
        <v>8420</v>
      </c>
      <c r="I3562" s="8" t="s">
        <v>8420</v>
      </c>
      <c r="J3562" s="5">
        <v>2</v>
      </c>
      <c r="K3562" s="5" t="s">
        <v>7221</v>
      </c>
      <c r="L3562" s="70" t="s">
        <v>8230</v>
      </c>
      <c r="M3562" s="70">
        <v>10</v>
      </c>
      <c r="N3562" s="5" t="s">
        <v>8383</v>
      </c>
    </row>
    <row r="3563" spans="1:21" x14ac:dyDescent="0.2">
      <c r="A3563" s="5">
        <v>2129</v>
      </c>
      <c r="B3563" s="8" t="s">
        <v>8421</v>
      </c>
      <c r="H3563" s="8" t="s">
        <v>8422</v>
      </c>
      <c r="I3563" s="8" t="s">
        <v>8422</v>
      </c>
      <c r="J3563" s="5">
        <v>2</v>
      </c>
      <c r="K3563" s="5" t="s">
        <v>7221</v>
      </c>
      <c r="L3563" s="70" t="s">
        <v>8230</v>
      </c>
      <c r="M3563" s="70">
        <v>10</v>
      </c>
      <c r="N3563" s="5" t="s">
        <v>8383</v>
      </c>
      <c r="O3563" s="5" t="s">
        <v>51</v>
      </c>
      <c r="Q3563" s="5" t="s">
        <v>8397</v>
      </c>
    </row>
    <row r="3564" spans="1:21" x14ac:dyDescent="0.2">
      <c r="A3564" s="5">
        <v>2124</v>
      </c>
      <c r="B3564" s="8" t="s">
        <v>8423</v>
      </c>
      <c r="H3564" s="8" t="s">
        <v>8424</v>
      </c>
      <c r="I3564" s="8" t="s">
        <v>8424</v>
      </c>
      <c r="J3564" s="5">
        <v>0</v>
      </c>
      <c r="K3564" s="5" t="s">
        <v>7221</v>
      </c>
      <c r="L3564" s="70" t="s">
        <v>8230</v>
      </c>
      <c r="M3564" s="70">
        <v>10</v>
      </c>
      <c r="N3564" s="5" t="s">
        <v>8383</v>
      </c>
      <c r="O3564" s="5" t="s">
        <v>51</v>
      </c>
      <c r="Q3564" s="5" t="s">
        <v>8425</v>
      </c>
    </row>
    <row r="3565" spans="1:21" x14ac:dyDescent="0.2">
      <c r="A3565" s="5"/>
      <c r="H3565" s="8" t="s">
        <v>8426</v>
      </c>
      <c r="I3565" s="8" t="s">
        <v>8426</v>
      </c>
      <c r="J3565" s="5">
        <f>3-1</f>
        <v>2</v>
      </c>
      <c r="K3565" s="5" t="s">
        <v>7221</v>
      </c>
      <c r="L3565" s="70" t="s">
        <v>8230</v>
      </c>
      <c r="M3565" s="70">
        <v>11</v>
      </c>
      <c r="N3565" s="5" t="s">
        <v>8427</v>
      </c>
      <c r="O3565" s="5" t="s">
        <v>51</v>
      </c>
      <c r="U3565" t="s">
        <v>288</v>
      </c>
    </row>
    <row r="3566" spans="1:21" x14ac:dyDescent="0.2">
      <c r="A3566" s="5"/>
      <c r="H3566" s="8" t="s">
        <v>8428</v>
      </c>
      <c r="I3566" s="8" t="s">
        <v>8428</v>
      </c>
      <c r="J3566" s="5">
        <v>1</v>
      </c>
      <c r="K3566" s="5" t="s">
        <v>7221</v>
      </c>
      <c r="L3566" s="70" t="s">
        <v>8230</v>
      </c>
      <c r="M3566" s="70">
        <v>11</v>
      </c>
      <c r="N3566" s="5" t="s">
        <v>8427</v>
      </c>
      <c r="O3566" s="5" t="s">
        <v>51</v>
      </c>
      <c r="U3566" t="s">
        <v>288</v>
      </c>
    </row>
    <row r="3567" spans="1:21" x14ac:dyDescent="0.2">
      <c r="A3567" s="5">
        <v>2130</v>
      </c>
      <c r="B3567" s="8" t="s">
        <v>8429</v>
      </c>
      <c r="H3567" s="8" t="s">
        <v>8430</v>
      </c>
      <c r="I3567" s="8" t="s">
        <v>8430</v>
      </c>
      <c r="J3567" s="5">
        <v>0</v>
      </c>
      <c r="K3567" s="5" t="s">
        <v>7221</v>
      </c>
      <c r="L3567" s="70" t="s">
        <v>8230</v>
      </c>
      <c r="M3567" s="70">
        <v>11</v>
      </c>
      <c r="N3567" s="5" t="s">
        <v>8427</v>
      </c>
      <c r="O3567" s="5" t="s">
        <v>51</v>
      </c>
      <c r="Q3567" s="5" t="s">
        <v>8431</v>
      </c>
    </row>
    <row r="3568" spans="1:21" x14ac:dyDescent="0.2">
      <c r="A3568" s="5">
        <v>2139</v>
      </c>
      <c r="B3568" s="8" t="s">
        <v>8432</v>
      </c>
      <c r="H3568" s="8" t="s">
        <v>8433</v>
      </c>
      <c r="I3568" s="8" t="s">
        <v>8433</v>
      </c>
      <c r="J3568" s="5">
        <v>1</v>
      </c>
      <c r="K3568" s="5" t="s">
        <v>7221</v>
      </c>
      <c r="L3568" s="70" t="s">
        <v>8230</v>
      </c>
      <c r="M3568" s="70">
        <v>11</v>
      </c>
      <c r="N3568" s="5" t="s">
        <v>8427</v>
      </c>
      <c r="O3568" s="5" t="s">
        <v>51</v>
      </c>
      <c r="Q3568" s="5" t="s">
        <v>553</v>
      </c>
    </row>
    <row r="3569" spans="1:17" x14ac:dyDescent="0.2">
      <c r="A3569" s="5">
        <v>2131</v>
      </c>
      <c r="B3569" s="8" t="s">
        <v>8434</v>
      </c>
      <c r="H3569" s="8" t="s">
        <v>8435</v>
      </c>
      <c r="I3569" s="8" t="s">
        <v>8435</v>
      </c>
      <c r="J3569" s="5">
        <v>3</v>
      </c>
      <c r="K3569" s="5" t="s">
        <v>7221</v>
      </c>
      <c r="L3569" s="94" t="s">
        <v>8230</v>
      </c>
      <c r="M3569" s="94">
        <v>11</v>
      </c>
      <c r="N3569" s="5" t="s">
        <v>8427</v>
      </c>
      <c r="O3569" s="5" t="s">
        <v>51</v>
      </c>
      <c r="Q3569" s="5" t="s">
        <v>553</v>
      </c>
    </row>
    <row r="3570" spans="1:17" x14ac:dyDescent="0.2">
      <c r="A3570" s="5">
        <v>2137</v>
      </c>
      <c r="B3570" s="8" t="s">
        <v>8436</v>
      </c>
      <c r="H3570" s="8" t="s">
        <v>8437</v>
      </c>
      <c r="I3570" s="8" t="s">
        <v>8437</v>
      </c>
      <c r="J3570" s="5">
        <v>2</v>
      </c>
      <c r="K3570" s="5" t="s">
        <v>7221</v>
      </c>
      <c r="L3570" s="94" t="s">
        <v>8230</v>
      </c>
      <c r="M3570" s="94">
        <v>11</v>
      </c>
      <c r="N3570" s="5" t="s">
        <v>8427</v>
      </c>
      <c r="O3570" s="5" t="s">
        <v>51</v>
      </c>
      <c r="Q3570" s="5" t="s">
        <v>553</v>
      </c>
    </row>
    <row r="3571" spans="1:17" x14ac:dyDescent="0.2">
      <c r="A3571" s="5">
        <v>2132</v>
      </c>
      <c r="B3571" s="8" t="s">
        <v>8438</v>
      </c>
      <c r="H3571" s="8" t="s">
        <v>8439</v>
      </c>
      <c r="I3571" s="8" t="s">
        <v>8439</v>
      </c>
      <c r="J3571" s="5">
        <v>1</v>
      </c>
      <c r="K3571" s="5" t="s">
        <v>7221</v>
      </c>
      <c r="L3571" s="70" t="s">
        <v>8230</v>
      </c>
      <c r="M3571" s="70">
        <v>11</v>
      </c>
      <c r="N3571" s="5" t="s">
        <v>8427</v>
      </c>
      <c r="O3571" s="5" t="s">
        <v>51</v>
      </c>
      <c r="Q3571" s="5" t="s">
        <v>553</v>
      </c>
    </row>
    <row r="3572" spans="1:17" x14ac:dyDescent="0.2">
      <c r="A3572" s="5">
        <v>2133</v>
      </c>
      <c r="B3572" s="8" t="s">
        <v>8440</v>
      </c>
      <c r="H3572" s="8" t="s">
        <v>8441</v>
      </c>
      <c r="I3572" s="8" t="s">
        <v>8441</v>
      </c>
      <c r="J3572" s="5">
        <v>1</v>
      </c>
      <c r="K3572" s="5" t="s">
        <v>7221</v>
      </c>
      <c r="L3572" s="70" t="s">
        <v>8230</v>
      </c>
      <c r="M3572" s="70">
        <v>11</v>
      </c>
      <c r="N3572" s="5" t="s">
        <v>8427</v>
      </c>
      <c r="O3572" s="5" t="s">
        <v>51</v>
      </c>
      <c r="Q3572" s="5" t="s">
        <v>553</v>
      </c>
    </row>
    <row r="3573" spans="1:17" x14ac:dyDescent="0.2">
      <c r="A3573" s="5">
        <v>2134</v>
      </c>
      <c r="B3573" s="8" t="s">
        <v>8442</v>
      </c>
      <c r="H3573" s="8" t="s">
        <v>8443</v>
      </c>
      <c r="I3573" s="8" t="s">
        <v>8443</v>
      </c>
      <c r="J3573" s="5">
        <v>1</v>
      </c>
      <c r="K3573" s="5" t="s">
        <v>7221</v>
      </c>
      <c r="L3573" s="70" t="s">
        <v>8230</v>
      </c>
      <c r="M3573" s="70">
        <v>11</v>
      </c>
      <c r="N3573" s="5" t="s">
        <v>8427</v>
      </c>
      <c r="O3573" s="5" t="s">
        <v>51</v>
      </c>
      <c r="Q3573" s="5" t="s">
        <v>553</v>
      </c>
    </row>
    <row r="3574" spans="1:17" x14ac:dyDescent="0.2">
      <c r="A3574" s="5">
        <v>2135</v>
      </c>
      <c r="B3574" s="8" t="s">
        <v>8444</v>
      </c>
      <c r="H3574" s="8" t="s">
        <v>8445</v>
      </c>
      <c r="I3574" s="8" t="s">
        <v>8445</v>
      </c>
      <c r="J3574" s="5">
        <v>1</v>
      </c>
      <c r="K3574" s="5" t="s">
        <v>7221</v>
      </c>
      <c r="L3574" s="70" t="s">
        <v>8230</v>
      </c>
      <c r="M3574" s="70">
        <v>11</v>
      </c>
      <c r="N3574" s="5" t="s">
        <v>8427</v>
      </c>
      <c r="O3574" s="5" t="s">
        <v>51</v>
      </c>
      <c r="Q3574" s="5" t="s">
        <v>553</v>
      </c>
    </row>
    <row r="3575" spans="1:17" x14ac:dyDescent="0.2">
      <c r="A3575" s="5">
        <v>2136</v>
      </c>
      <c r="B3575" s="8" t="s">
        <v>8423</v>
      </c>
      <c r="H3575" s="8" t="s">
        <v>8424</v>
      </c>
      <c r="I3575" s="8" t="s">
        <v>8424</v>
      </c>
      <c r="J3575" s="5">
        <v>2</v>
      </c>
      <c r="K3575" s="5" t="s">
        <v>7221</v>
      </c>
      <c r="L3575" s="70" t="s">
        <v>8230</v>
      </c>
      <c r="M3575" s="70">
        <v>11</v>
      </c>
      <c r="N3575" s="5" t="s">
        <v>8427</v>
      </c>
      <c r="O3575" s="5" t="s">
        <v>51</v>
      </c>
      <c r="Q3575" s="5" t="s">
        <v>553</v>
      </c>
    </row>
    <row r="3576" spans="1:17" x14ac:dyDescent="0.2">
      <c r="A3576" s="5">
        <v>2140</v>
      </c>
      <c r="B3576" s="8" t="s">
        <v>8446</v>
      </c>
      <c r="H3576" s="8" t="s">
        <v>8447</v>
      </c>
      <c r="I3576" s="8" t="s">
        <v>8448</v>
      </c>
      <c r="J3576" s="5">
        <f>3-1-1</f>
        <v>1</v>
      </c>
      <c r="K3576" s="5" t="s">
        <v>7221</v>
      </c>
      <c r="L3576" s="70" t="s">
        <v>8230</v>
      </c>
      <c r="M3576" s="70">
        <v>12</v>
      </c>
      <c r="N3576" s="5" t="s">
        <v>8427</v>
      </c>
      <c r="O3576" s="5" t="s">
        <v>51</v>
      </c>
      <c r="Q3576" s="33" t="s">
        <v>553</v>
      </c>
    </row>
    <row r="3577" spans="1:17" x14ac:dyDescent="0.2">
      <c r="A3577" s="5">
        <v>2143</v>
      </c>
      <c r="B3577" s="8" t="s">
        <v>8429</v>
      </c>
      <c r="H3577" s="8" t="s">
        <v>8449</v>
      </c>
      <c r="I3577" s="8" t="s">
        <v>8449</v>
      </c>
      <c r="J3577" s="5">
        <f>1-1</f>
        <v>0</v>
      </c>
      <c r="K3577" s="5" t="s">
        <v>7221</v>
      </c>
      <c r="L3577" s="70" t="s">
        <v>8230</v>
      </c>
      <c r="M3577" s="70">
        <v>12</v>
      </c>
      <c r="N3577" s="5" t="s">
        <v>8427</v>
      </c>
      <c r="O3577" s="5" t="s">
        <v>51</v>
      </c>
      <c r="Q3577" s="5" t="s">
        <v>553</v>
      </c>
    </row>
    <row r="3578" spans="1:17" x14ac:dyDescent="0.2">
      <c r="A3578" s="5">
        <v>2146</v>
      </c>
      <c r="B3578" s="8" t="s">
        <v>8450</v>
      </c>
      <c r="H3578" s="8" t="s">
        <v>8451</v>
      </c>
      <c r="I3578" s="8" t="s">
        <v>8451</v>
      </c>
      <c r="J3578" s="5">
        <f>3-1-1</f>
        <v>1</v>
      </c>
      <c r="K3578" s="5" t="s">
        <v>7221</v>
      </c>
      <c r="L3578" s="70" t="s">
        <v>8230</v>
      </c>
      <c r="M3578" s="70">
        <v>12</v>
      </c>
      <c r="N3578" s="5" t="s">
        <v>8427</v>
      </c>
      <c r="O3578" s="5" t="s">
        <v>51</v>
      </c>
      <c r="Q3578" s="5" t="s">
        <v>553</v>
      </c>
    </row>
    <row r="3579" spans="1:17" x14ac:dyDescent="0.2">
      <c r="A3579" s="5">
        <v>2142</v>
      </c>
      <c r="B3579" s="8" t="s">
        <v>8452</v>
      </c>
      <c r="H3579" s="8" t="s">
        <v>8453</v>
      </c>
      <c r="I3579" s="8" t="s">
        <v>8453</v>
      </c>
      <c r="J3579" s="5">
        <v>0</v>
      </c>
      <c r="K3579" s="5" t="s">
        <v>7221</v>
      </c>
      <c r="L3579" s="70" t="s">
        <v>8230</v>
      </c>
      <c r="M3579" s="70">
        <v>12</v>
      </c>
      <c r="N3579" s="5" t="s">
        <v>8427</v>
      </c>
      <c r="O3579" s="5" t="s">
        <v>51</v>
      </c>
      <c r="Q3579" s="5" t="s">
        <v>553</v>
      </c>
    </row>
    <row r="3580" spans="1:17" x14ac:dyDescent="0.2">
      <c r="A3580" s="5"/>
      <c r="B3580" s="8" t="s">
        <v>8454</v>
      </c>
      <c r="H3580" s="8" t="s">
        <v>8455</v>
      </c>
      <c r="I3580" s="8" t="s">
        <v>8455</v>
      </c>
      <c r="J3580" s="5">
        <f>2</f>
        <v>2</v>
      </c>
      <c r="K3580" s="5" t="s">
        <v>7221</v>
      </c>
      <c r="L3580" s="70" t="s">
        <v>8230</v>
      </c>
      <c r="M3580" s="70">
        <v>12</v>
      </c>
      <c r="N3580" s="5" t="s">
        <v>8427</v>
      </c>
      <c r="Q3580" s="107" t="s">
        <v>8456</v>
      </c>
    </row>
    <row r="3581" spans="1:17" x14ac:dyDescent="0.2">
      <c r="A3581" s="5"/>
      <c r="B3581" s="8" t="s">
        <v>8457</v>
      </c>
      <c r="H3581" s="8" t="s">
        <v>8458</v>
      </c>
      <c r="I3581" s="8" t="s">
        <v>8458</v>
      </c>
      <c r="J3581" s="5">
        <f>2</f>
        <v>2</v>
      </c>
      <c r="K3581" s="5" t="s">
        <v>7221</v>
      </c>
      <c r="L3581" s="70" t="s">
        <v>8230</v>
      </c>
      <c r="M3581" s="70">
        <v>12</v>
      </c>
      <c r="N3581" s="5" t="s">
        <v>8427</v>
      </c>
      <c r="Q3581" s="107" t="s">
        <v>8459</v>
      </c>
    </row>
    <row r="3582" spans="1:17" x14ac:dyDescent="0.2">
      <c r="A3582" s="5">
        <v>2144</v>
      </c>
      <c r="B3582" s="8" t="s">
        <v>8460</v>
      </c>
      <c r="H3582" s="8" t="s">
        <v>8461</v>
      </c>
      <c r="I3582" s="8" t="s">
        <v>8461</v>
      </c>
      <c r="J3582" s="5">
        <v>2</v>
      </c>
      <c r="K3582" s="5" t="s">
        <v>7221</v>
      </c>
      <c r="L3582" s="70" t="s">
        <v>8230</v>
      </c>
      <c r="M3582" s="70">
        <v>12</v>
      </c>
      <c r="N3582" s="5" t="s">
        <v>8427</v>
      </c>
      <c r="O3582" s="5" t="s">
        <v>51</v>
      </c>
      <c r="Q3582" s="5" t="s">
        <v>553</v>
      </c>
    </row>
    <row r="3583" spans="1:17" x14ac:dyDescent="0.2">
      <c r="A3583" s="5">
        <v>2145</v>
      </c>
      <c r="B3583" s="8" t="s">
        <v>4361</v>
      </c>
      <c r="H3583" s="8" t="s">
        <v>8462</v>
      </c>
      <c r="I3583" s="8" t="s">
        <v>8462</v>
      </c>
      <c r="J3583" s="5">
        <v>1</v>
      </c>
      <c r="K3583" s="5" t="s">
        <v>7221</v>
      </c>
      <c r="L3583" s="70" t="s">
        <v>8230</v>
      </c>
      <c r="M3583" s="70">
        <v>12</v>
      </c>
      <c r="N3583" s="5" t="s">
        <v>8427</v>
      </c>
      <c r="O3583" s="5" t="s">
        <v>51</v>
      </c>
      <c r="Q3583" s="5" t="s">
        <v>553</v>
      </c>
    </row>
    <row r="3584" spans="1:17" x14ac:dyDescent="0.2">
      <c r="A3584" s="5">
        <v>2141</v>
      </c>
      <c r="B3584" s="8" t="s">
        <v>8463</v>
      </c>
      <c r="H3584" s="8" t="s">
        <v>8464</v>
      </c>
      <c r="I3584" s="8" t="s">
        <v>8464</v>
      </c>
      <c r="J3584" s="5">
        <f>2-1</f>
        <v>1</v>
      </c>
      <c r="K3584" s="5" t="s">
        <v>7221</v>
      </c>
      <c r="L3584" s="70" t="s">
        <v>8230</v>
      </c>
      <c r="M3584" s="70">
        <v>12</v>
      </c>
      <c r="N3584" s="5" t="s">
        <v>8427</v>
      </c>
      <c r="O3584" s="5" t="s">
        <v>51</v>
      </c>
      <c r="Q3584" s="5" t="s">
        <v>553</v>
      </c>
    </row>
    <row r="3585" spans="1:17" x14ac:dyDescent="0.2">
      <c r="A3585" s="5"/>
      <c r="B3585" s="8" t="s">
        <v>8465</v>
      </c>
      <c r="H3585" s="8" t="s">
        <v>8466</v>
      </c>
      <c r="I3585" s="8" t="s">
        <v>8466</v>
      </c>
      <c r="J3585" s="5">
        <f>2-1</f>
        <v>1</v>
      </c>
      <c r="K3585" s="5" t="s">
        <v>7221</v>
      </c>
      <c r="L3585" s="70" t="s">
        <v>8230</v>
      </c>
      <c r="M3585" s="70">
        <v>12</v>
      </c>
      <c r="N3585" s="5" t="s">
        <v>8427</v>
      </c>
      <c r="Q3585" s="131" t="s">
        <v>8467</v>
      </c>
    </row>
    <row r="3586" spans="1:17" x14ac:dyDescent="0.2">
      <c r="A3586" s="5"/>
      <c r="B3586" s="8" t="s">
        <v>8468</v>
      </c>
      <c r="H3586" s="8" t="s">
        <v>8469</v>
      </c>
      <c r="I3586" s="8" t="s">
        <v>8469</v>
      </c>
      <c r="J3586" s="5">
        <f>2-1-1</f>
        <v>0</v>
      </c>
      <c r="K3586" s="5" t="s">
        <v>7221</v>
      </c>
      <c r="L3586" s="70" t="s">
        <v>8230</v>
      </c>
      <c r="M3586" s="70">
        <v>12</v>
      </c>
      <c r="N3586" s="5" t="s">
        <v>8427</v>
      </c>
      <c r="Q3586" s="131" t="s">
        <v>8467</v>
      </c>
    </row>
    <row r="3587" spans="1:17" x14ac:dyDescent="0.2">
      <c r="A3587" s="5"/>
      <c r="B3587" s="8" t="s">
        <v>8470</v>
      </c>
      <c r="H3587" s="8" t="s">
        <v>8471</v>
      </c>
      <c r="I3587" s="8" t="s">
        <v>8471</v>
      </c>
      <c r="J3587" s="5">
        <f>2-1-1</f>
        <v>0</v>
      </c>
      <c r="K3587" s="5" t="s">
        <v>7221</v>
      </c>
      <c r="L3587" s="70" t="s">
        <v>8230</v>
      </c>
      <c r="M3587" s="70">
        <v>12</v>
      </c>
      <c r="N3587" s="5" t="s">
        <v>8427</v>
      </c>
      <c r="Q3587" s="131" t="s">
        <v>8467</v>
      </c>
    </row>
    <row r="3588" spans="1:17" x14ac:dyDescent="0.2">
      <c r="A3588" s="5"/>
      <c r="B3588" s="8" t="s">
        <v>8472</v>
      </c>
      <c r="H3588" s="8" t="s">
        <v>8473</v>
      </c>
      <c r="I3588" s="8" t="s">
        <v>8473</v>
      </c>
      <c r="J3588" s="5">
        <f>1-1</f>
        <v>0</v>
      </c>
      <c r="K3588" s="5" t="s">
        <v>7221</v>
      </c>
      <c r="L3588" s="70" t="s">
        <v>8230</v>
      </c>
      <c r="M3588" s="70">
        <v>13</v>
      </c>
      <c r="N3588" s="5" t="s">
        <v>8427</v>
      </c>
      <c r="O3588" s="5" t="s">
        <v>51</v>
      </c>
      <c r="Q3588" s="5" t="s">
        <v>8474</v>
      </c>
    </row>
    <row r="3589" spans="1:17" x14ac:dyDescent="0.2">
      <c r="A3589" s="5">
        <v>2149</v>
      </c>
      <c r="B3589" s="8" t="s">
        <v>8475</v>
      </c>
      <c r="H3589" s="8" t="s">
        <v>8476</v>
      </c>
      <c r="I3589" s="8" t="s">
        <v>8476</v>
      </c>
      <c r="J3589" s="5">
        <f>2-1+1</f>
        <v>2</v>
      </c>
      <c r="K3589" s="5" t="s">
        <v>7221</v>
      </c>
      <c r="L3589" s="70" t="s">
        <v>8230</v>
      </c>
      <c r="M3589" s="70">
        <v>13</v>
      </c>
      <c r="N3589" s="5" t="s">
        <v>8427</v>
      </c>
      <c r="O3589" s="5" t="s">
        <v>51</v>
      </c>
      <c r="Q3589" s="5" t="s">
        <v>8477</v>
      </c>
    </row>
    <row r="3590" spans="1:17" x14ac:dyDescent="0.2">
      <c r="A3590" s="5">
        <v>2150</v>
      </c>
      <c r="B3590" s="8" t="s">
        <v>8478</v>
      </c>
      <c r="H3590" s="8" t="s">
        <v>8479</v>
      </c>
      <c r="I3590" s="8" t="s">
        <v>8479</v>
      </c>
      <c r="J3590" s="5">
        <v>6</v>
      </c>
      <c r="K3590" s="5" t="s">
        <v>7221</v>
      </c>
      <c r="L3590" s="70" t="s">
        <v>8230</v>
      </c>
      <c r="M3590" s="70">
        <v>13</v>
      </c>
      <c r="N3590" s="5" t="s">
        <v>8427</v>
      </c>
      <c r="O3590" s="5" t="s">
        <v>51</v>
      </c>
    </row>
    <row r="3591" spans="1:17" x14ac:dyDescent="0.2">
      <c r="A3591" s="5">
        <v>2147</v>
      </c>
      <c r="B3591" s="8" t="s">
        <v>8480</v>
      </c>
      <c r="H3591" s="8" t="s">
        <v>8481</v>
      </c>
      <c r="I3591" s="8" t="s">
        <v>8481</v>
      </c>
      <c r="J3591" s="5">
        <v>1</v>
      </c>
      <c r="K3591" s="5" t="s">
        <v>7221</v>
      </c>
      <c r="L3591" s="70" t="s">
        <v>8230</v>
      </c>
      <c r="M3591" s="70">
        <v>13</v>
      </c>
      <c r="N3591" s="5" t="s">
        <v>8427</v>
      </c>
      <c r="O3591" s="5" t="s">
        <v>51</v>
      </c>
      <c r="Q3591" s="7" t="s">
        <v>8482</v>
      </c>
    </row>
    <row r="3592" spans="1:17" x14ac:dyDescent="0.2">
      <c r="A3592" s="5">
        <v>2141</v>
      </c>
      <c r="B3592" s="8" t="s">
        <v>8483</v>
      </c>
      <c r="H3592" s="8" t="s">
        <v>8484</v>
      </c>
      <c r="I3592" s="8" t="s">
        <v>8484</v>
      </c>
      <c r="J3592" s="5">
        <v>1</v>
      </c>
      <c r="K3592" s="5" t="s">
        <v>7221</v>
      </c>
      <c r="L3592" s="70" t="s">
        <v>8230</v>
      </c>
      <c r="M3592" s="70">
        <v>13</v>
      </c>
      <c r="N3592" s="5" t="s">
        <v>8427</v>
      </c>
      <c r="O3592" s="5" t="s">
        <v>51</v>
      </c>
      <c r="Q3592" s="5" t="s">
        <v>553</v>
      </c>
    </row>
    <row r="3593" spans="1:17" x14ac:dyDescent="0.2">
      <c r="A3593" s="5"/>
      <c r="B3593" s="8" t="s">
        <v>8485</v>
      </c>
      <c r="H3593" s="8" t="s">
        <v>8486</v>
      </c>
      <c r="I3593" s="8" t="s">
        <v>8486</v>
      </c>
      <c r="J3593" s="5">
        <f>1-1</f>
        <v>0</v>
      </c>
      <c r="K3593" s="5" t="s">
        <v>7221</v>
      </c>
      <c r="L3593" s="70" t="s">
        <v>8230</v>
      </c>
      <c r="M3593" s="70">
        <v>13</v>
      </c>
      <c r="N3593" s="5" t="s">
        <v>8427</v>
      </c>
      <c r="O3593" s="5" t="s">
        <v>51</v>
      </c>
    </row>
    <row r="3594" spans="1:17" x14ac:dyDescent="0.2">
      <c r="A3594" s="5">
        <v>2151</v>
      </c>
      <c r="B3594" s="8" t="s">
        <v>8487</v>
      </c>
      <c r="H3594" s="8" t="s">
        <v>8488</v>
      </c>
      <c r="I3594" s="8" t="s">
        <v>8488</v>
      </c>
      <c r="J3594" s="5">
        <f>4-1</f>
        <v>3</v>
      </c>
      <c r="K3594" s="5" t="s">
        <v>7221</v>
      </c>
      <c r="L3594" s="70" t="s">
        <v>8230</v>
      </c>
      <c r="M3594" s="70">
        <v>13</v>
      </c>
      <c r="N3594" s="5" t="s">
        <v>8427</v>
      </c>
      <c r="O3594" s="5" t="s">
        <v>51</v>
      </c>
    </row>
    <row r="3595" spans="1:17" x14ac:dyDescent="0.2">
      <c r="A3595" s="5"/>
      <c r="B3595" s="8" t="s">
        <v>8489</v>
      </c>
      <c r="H3595" s="8" t="s">
        <v>8490</v>
      </c>
      <c r="I3595" s="8" t="s">
        <v>8490</v>
      </c>
      <c r="J3595" s="5">
        <v>1</v>
      </c>
      <c r="K3595" s="5" t="s">
        <v>7221</v>
      </c>
      <c r="L3595" s="70" t="s">
        <v>8230</v>
      </c>
      <c r="M3595" s="70">
        <v>13</v>
      </c>
      <c r="N3595" s="5" t="s">
        <v>8427</v>
      </c>
    </row>
    <row r="3596" spans="1:17" x14ac:dyDescent="0.2">
      <c r="A3596" s="5">
        <v>2148</v>
      </c>
      <c r="B3596" s="8" t="s">
        <v>8491</v>
      </c>
      <c r="H3596" s="8" t="s">
        <v>8492</v>
      </c>
      <c r="I3596" s="8" t="s">
        <v>8492</v>
      </c>
      <c r="J3596" s="5">
        <v>0</v>
      </c>
      <c r="K3596" s="5" t="s">
        <v>7221</v>
      </c>
      <c r="L3596" s="70" t="s">
        <v>8230</v>
      </c>
      <c r="M3596" s="70">
        <v>13</v>
      </c>
      <c r="N3596" s="5" t="s">
        <v>8427</v>
      </c>
      <c r="O3596" s="5" t="s">
        <v>51</v>
      </c>
      <c r="Q3596" s="5" t="s">
        <v>8493</v>
      </c>
    </row>
    <row r="3597" spans="1:17" x14ac:dyDescent="0.2">
      <c r="A3597" s="5"/>
      <c r="B3597" s="8" t="s">
        <v>8494</v>
      </c>
      <c r="H3597" s="8" t="s">
        <v>8495</v>
      </c>
      <c r="I3597" s="8" t="s">
        <v>8495</v>
      </c>
      <c r="J3597" s="5">
        <f>3-1-1+1-1</f>
        <v>1</v>
      </c>
      <c r="K3597" s="5" t="s">
        <v>7221</v>
      </c>
      <c r="L3597" s="70" t="s">
        <v>8230</v>
      </c>
      <c r="M3597" s="70">
        <v>13</v>
      </c>
      <c r="N3597" s="5" t="s">
        <v>8427</v>
      </c>
      <c r="Q3597" s="5" t="s">
        <v>8496</v>
      </c>
    </row>
    <row r="3598" spans="1:17" x14ac:dyDescent="0.2">
      <c r="A3598" s="5">
        <v>2265</v>
      </c>
      <c r="B3598" s="8" t="s">
        <v>8497</v>
      </c>
      <c r="H3598" s="8" t="s">
        <v>8498</v>
      </c>
      <c r="I3598" s="8" t="s">
        <v>8498</v>
      </c>
      <c r="J3598" s="5">
        <f>2+1</f>
        <v>3</v>
      </c>
      <c r="K3598" s="5" t="s">
        <v>2621</v>
      </c>
      <c r="L3598" s="70" t="s">
        <v>8230</v>
      </c>
      <c r="M3598" s="70">
        <v>14</v>
      </c>
      <c r="N3598" s="5" t="s">
        <v>8236</v>
      </c>
      <c r="O3598" s="5" t="s">
        <v>266</v>
      </c>
      <c r="Q3598" s="5" t="s">
        <v>8499</v>
      </c>
    </row>
    <row r="3599" spans="1:17" x14ac:dyDescent="0.2">
      <c r="A3599" s="5">
        <v>2268</v>
      </c>
      <c r="B3599" s="8" t="s">
        <v>8500</v>
      </c>
      <c r="H3599" s="8" t="s">
        <v>8501</v>
      </c>
      <c r="I3599" s="8" t="s">
        <v>8501</v>
      </c>
      <c r="J3599" s="5">
        <f>2+1-1</f>
        <v>2</v>
      </c>
      <c r="K3599" s="5" t="s">
        <v>2621</v>
      </c>
      <c r="L3599" s="70" t="s">
        <v>8230</v>
      </c>
      <c r="M3599" s="70">
        <v>14</v>
      </c>
      <c r="N3599" s="5" t="s">
        <v>8236</v>
      </c>
      <c r="O3599" s="5" t="s">
        <v>266</v>
      </c>
      <c r="Q3599" s="7" t="s">
        <v>8499</v>
      </c>
    </row>
    <row r="3600" spans="1:17" x14ac:dyDescent="0.2">
      <c r="A3600" s="5">
        <v>2270</v>
      </c>
      <c r="B3600" s="8" t="s">
        <v>8502</v>
      </c>
      <c r="H3600" s="8" t="s">
        <v>8503</v>
      </c>
      <c r="I3600" s="8" t="s">
        <v>8503</v>
      </c>
      <c r="J3600" s="5">
        <f>2+1</f>
        <v>3</v>
      </c>
      <c r="K3600" s="5" t="s">
        <v>2621</v>
      </c>
      <c r="L3600" s="70" t="s">
        <v>8230</v>
      </c>
      <c r="M3600" s="70">
        <v>14</v>
      </c>
      <c r="N3600" s="5" t="s">
        <v>8236</v>
      </c>
      <c r="O3600" s="5" t="s">
        <v>266</v>
      </c>
      <c r="Q3600" s="5" t="s">
        <v>8499</v>
      </c>
    </row>
    <row r="3601" spans="1:21" x14ac:dyDescent="0.2">
      <c r="A3601" s="5"/>
      <c r="B3601" s="8" t="s">
        <v>8504</v>
      </c>
      <c r="H3601" s="8" t="s">
        <v>8505</v>
      </c>
      <c r="I3601" s="8" t="s">
        <v>8505</v>
      </c>
      <c r="J3601" s="5">
        <v>3</v>
      </c>
      <c r="K3601" s="5" t="s">
        <v>2621</v>
      </c>
      <c r="L3601" s="70" t="s">
        <v>8230</v>
      </c>
      <c r="M3601" s="70">
        <v>14</v>
      </c>
      <c r="N3601" s="5" t="s">
        <v>8236</v>
      </c>
      <c r="O3601" s="5" t="s">
        <v>266</v>
      </c>
      <c r="Q3601" s="7"/>
      <c r="U3601" t="s">
        <v>321</v>
      </c>
    </row>
    <row r="3602" spans="1:21" x14ac:dyDescent="0.2">
      <c r="A3602" s="5">
        <v>2267</v>
      </c>
      <c r="B3602" s="8" t="s">
        <v>8506</v>
      </c>
      <c r="H3602" s="8" t="s">
        <v>8507</v>
      </c>
      <c r="I3602" s="8" t="s">
        <v>8507</v>
      </c>
      <c r="J3602" s="5">
        <v>2</v>
      </c>
      <c r="K3602" s="5" t="s">
        <v>2621</v>
      </c>
      <c r="L3602" s="70" t="s">
        <v>8230</v>
      </c>
      <c r="M3602" s="70">
        <v>14</v>
      </c>
      <c r="N3602" s="5" t="s">
        <v>8236</v>
      </c>
      <c r="O3602" s="5" t="s">
        <v>266</v>
      </c>
      <c r="Q3602" s="5" t="s">
        <v>8499</v>
      </c>
    </row>
    <row r="3603" spans="1:21" x14ac:dyDescent="0.2">
      <c r="A3603" s="5">
        <v>2269</v>
      </c>
      <c r="B3603" s="8" t="s">
        <v>8508</v>
      </c>
      <c r="H3603" s="8" t="s">
        <v>8509</v>
      </c>
      <c r="I3603" s="8" t="s">
        <v>8509</v>
      </c>
      <c r="J3603" s="5">
        <v>3</v>
      </c>
      <c r="K3603" s="5" t="s">
        <v>2621</v>
      </c>
      <c r="L3603" s="70" t="s">
        <v>8230</v>
      </c>
      <c r="M3603" s="70">
        <v>14</v>
      </c>
      <c r="N3603" s="5" t="s">
        <v>8236</v>
      </c>
      <c r="O3603" s="5" t="s">
        <v>266</v>
      </c>
      <c r="Q3603" s="5" t="s">
        <v>8510</v>
      </c>
    </row>
    <row r="3604" spans="1:21" x14ac:dyDescent="0.2">
      <c r="A3604" s="5"/>
      <c r="B3604" s="8" t="s">
        <v>8511</v>
      </c>
      <c r="H3604" s="8" t="s">
        <v>8512</v>
      </c>
      <c r="I3604" s="8" t="s">
        <v>8512</v>
      </c>
      <c r="J3604" s="5">
        <v>2</v>
      </c>
      <c r="K3604" s="5" t="s">
        <v>7221</v>
      </c>
      <c r="L3604" s="70" t="s">
        <v>8230</v>
      </c>
      <c r="M3604" s="70">
        <v>14</v>
      </c>
      <c r="N3604" s="5" t="s">
        <v>8236</v>
      </c>
      <c r="O3604" s="5" t="s">
        <v>266</v>
      </c>
      <c r="Q3604" s="7"/>
      <c r="U3604" t="s">
        <v>321</v>
      </c>
    </row>
    <row r="3605" spans="1:21" x14ac:dyDescent="0.2">
      <c r="A3605" s="5"/>
      <c r="B3605" s="8" t="s">
        <v>8513</v>
      </c>
      <c r="H3605" s="8" t="s">
        <v>8514</v>
      </c>
      <c r="I3605" s="8" t="s">
        <v>8514</v>
      </c>
      <c r="J3605" s="5">
        <v>2</v>
      </c>
      <c r="K3605" s="5" t="s">
        <v>2621</v>
      </c>
      <c r="L3605" s="70" t="s">
        <v>8230</v>
      </c>
      <c r="M3605" s="70">
        <v>14</v>
      </c>
      <c r="N3605" s="5" t="s">
        <v>8236</v>
      </c>
      <c r="O3605" s="5" t="s">
        <v>266</v>
      </c>
      <c r="Q3605" s="7"/>
      <c r="U3605" t="s">
        <v>321</v>
      </c>
    </row>
    <row r="3606" spans="1:21" x14ac:dyDescent="0.2">
      <c r="A3606" s="5"/>
      <c r="B3606" s="8" t="s">
        <v>8515</v>
      </c>
      <c r="H3606" s="8" t="s">
        <v>8516</v>
      </c>
      <c r="I3606" s="8" t="s">
        <v>8516</v>
      </c>
      <c r="J3606" s="5">
        <f>2+2</f>
        <v>4</v>
      </c>
      <c r="K3606" s="5" t="s">
        <v>2621</v>
      </c>
      <c r="L3606" s="70" t="s">
        <v>8230</v>
      </c>
      <c r="M3606" s="70">
        <v>14</v>
      </c>
      <c r="N3606" s="5" t="s">
        <v>8236</v>
      </c>
      <c r="O3606" s="5" t="s">
        <v>266</v>
      </c>
      <c r="Q3606" s="7"/>
    </row>
    <row r="3607" spans="1:21" x14ac:dyDescent="0.2">
      <c r="A3607" s="5"/>
      <c r="B3607" s="8" t="s">
        <v>6980</v>
      </c>
      <c r="H3607" s="8" t="s">
        <v>8512</v>
      </c>
      <c r="I3607" s="8" t="s">
        <v>8512</v>
      </c>
      <c r="J3607" s="5">
        <v>1</v>
      </c>
      <c r="K3607" s="5" t="s">
        <v>7221</v>
      </c>
      <c r="L3607" s="70" t="s">
        <v>8230</v>
      </c>
      <c r="M3607" s="70">
        <v>14</v>
      </c>
      <c r="N3607" s="5" t="s">
        <v>8236</v>
      </c>
      <c r="O3607" s="5" t="s">
        <v>266</v>
      </c>
      <c r="Q3607" s="7" t="s">
        <v>8257</v>
      </c>
      <c r="U3607" t="s">
        <v>321</v>
      </c>
    </row>
    <row r="3608" spans="1:21" x14ac:dyDescent="0.2">
      <c r="A3608" s="5">
        <v>2266</v>
      </c>
      <c r="B3608" s="8" t="s">
        <v>8517</v>
      </c>
      <c r="H3608" s="8" t="s">
        <v>8518</v>
      </c>
      <c r="I3608" s="8" t="s">
        <v>8518</v>
      </c>
      <c r="J3608" s="5">
        <f>2-1</f>
        <v>1</v>
      </c>
      <c r="K3608" s="5" t="s">
        <v>2621</v>
      </c>
      <c r="L3608" s="70" t="s">
        <v>8230</v>
      </c>
      <c r="M3608" s="70">
        <v>14</v>
      </c>
      <c r="N3608" s="5" t="s">
        <v>8236</v>
      </c>
      <c r="O3608" s="5" t="s">
        <v>266</v>
      </c>
      <c r="Q3608" s="5" t="s">
        <v>8499</v>
      </c>
    </row>
    <row r="3609" spans="1:21" x14ac:dyDescent="0.2">
      <c r="A3609" s="5">
        <v>2273</v>
      </c>
      <c r="B3609" s="8">
        <v>83002001000</v>
      </c>
      <c r="H3609" s="8" t="s">
        <v>8519</v>
      </c>
      <c r="I3609" s="8" t="s">
        <v>8519</v>
      </c>
      <c r="J3609" s="5">
        <v>4</v>
      </c>
      <c r="K3609" s="5" t="s">
        <v>7221</v>
      </c>
      <c r="L3609" s="70" t="s">
        <v>8230</v>
      </c>
      <c r="M3609" s="70">
        <v>15</v>
      </c>
      <c r="N3609" s="5" t="s">
        <v>8236</v>
      </c>
      <c r="O3609" s="5" t="s">
        <v>266</v>
      </c>
      <c r="Q3609" s="5" t="s">
        <v>553</v>
      </c>
    </row>
    <row r="3610" spans="1:21" x14ac:dyDescent="0.2">
      <c r="A3610" s="5">
        <v>2278</v>
      </c>
      <c r="B3610" s="11" t="s">
        <v>8520</v>
      </c>
      <c r="H3610" s="8" t="s">
        <v>8521</v>
      </c>
      <c r="I3610" s="8" t="s">
        <v>8521</v>
      </c>
      <c r="J3610" s="5">
        <v>2</v>
      </c>
      <c r="K3610" s="5" t="s">
        <v>7221</v>
      </c>
      <c r="L3610" s="70" t="s">
        <v>8230</v>
      </c>
      <c r="M3610" s="70">
        <v>15</v>
      </c>
      <c r="N3610" s="5" t="s">
        <v>8236</v>
      </c>
      <c r="O3610" s="5" t="s">
        <v>266</v>
      </c>
      <c r="Q3610" s="5" t="s">
        <v>553</v>
      </c>
    </row>
    <row r="3611" spans="1:21" x14ac:dyDescent="0.2">
      <c r="A3611" s="5">
        <v>2281</v>
      </c>
      <c r="B3611" s="8">
        <v>83002003100</v>
      </c>
      <c r="H3611" s="8" t="s">
        <v>8522</v>
      </c>
      <c r="I3611" s="8" t="s">
        <v>8522</v>
      </c>
      <c r="J3611" s="5">
        <v>3</v>
      </c>
      <c r="K3611" s="5" t="s">
        <v>7221</v>
      </c>
      <c r="L3611" s="70" t="s">
        <v>8230</v>
      </c>
      <c r="M3611" s="70">
        <v>15</v>
      </c>
      <c r="N3611" s="5" t="s">
        <v>8236</v>
      </c>
      <c r="O3611" s="5" t="s">
        <v>266</v>
      </c>
      <c r="Q3611" s="5" t="s">
        <v>553</v>
      </c>
    </row>
    <row r="3612" spans="1:21" x14ac:dyDescent="0.2">
      <c r="A3612" s="5">
        <v>2279</v>
      </c>
      <c r="B3612" s="8">
        <v>83002004100</v>
      </c>
      <c r="H3612" s="8" t="s">
        <v>8523</v>
      </c>
      <c r="I3612" s="8" t="s">
        <v>8523</v>
      </c>
      <c r="J3612" s="5">
        <v>3</v>
      </c>
      <c r="K3612" s="5" t="s">
        <v>7221</v>
      </c>
      <c r="L3612" s="70" t="s">
        <v>8230</v>
      </c>
      <c r="M3612" s="70">
        <v>15</v>
      </c>
      <c r="N3612" s="5" t="s">
        <v>8236</v>
      </c>
      <c r="O3612" s="5" t="s">
        <v>266</v>
      </c>
      <c r="Q3612" s="5" t="s">
        <v>553</v>
      </c>
    </row>
    <row r="3613" spans="1:21" x14ac:dyDescent="0.2">
      <c r="A3613" s="5">
        <v>2272</v>
      </c>
      <c r="B3613" s="8">
        <v>83002005100</v>
      </c>
      <c r="H3613" s="8" t="s">
        <v>8524</v>
      </c>
      <c r="I3613" s="8" t="s">
        <v>8524</v>
      </c>
      <c r="J3613" s="5">
        <v>3</v>
      </c>
      <c r="K3613" s="5" t="s">
        <v>7221</v>
      </c>
      <c r="L3613" s="70" t="s">
        <v>8230</v>
      </c>
      <c r="M3613" s="70">
        <v>15</v>
      </c>
      <c r="N3613" s="5" t="s">
        <v>8236</v>
      </c>
      <c r="O3613" s="5" t="s">
        <v>266</v>
      </c>
      <c r="Q3613" s="5" t="s">
        <v>553</v>
      </c>
    </row>
    <row r="3614" spans="1:21" x14ac:dyDescent="0.2">
      <c r="A3614" s="5">
        <v>2274</v>
      </c>
      <c r="B3614" s="8">
        <v>83002006100</v>
      </c>
      <c r="F3614" s="8" t="s">
        <v>8525</v>
      </c>
      <c r="H3614" s="8" t="s">
        <v>8526</v>
      </c>
      <c r="I3614" s="8" t="s">
        <v>8526</v>
      </c>
      <c r="J3614" s="5">
        <v>1</v>
      </c>
      <c r="K3614" s="5" t="s">
        <v>7221</v>
      </c>
      <c r="L3614" s="70" t="s">
        <v>8230</v>
      </c>
      <c r="M3614" s="70">
        <v>16</v>
      </c>
      <c r="N3614" s="5" t="s">
        <v>8236</v>
      </c>
      <c r="O3614" s="5" t="s">
        <v>266</v>
      </c>
      <c r="Q3614" s="5" t="s">
        <v>553</v>
      </c>
    </row>
    <row r="3615" spans="1:21" x14ac:dyDescent="0.2">
      <c r="A3615" s="5"/>
      <c r="B3615" s="8" t="s">
        <v>8527</v>
      </c>
      <c r="H3615" s="8" t="s">
        <v>8528</v>
      </c>
      <c r="I3615" s="8" t="s">
        <v>8528</v>
      </c>
      <c r="J3615" s="5">
        <f>1-1</f>
        <v>0</v>
      </c>
      <c r="K3615" s="5" t="s">
        <v>7221</v>
      </c>
      <c r="L3615" s="70" t="s">
        <v>8230</v>
      </c>
      <c r="M3615" s="70">
        <v>16</v>
      </c>
      <c r="N3615" s="5" t="s">
        <v>8236</v>
      </c>
      <c r="O3615" s="5" t="s">
        <v>266</v>
      </c>
    </row>
    <row r="3616" spans="1:21" x14ac:dyDescent="0.2">
      <c r="A3616" s="5">
        <v>2277</v>
      </c>
      <c r="B3616" s="11" t="s">
        <v>8529</v>
      </c>
      <c r="H3616" s="8" t="s">
        <v>8530</v>
      </c>
      <c r="I3616" s="8" t="s">
        <v>8530</v>
      </c>
      <c r="J3616" s="5">
        <f>1</f>
        <v>1</v>
      </c>
      <c r="K3616" s="5" t="s">
        <v>7221</v>
      </c>
      <c r="L3616" s="70" t="s">
        <v>8230</v>
      </c>
      <c r="M3616" s="70">
        <v>16</v>
      </c>
      <c r="N3616" s="5" t="s">
        <v>8236</v>
      </c>
      <c r="O3616" s="5" t="s">
        <v>266</v>
      </c>
      <c r="Q3616" s="5" t="s">
        <v>553</v>
      </c>
    </row>
    <row r="3617" spans="1:21" x14ac:dyDescent="0.2">
      <c r="A3617" s="5">
        <v>2280</v>
      </c>
      <c r="B3617" s="11" t="s">
        <v>8531</v>
      </c>
      <c r="H3617" s="8" t="s">
        <v>8532</v>
      </c>
      <c r="I3617" s="8" t="s">
        <v>8532</v>
      </c>
      <c r="J3617" s="5">
        <v>2</v>
      </c>
      <c r="K3617" s="5" t="s">
        <v>7221</v>
      </c>
      <c r="L3617" s="70" t="s">
        <v>8230</v>
      </c>
      <c r="M3617" s="70">
        <v>16</v>
      </c>
      <c r="N3617" s="5" t="s">
        <v>8236</v>
      </c>
      <c r="O3617" s="5" t="s">
        <v>266</v>
      </c>
      <c r="Q3617" s="5" t="s">
        <v>553</v>
      </c>
    </row>
    <row r="3618" spans="1:21" x14ac:dyDescent="0.2">
      <c r="A3618" s="5">
        <v>2276</v>
      </c>
      <c r="B3618" s="11" t="s">
        <v>8533</v>
      </c>
      <c r="H3618" s="8" t="s">
        <v>8534</v>
      </c>
      <c r="I3618" s="8" t="s">
        <v>8534</v>
      </c>
      <c r="J3618" s="5">
        <v>3</v>
      </c>
      <c r="K3618" s="5" t="s">
        <v>7221</v>
      </c>
      <c r="L3618" s="70" t="s">
        <v>8230</v>
      </c>
      <c r="M3618" s="70">
        <v>16</v>
      </c>
      <c r="N3618" s="5" t="s">
        <v>8236</v>
      </c>
      <c r="O3618" s="5" t="s">
        <v>266</v>
      </c>
      <c r="Q3618" s="5" t="s">
        <v>553</v>
      </c>
    </row>
    <row r="3619" spans="1:21" x14ac:dyDescent="0.2">
      <c r="A3619" s="5">
        <v>2275</v>
      </c>
      <c r="B3619" s="11" t="s">
        <v>8535</v>
      </c>
      <c r="H3619" s="8" t="s">
        <v>8536</v>
      </c>
      <c r="I3619" s="8" t="s">
        <v>8536</v>
      </c>
      <c r="J3619" s="5">
        <v>3</v>
      </c>
      <c r="K3619" s="5" t="s">
        <v>7221</v>
      </c>
      <c r="L3619" s="70" t="s">
        <v>8230</v>
      </c>
      <c r="M3619" s="70">
        <v>16</v>
      </c>
      <c r="N3619" s="5" t="s">
        <v>8236</v>
      </c>
      <c r="O3619" s="5" t="s">
        <v>266</v>
      </c>
      <c r="Q3619" s="5" t="s">
        <v>553</v>
      </c>
    </row>
    <row r="3620" spans="1:21" x14ac:dyDescent="0.2">
      <c r="A3620" s="5">
        <v>2282</v>
      </c>
      <c r="B3620" s="8">
        <v>78050101000</v>
      </c>
      <c r="H3620" s="8" t="s">
        <v>8537</v>
      </c>
      <c r="I3620" s="8" t="s">
        <v>8537</v>
      </c>
      <c r="J3620" s="5">
        <v>3</v>
      </c>
      <c r="K3620" s="5" t="s">
        <v>7221</v>
      </c>
      <c r="L3620" s="70" t="s">
        <v>8230</v>
      </c>
      <c r="M3620" s="70">
        <v>17</v>
      </c>
      <c r="N3620" s="5" t="s">
        <v>8236</v>
      </c>
      <c r="O3620" s="5" t="s">
        <v>266</v>
      </c>
      <c r="Q3620" s="5" t="s">
        <v>553</v>
      </c>
    </row>
    <row r="3621" spans="1:21" x14ac:dyDescent="0.2">
      <c r="A3621" s="5">
        <v>2382</v>
      </c>
      <c r="B3621" s="8" t="s">
        <v>8538</v>
      </c>
      <c r="H3621" s="8" t="s">
        <v>8539</v>
      </c>
      <c r="I3621" s="8" t="s">
        <v>8539</v>
      </c>
      <c r="J3621" s="5">
        <v>2</v>
      </c>
      <c r="K3621" s="5" t="s">
        <v>292</v>
      </c>
      <c r="L3621" s="70" t="s">
        <v>8230</v>
      </c>
      <c r="M3621" s="70">
        <v>17</v>
      </c>
      <c r="N3621" s="5" t="s">
        <v>5626</v>
      </c>
      <c r="O3621" s="5" t="s">
        <v>266</v>
      </c>
      <c r="Q3621" s="5" t="s">
        <v>8540</v>
      </c>
    </row>
    <row r="3622" spans="1:21" x14ac:dyDescent="0.2">
      <c r="A3622" s="5">
        <v>2283</v>
      </c>
      <c r="B3622" s="8">
        <v>8442060</v>
      </c>
      <c r="D3622" s="8" t="s">
        <v>8</v>
      </c>
      <c r="H3622" s="8" t="s">
        <v>8541</v>
      </c>
      <c r="I3622" s="8" t="s">
        <v>8541</v>
      </c>
      <c r="J3622" s="5">
        <v>1</v>
      </c>
      <c r="K3622" s="5" t="s">
        <v>7221</v>
      </c>
      <c r="L3622" s="70" t="s">
        <v>8230</v>
      </c>
      <c r="M3622" s="70">
        <v>17</v>
      </c>
      <c r="N3622" s="5" t="s">
        <v>8236</v>
      </c>
      <c r="O3622" s="5" t="s">
        <v>266</v>
      </c>
      <c r="S3622" s="5" t="s">
        <v>1139</v>
      </c>
      <c r="U3622" t="s">
        <v>321</v>
      </c>
    </row>
    <row r="3623" spans="1:21" x14ac:dyDescent="0.2">
      <c r="A3623" s="5">
        <v>2284</v>
      </c>
      <c r="B3623" s="8" t="s">
        <v>8542</v>
      </c>
      <c r="H3623" s="8" t="s">
        <v>8543</v>
      </c>
      <c r="I3623" s="8" t="s">
        <v>8543</v>
      </c>
      <c r="J3623" s="5">
        <v>1</v>
      </c>
      <c r="K3623" s="5" t="s">
        <v>7221</v>
      </c>
      <c r="L3623" s="70" t="s">
        <v>8230</v>
      </c>
      <c r="M3623" s="70">
        <v>17</v>
      </c>
      <c r="N3623" s="5" t="s">
        <v>8236</v>
      </c>
      <c r="O3623" s="5" t="s">
        <v>266</v>
      </c>
      <c r="S3623" s="5" t="s">
        <v>1139</v>
      </c>
      <c r="U3623" t="s">
        <v>321</v>
      </c>
    </row>
    <row r="3624" spans="1:21" x14ac:dyDescent="0.2">
      <c r="A3624" s="5">
        <v>2256</v>
      </c>
      <c r="B3624" s="8" t="s">
        <v>8544</v>
      </c>
      <c r="H3624" s="8" t="s">
        <v>8545</v>
      </c>
      <c r="I3624" s="8" t="s">
        <v>8546</v>
      </c>
      <c r="J3624" s="5">
        <v>2</v>
      </c>
      <c r="K3624" s="5" t="s">
        <v>7221</v>
      </c>
      <c r="L3624" s="70" t="s">
        <v>8230</v>
      </c>
      <c r="M3624" s="70">
        <v>18</v>
      </c>
      <c r="N3624" s="5" t="s">
        <v>8236</v>
      </c>
      <c r="O3624" s="5" t="s">
        <v>266</v>
      </c>
      <c r="Q3624" s="7" t="s">
        <v>8547</v>
      </c>
    </row>
    <row r="3625" spans="1:21" x14ac:dyDescent="0.2">
      <c r="A3625" s="5">
        <v>2294</v>
      </c>
      <c r="B3625" s="8" t="s">
        <v>8548</v>
      </c>
      <c r="H3625" s="8" t="s">
        <v>8549</v>
      </c>
      <c r="I3625" s="8" t="s">
        <v>8549</v>
      </c>
      <c r="J3625" s="5">
        <v>1</v>
      </c>
      <c r="K3625" s="5" t="s">
        <v>7221</v>
      </c>
      <c r="L3625" s="70" t="s">
        <v>8230</v>
      </c>
      <c r="M3625" s="70">
        <v>18</v>
      </c>
      <c r="N3625" s="5" t="s">
        <v>8236</v>
      </c>
      <c r="O3625" s="5" t="s">
        <v>266</v>
      </c>
      <c r="Q3625" s="5" t="s">
        <v>8550</v>
      </c>
    </row>
    <row r="3626" spans="1:21" x14ac:dyDescent="0.2">
      <c r="A3626" s="5">
        <v>2257</v>
      </c>
      <c r="B3626" s="8" t="s">
        <v>8551</v>
      </c>
      <c r="H3626" s="8" t="s">
        <v>8552</v>
      </c>
      <c r="I3626" s="8" t="s">
        <v>8552</v>
      </c>
      <c r="J3626" s="5">
        <v>1</v>
      </c>
      <c r="K3626" s="5" t="s">
        <v>7221</v>
      </c>
      <c r="L3626" s="70" t="s">
        <v>8230</v>
      </c>
      <c r="M3626" s="70">
        <v>18</v>
      </c>
      <c r="N3626" s="5" t="s">
        <v>8236</v>
      </c>
      <c r="O3626" s="5" t="s">
        <v>266</v>
      </c>
      <c r="Q3626" s="5" t="s">
        <v>8553</v>
      </c>
    </row>
    <row r="3627" spans="1:21" x14ac:dyDescent="0.2">
      <c r="A3627" s="5">
        <v>2298</v>
      </c>
      <c r="B3627" s="8" t="s">
        <v>8554</v>
      </c>
      <c r="H3627" s="8" t="s">
        <v>8555</v>
      </c>
      <c r="I3627" s="8" t="s">
        <v>8555</v>
      </c>
      <c r="J3627" s="5">
        <v>1</v>
      </c>
      <c r="K3627" s="5" t="s">
        <v>7221</v>
      </c>
      <c r="L3627" s="70" t="s">
        <v>8230</v>
      </c>
      <c r="M3627" s="70">
        <v>18</v>
      </c>
      <c r="N3627" s="5" t="s">
        <v>8236</v>
      </c>
      <c r="O3627" s="5" t="s">
        <v>266</v>
      </c>
      <c r="Q3627" s="7" t="s">
        <v>8556</v>
      </c>
    </row>
    <row r="3628" spans="1:21" x14ac:dyDescent="0.2">
      <c r="A3628" s="5"/>
      <c r="B3628" s="8" t="s">
        <v>8557</v>
      </c>
      <c r="H3628" s="8" t="s">
        <v>8558</v>
      </c>
      <c r="I3628" s="8" t="s">
        <v>8558</v>
      </c>
      <c r="J3628" s="5">
        <v>1</v>
      </c>
      <c r="K3628" s="5" t="s">
        <v>7221</v>
      </c>
      <c r="L3628" s="70" t="s">
        <v>8230</v>
      </c>
      <c r="M3628" s="70">
        <v>18</v>
      </c>
      <c r="N3628" s="5" t="s">
        <v>8236</v>
      </c>
      <c r="O3628" s="5" t="s">
        <v>266</v>
      </c>
      <c r="Q3628" s="7" t="s">
        <v>8559</v>
      </c>
    </row>
    <row r="3629" spans="1:21" x14ac:dyDescent="0.2">
      <c r="A3629" s="5"/>
      <c r="B3629" s="8" t="s">
        <v>8560</v>
      </c>
      <c r="H3629" s="8" t="s">
        <v>8561</v>
      </c>
      <c r="I3629" s="8" t="s">
        <v>8561</v>
      </c>
      <c r="J3629" s="5">
        <v>1</v>
      </c>
      <c r="K3629" s="5" t="s">
        <v>7221</v>
      </c>
      <c r="L3629" s="70" t="s">
        <v>8230</v>
      </c>
      <c r="M3629" s="70">
        <v>18</v>
      </c>
      <c r="N3629" s="5" t="s">
        <v>8236</v>
      </c>
      <c r="O3629" s="5" t="s">
        <v>266</v>
      </c>
      <c r="Q3629" s="7" t="s">
        <v>8559</v>
      </c>
    </row>
    <row r="3630" spans="1:21" x14ac:dyDescent="0.2">
      <c r="A3630" s="5"/>
      <c r="B3630" s="8" t="s">
        <v>8562</v>
      </c>
      <c r="H3630" s="8" t="s">
        <v>8563</v>
      </c>
      <c r="I3630" s="8" t="s">
        <v>8563</v>
      </c>
      <c r="J3630" s="5">
        <v>1</v>
      </c>
      <c r="K3630" s="5" t="s">
        <v>7221</v>
      </c>
      <c r="L3630" s="70" t="s">
        <v>8230</v>
      </c>
      <c r="M3630" s="70">
        <v>18</v>
      </c>
      <c r="N3630" s="5" t="s">
        <v>8236</v>
      </c>
      <c r="O3630" s="5" t="s">
        <v>266</v>
      </c>
      <c r="Q3630" s="7" t="s">
        <v>8559</v>
      </c>
    </row>
    <row r="3631" spans="1:21" x14ac:dyDescent="0.2">
      <c r="A3631" s="5"/>
      <c r="B3631" s="8" t="s">
        <v>8564</v>
      </c>
      <c r="H3631" s="8" t="s">
        <v>8565</v>
      </c>
      <c r="I3631" s="8" t="s">
        <v>8565</v>
      </c>
      <c r="J3631" s="5">
        <v>1</v>
      </c>
      <c r="K3631" s="5" t="s">
        <v>7221</v>
      </c>
      <c r="L3631" s="70" t="s">
        <v>8230</v>
      </c>
      <c r="M3631" s="70">
        <v>18</v>
      </c>
      <c r="N3631" s="5" t="s">
        <v>8236</v>
      </c>
      <c r="O3631" s="5" t="s">
        <v>266</v>
      </c>
      <c r="Q3631" s="7" t="s">
        <v>8566</v>
      </c>
    </row>
    <row r="3632" spans="1:21" x14ac:dyDescent="0.2">
      <c r="A3632" s="5"/>
      <c r="B3632" s="8" t="s">
        <v>8567</v>
      </c>
      <c r="H3632" s="8" t="s">
        <v>8568</v>
      </c>
      <c r="I3632" s="8" t="s">
        <v>8568</v>
      </c>
      <c r="J3632" s="5">
        <f>2-1</f>
        <v>1</v>
      </c>
      <c r="K3632" s="5" t="s">
        <v>7221</v>
      </c>
      <c r="L3632" s="70" t="s">
        <v>8230</v>
      </c>
      <c r="M3632" s="70">
        <v>18</v>
      </c>
      <c r="N3632" s="5" t="s">
        <v>8236</v>
      </c>
      <c r="Q3632" s="99" t="s">
        <v>8569</v>
      </c>
    </row>
    <row r="3633" spans="1:21" x14ac:dyDescent="0.2">
      <c r="A3633" s="5">
        <v>2259</v>
      </c>
      <c r="B3633" s="97" t="s">
        <v>8570</v>
      </c>
      <c r="H3633" s="8" t="s">
        <v>8571</v>
      </c>
      <c r="I3633" s="8" t="s">
        <v>8572</v>
      </c>
      <c r="J3633" s="5">
        <v>1</v>
      </c>
      <c r="K3633" s="5" t="s">
        <v>7221</v>
      </c>
      <c r="L3633" s="70" t="s">
        <v>8230</v>
      </c>
      <c r="M3633" s="70">
        <v>18</v>
      </c>
      <c r="N3633" s="5" t="s">
        <v>8236</v>
      </c>
      <c r="O3633" s="5" t="s">
        <v>266</v>
      </c>
      <c r="Q3633" s="5" t="s">
        <v>8573</v>
      </c>
      <c r="S3633" s="5" t="s">
        <v>1139</v>
      </c>
    </row>
    <row r="3634" spans="1:21" x14ac:dyDescent="0.2">
      <c r="A3634" s="5">
        <v>2258</v>
      </c>
      <c r="B3634" s="8" t="s">
        <v>8574</v>
      </c>
      <c r="H3634" s="8" t="s">
        <v>8575</v>
      </c>
      <c r="I3634" s="8" t="s">
        <v>8575</v>
      </c>
      <c r="J3634" s="5">
        <v>2</v>
      </c>
      <c r="K3634" s="5" t="s">
        <v>7221</v>
      </c>
      <c r="L3634" s="70" t="s">
        <v>8230</v>
      </c>
      <c r="M3634" s="70">
        <v>19</v>
      </c>
      <c r="N3634" s="5" t="s">
        <v>8236</v>
      </c>
      <c r="O3634" s="5" t="s">
        <v>266</v>
      </c>
      <c r="Q3634" s="5" t="s">
        <v>8576</v>
      </c>
    </row>
    <row r="3635" spans="1:21" x14ac:dyDescent="0.2">
      <c r="A3635" s="5"/>
      <c r="B3635" s="8" t="s">
        <v>8577</v>
      </c>
      <c r="H3635" s="8" t="s">
        <v>8578</v>
      </c>
      <c r="I3635" s="8" t="s">
        <v>8578</v>
      </c>
      <c r="J3635" s="5">
        <v>1</v>
      </c>
      <c r="K3635" s="5" t="s">
        <v>7221</v>
      </c>
      <c r="L3635" s="70" t="s">
        <v>8230</v>
      </c>
      <c r="M3635" s="70">
        <v>19</v>
      </c>
      <c r="N3635" s="5" t="s">
        <v>8236</v>
      </c>
      <c r="O3635" s="5" t="s">
        <v>266</v>
      </c>
      <c r="Q3635" s="5" t="s">
        <v>8579</v>
      </c>
      <c r="U3635" t="s">
        <v>321</v>
      </c>
    </row>
    <row r="3636" spans="1:21" x14ac:dyDescent="0.2">
      <c r="A3636" s="5">
        <v>2262</v>
      </c>
      <c r="H3636" s="8" t="s">
        <v>8580</v>
      </c>
      <c r="I3636" s="8" t="s">
        <v>8580</v>
      </c>
      <c r="J3636" s="5">
        <v>1</v>
      </c>
      <c r="K3636" s="5" t="s">
        <v>7221</v>
      </c>
      <c r="L3636" s="70" t="s">
        <v>8230</v>
      </c>
      <c r="M3636" s="70">
        <v>19</v>
      </c>
      <c r="N3636" s="5" t="s">
        <v>8236</v>
      </c>
      <c r="O3636" s="5" t="s">
        <v>266</v>
      </c>
      <c r="S3636" s="5" t="s">
        <v>1139</v>
      </c>
      <c r="U3636" t="s">
        <v>288</v>
      </c>
    </row>
    <row r="3637" spans="1:21" x14ac:dyDescent="0.2">
      <c r="A3637" s="5"/>
      <c r="B3637" s="8" t="s">
        <v>8581</v>
      </c>
      <c r="H3637" s="8" t="s">
        <v>8582</v>
      </c>
      <c r="I3637" s="8" t="s">
        <v>8582</v>
      </c>
      <c r="J3637" s="5">
        <f>1-1</f>
        <v>0</v>
      </c>
      <c r="K3637" s="5" t="s">
        <v>7221</v>
      </c>
      <c r="L3637" s="70" t="s">
        <v>8230</v>
      </c>
      <c r="M3637" s="70">
        <v>19</v>
      </c>
      <c r="N3637" s="5" t="s">
        <v>8236</v>
      </c>
      <c r="Q3637" s="107" t="s">
        <v>8583</v>
      </c>
    </row>
    <row r="3638" spans="1:21" x14ac:dyDescent="0.2">
      <c r="A3638" s="5"/>
      <c r="B3638" s="8" t="s">
        <v>8584</v>
      </c>
      <c r="H3638" s="8" t="s">
        <v>8585</v>
      </c>
      <c r="I3638" s="8" t="s">
        <v>8585</v>
      </c>
      <c r="J3638" s="5">
        <f>1-1</f>
        <v>0</v>
      </c>
      <c r="K3638" s="5" t="s">
        <v>7221</v>
      </c>
      <c r="L3638" s="70" t="s">
        <v>8230</v>
      </c>
      <c r="M3638" s="70">
        <v>19</v>
      </c>
      <c r="N3638" s="5" t="s">
        <v>8236</v>
      </c>
      <c r="Q3638" s="107" t="s">
        <v>8583</v>
      </c>
    </row>
    <row r="3639" spans="1:21" x14ac:dyDescent="0.2">
      <c r="A3639" s="5">
        <v>2261</v>
      </c>
      <c r="B3639" s="8">
        <v>8760060</v>
      </c>
      <c r="H3639" s="8" t="s">
        <v>8586</v>
      </c>
      <c r="I3639" s="8" t="s">
        <v>8586</v>
      </c>
      <c r="J3639" s="5">
        <v>1</v>
      </c>
      <c r="K3639" s="5" t="s">
        <v>7221</v>
      </c>
      <c r="L3639" s="70" t="s">
        <v>8230</v>
      </c>
      <c r="M3639" s="70">
        <v>19</v>
      </c>
      <c r="N3639" s="5" t="s">
        <v>8236</v>
      </c>
      <c r="O3639" s="5" t="s">
        <v>266</v>
      </c>
      <c r="S3639" s="5" t="s">
        <v>1139</v>
      </c>
      <c r="U3639" t="s">
        <v>321</v>
      </c>
    </row>
    <row r="3640" spans="1:21" x14ac:dyDescent="0.2">
      <c r="A3640" s="5">
        <v>2260</v>
      </c>
      <c r="B3640" s="8" t="s">
        <v>8587</v>
      </c>
      <c r="H3640" s="8" t="s">
        <v>8588</v>
      </c>
      <c r="I3640" s="8" t="s">
        <v>8588</v>
      </c>
      <c r="J3640" s="5">
        <v>1</v>
      </c>
      <c r="K3640" s="5" t="s">
        <v>7221</v>
      </c>
      <c r="L3640" s="70" t="s">
        <v>8230</v>
      </c>
      <c r="M3640" s="70">
        <v>19</v>
      </c>
      <c r="N3640" s="5" t="s">
        <v>8236</v>
      </c>
      <c r="O3640" s="5" t="s">
        <v>266</v>
      </c>
      <c r="Q3640" s="5" t="s">
        <v>8589</v>
      </c>
    </row>
    <row r="3641" spans="1:21" x14ac:dyDescent="0.2">
      <c r="A3641" s="5"/>
      <c r="B3641" s="8" t="s">
        <v>8590</v>
      </c>
      <c r="H3641" s="8" t="s">
        <v>8591</v>
      </c>
      <c r="I3641" s="8" t="s">
        <v>8591</v>
      </c>
      <c r="J3641" s="5">
        <f>4+10-4-2-4-4</f>
        <v>0</v>
      </c>
      <c r="K3641" s="5" t="s">
        <v>292</v>
      </c>
      <c r="L3641" s="70" t="s">
        <v>8230</v>
      </c>
      <c r="M3641" s="70">
        <v>20</v>
      </c>
      <c r="N3641" s="5" t="s">
        <v>8591</v>
      </c>
      <c r="O3641" s="5" t="s">
        <v>520</v>
      </c>
      <c r="Q3641" s="5" t="s">
        <v>8592</v>
      </c>
      <c r="U3641" s="98"/>
    </row>
    <row r="3642" spans="1:21" x14ac:dyDescent="0.2">
      <c r="A3642" s="5"/>
      <c r="B3642" s="8" t="s">
        <v>8593</v>
      </c>
      <c r="H3642" s="8" t="s">
        <v>8594</v>
      </c>
      <c r="I3642" s="8" t="s">
        <v>8594</v>
      </c>
      <c r="J3642" s="5">
        <v>1</v>
      </c>
      <c r="K3642" s="5" t="s">
        <v>7221</v>
      </c>
      <c r="L3642" s="70" t="s">
        <v>8230</v>
      </c>
      <c r="M3642" s="70">
        <v>20</v>
      </c>
      <c r="N3642" s="5" t="s">
        <v>71</v>
      </c>
      <c r="O3642" s="5" t="s">
        <v>266</v>
      </c>
      <c r="Q3642" s="5" t="s">
        <v>8595</v>
      </c>
    </row>
    <row r="3643" spans="1:21" x14ac:dyDescent="0.2">
      <c r="A3643" s="5">
        <v>2263</v>
      </c>
      <c r="B3643" s="8" t="s">
        <v>8596</v>
      </c>
      <c r="H3643" s="8" t="s">
        <v>8597</v>
      </c>
      <c r="I3643" s="8" t="s">
        <v>8597</v>
      </c>
      <c r="J3643" s="5">
        <f>2-1</f>
        <v>1</v>
      </c>
      <c r="K3643" s="5" t="s">
        <v>7221</v>
      </c>
      <c r="L3643" s="5" t="s">
        <v>8598</v>
      </c>
      <c r="M3643" s="5">
        <v>20</v>
      </c>
      <c r="N3643" s="5" t="s">
        <v>8236</v>
      </c>
      <c r="O3643" s="5" t="s">
        <v>266</v>
      </c>
      <c r="Q3643" s="102" t="s">
        <v>8599</v>
      </c>
    </row>
    <row r="3644" spans="1:21" x14ac:dyDescent="0.2">
      <c r="A3644" s="5">
        <v>2264</v>
      </c>
      <c r="B3644" s="8" t="s">
        <v>8600</v>
      </c>
      <c r="H3644" s="8" t="s">
        <v>8601</v>
      </c>
      <c r="I3644" s="8" t="s">
        <v>8601</v>
      </c>
      <c r="J3644" s="5">
        <v>9</v>
      </c>
      <c r="K3644" s="5" t="s">
        <v>7221</v>
      </c>
      <c r="L3644" s="70" t="s">
        <v>8230</v>
      </c>
      <c r="M3644" s="70">
        <v>20</v>
      </c>
      <c r="N3644" s="5" t="s">
        <v>8236</v>
      </c>
      <c r="O3644" s="5" t="s">
        <v>266</v>
      </c>
      <c r="Q3644" s="5" t="s">
        <v>8602</v>
      </c>
    </row>
    <row r="3645" spans="1:21" x14ac:dyDescent="0.2">
      <c r="A3645" s="5">
        <v>284</v>
      </c>
      <c r="B3645" s="8" t="s">
        <v>8603</v>
      </c>
      <c r="H3645" s="8" t="s">
        <v>8604</v>
      </c>
      <c r="I3645" s="8" t="s">
        <v>8604</v>
      </c>
      <c r="J3645" s="5">
        <v>0</v>
      </c>
      <c r="K3645" s="5" t="s">
        <v>292</v>
      </c>
      <c r="L3645" s="70" t="s">
        <v>8230</v>
      </c>
      <c r="M3645" s="70">
        <v>21</v>
      </c>
      <c r="N3645" s="5" t="s">
        <v>8236</v>
      </c>
      <c r="O3645" s="5" t="s">
        <v>266</v>
      </c>
      <c r="Q3645" s="5" t="s">
        <v>8605</v>
      </c>
    </row>
    <row r="3646" spans="1:21" x14ac:dyDescent="0.2">
      <c r="A3646" s="5">
        <v>333</v>
      </c>
      <c r="B3646" s="8" t="s">
        <v>8606</v>
      </c>
      <c r="H3646" s="8" t="s">
        <v>8607</v>
      </c>
      <c r="I3646" s="8" t="s">
        <v>8607</v>
      </c>
      <c r="J3646" s="5">
        <v>0</v>
      </c>
      <c r="K3646" s="5" t="s">
        <v>292</v>
      </c>
      <c r="L3646" s="70" t="s">
        <v>8230</v>
      </c>
      <c r="M3646" s="70">
        <v>21</v>
      </c>
      <c r="N3646" s="5" t="s">
        <v>8231</v>
      </c>
    </row>
    <row r="3647" spans="1:21" x14ac:dyDescent="0.2">
      <c r="A3647" s="5">
        <v>2192</v>
      </c>
      <c r="B3647" s="8" t="s">
        <v>8608</v>
      </c>
      <c r="H3647" s="8" t="s">
        <v>8609</v>
      </c>
      <c r="I3647" s="8" t="s">
        <v>8609</v>
      </c>
      <c r="J3647" s="5">
        <v>0</v>
      </c>
      <c r="K3647" s="5" t="s">
        <v>7221</v>
      </c>
      <c r="L3647" s="70" t="s">
        <v>8230</v>
      </c>
      <c r="M3647" s="70">
        <v>21</v>
      </c>
      <c r="N3647" s="5" t="s">
        <v>8236</v>
      </c>
      <c r="O3647" s="5" t="s">
        <v>266</v>
      </c>
      <c r="S3647" s="5" t="s">
        <v>1139</v>
      </c>
      <c r="U3647" t="s">
        <v>321</v>
      </c>
    </row>
    <row r="3648" spans="1:21" x14ac:dyDescent="0.2">
      <c r="A3648" s="5">
        <v>2190</v>
      </c>
      <c r="B3648" s="8" t="s">
        <v>8610</v>
      </c>
      <c r="H3648" s="8" t="s">
        <v>8611</v>
      </c>
      <c r="I3648" s="8" t="s">
        <v>8611</v>
      </c>
      <c r="J3648" s="5">
        <v>0</v>
      </c>
      <c r="K3648" s="5" t="s">
        <v>7221</v>
      </c>
      <c r="L3648" s="70" t="s">
        <v>8230</v>
      </c>
      <c r="M3648" s="70">
        <v>21</v>
      </c>
      <c r="N3648" s="5" t="s">
        <v>8236</v>
      </c>
      <c r="O3648" s="5" t="s">
        <v>266</v>
      </c>
      <c r="Q3648" s="5" t="s">
        <v>8342</v>
      </c>
    </row>
    <row r="3649" spans="1:21" x14ac:dyDescent="0.2">
      <c r="A3649" s="5">
        <v>2191</v>
      </c>
      <c r="B3649" s="8" t="s">
        <v>8612</v>
      </c>
      <c r="H3649" s="8" t="s">
        <v>8613</v>
      </c>
      <c r="I3649" s="8" t="s">
        <v>8613</v>
      </c>
      <c r="J3649" s="5">
        <v>0</v>
      </c>
      <c r="K3649" s="5" t="s">
        <v>7221</v>
      </c>
      <c r="L3649" s="70" t="s">
        <v>8230</v>
      </c>
      <c r="M3649" s="70">
        <v>21</v>
      </c>
      <c r="N3649" s="5" t="s">
        <v>8236</v>
      </c>
      <c r="O3649" s="5" t="s">
        <v>266</v>
      </c>
      <c r="Q3649" s="5" t="s">
        <v>8342</v>
      </c>
    </row>
    <row r="3650" spans="1:21" x14ac:dyDescent="0.2">
      <c r="A3650" s="5">
        <v>2189</v>
      </c>
      <c r="B3650" s="8" t="s">
        <v>8614</v>
      </c>
      <c r="H3650" s="8" t="s">
        <v>8615</v>
      </c>
      <c r="I3650" s="8" t="s">
        <v>8615</v>
      </c>
      <c r="J3650" s="5">
        <v>1</v>
      </c>
      <c r="K3650" s="5" t="s">
        <v>7221</v>
      </c>
      <c r="L3650" s="70" t="s">
        <v>8230</v>
      </c>
      <c r="M3650" s="70">
        <v>21</v>
      </c>
      <c r="N3650" s="5" t="s">
        <v>8236</v>
      </c>
      <c r="O3650" s="5" t="s">
        <v>266</v>
      </c>
      <c r="Q3650" s="7" t="s">
        <v>8342</v>
      </c>
    </row>
    <row r="3651" spans="1:21" x14ac:dyDescent="0.2">
      <c r="A3651" s="5">
        <v>2193</v>
      </c>
      <c r="B3651" s="8" t="s">
        <v>8616</v>
      </c>
      <c r="H3651" s="8" t="s">
        <v>8617</v>
      </c>
      <c r="I3651" s="8" t="s">
        <v>8617</v>
      </c>
      <c r="J3651" s="5">
        <v>1</v>
      </c>
      <c r="K3651" s="5" t="s">
        <v>7221</v>
      </c>
      <c r="L3651" s="70" t="s">
        <v>8230</v>
      </c>
      <c r="M3651" s="70">
        <v>21</v>
      </c>
      <c r="N3651" s="5" t="s">
        <v>8236</v>
      </c>
      <c r="O3651" s="5" t="s">
        <v>266</v>
      </c>
      <c r="S3651" s="5" t="s">
        <v>1139</v>
      </c>
      <c r="U3651" t="s">
        <v>321</v>
      </c>
    </row>
    <row r="3652" spans="1:21" x14ac:dyDescent="0.2">
      <c r="A3652" s="5">
        <v>2198</v>
      </c>
      <c r="B3652" s="8" t="s">
        <v>8618</v>
      </c>
      <c r="H3652" s="8" t="s">
        <v>8619</v>
      </c>
      <c r="I3652" s="8" t="s">
        <v>8620</v>
      </c>
      <c r="J3652" s="5">
        <f>2-1</f>
        <v>1</v>
      </c>
      <c r="K3652" s="5" t="s">
        <v>7221</v>
      </c>
      <c r="L3652" s="70" t="s">
        <v>8230</v>
      </c>
      <c r="M3652" s="70">
        <v>21</v>
      </c>
      <c r="N3652" s="5" t="s">
        <v>8236</v>
      </c>
      <c r="O3652" s="5" t="s">
        <v>266</v>
      </c>
      <c r="Q3652" s="5" t="s">
        <v>8621</v>
      </c>
      <c r="S3652" s="5" t="s">
        <v>1139</v>
      </c>
      <c r="U3652" t="s">
        <v>321</v>
      </c>
    </row>
    <row r="3653" spans="1:21" x14ac:dyDescent="0.2">
      <c r="A3653" s="5">
        <v>2194</v>
      </c>
      <c r="B3653" s="8" t="s">
        <v>8622</v>
      </c>
      <c r="H3653" s="8" t="s">
        <v>8623</v>
      </c>
      <c r="I3653" s="8" t="s">
        <v>8623</v>
      </c>
      <c r="J3653" s="5">
        <v>2</v>
      </c>
      <c r="K3653" s="5" t="s">
        <v>7221</v>
      </c>
      <c r="L3653" s="70" t="s">
        <v>8230</v>
      </c>
      <c r="M3653" s="70">
        <v>21</v>
      </c>
      <c r="N3653" s="5" t="s">
        <v>8236</v>
      </c>
      <c r="O3653" s="5" t="s">
        <v>266</v>
      </c>
      <c r="Q3653" s="5" t="s">
        <v>8621</v>
      </c>
      <c r="U3653" t="s">
        <v>321</v>
      </c>
    </row>
    <row r="3654" spans="1:21" x14ac:dyDescent="0.2">
      <c r="A3654" s="5">
        <v>2195</v>
      </c>
      <c r="B3654" s="8" t="s">
        <v>8624</v>
      </c>
      <c r="H3654" s="8" t="s">
        <v>8625</v>
      </c>
      <c r="I3654" s="8" t="s">
        <v>8625</v>
      </c>
      <c r="J3654" s="5">
        <f>2-1</f>
        <v>1</v>
      </c>
      <c r="K3654" s="5" t="s">
        <v>7221</v>
      </c>
      <c r="L3654" s="70" t="s">
        <v>8230</v>
      </c>
      <c r="M3654" s="70">
        <v>21</v>
      </c>
      <c r="N3654" s="5" t="s">
        <v>8236</v>
      </c>
      <c r="O3654" s="5" t="s">
        <v>266</v>
      </c>
      <c r="S3654" s="5" t="s">
        <v>1139</v>
      </c>
      <c r="U3654" t="s">
        <v>321</v>
      </c>
    </row>
    <row r="3655" spans="1:21" x14ac:dyDescent="0.2">
      <c r="A3655" s="5"/>
      <c r="B3655" s="8" t="s">
        <v>8626</v>
      </c>
      <c r="H3655" s="8" t="s">
        <v>8627</v>
      </c>
      <c r="I3655" s="8" t="s">
        <v>8627</v>
      </c>
      <c r="J3655" s="5">
        <f>2-1</f>
        <v>1</v>
      </c>
      <c r="K3655" s="5" t="s">
        <v>7221</v>
      </c>
      <c r="L3655" s="70" t="s">
        <v>8230</v>
      </c>
      <c r="M3655" s="70">
        <v>21</v>
      </c>
      <c r="N3655" s="5" t="s">
        <v>8236</v>
      </c>
      <c r="Q3655" s="107" t="s">
        <v>8628</v>
      </c>
    </row>
    <row r="3656" spans="1:21" x14ac:dyDescent="0.2">
      <c r="A3656" s="5">
        <v>2197</v>
      </c>
      <c r="B3656" s="8" t="s">
        <v>8629</v>
      </c>
      <c r="H3656" s="8" t="s">
        <v>8630</v>
      </c>
      <c r="I3656" s="8" t="s">
        <v>8630</v>
      </c>
      <c r="J3656" s="5">
        <v>1</v>
      </c>
      <c r="K3656" s="5" t="s">
        <v>7221</v>
      </c>
      <c r="L3656" s="70" t="s">
        <v>8230</v>
      </c>
      <c r="M3656" s="70">
        <v>21</v>
      </c>
      <c r="N3656" s="5" t="s">
        <v>8236</v>
      </c>
      <c r="O3656" s="5" t="s">
        <v>266</v>
      </c>
      <c r="S3656" s="5" t="s">
        <v>1139</v>
      </c>
      <c r="U3656" t="s">
        <v>321</v>
      </c>
    </row>
    <row r="3657" spans="1:21" x14ac:dyDescent="0.2">
      <c r="A3657" s="5">
        <v>2199</v>
      </c>
      <c r="B3657" s="8" t="s">
        <v>8631</v>
      </c>
      <c r="H3657" s="8" t="s">
        <v>8632</v>
      </c>
      <c r="I3657" s="8" t="s">
        <v>8632</v>
      </c>
      <c r="J3657" s="5">
        <v>2</v>
      </c>
      <c r="K3657" s="5" t="s">
        <v>7221</v>
      </c>
      <c r="L3657" s="70" t="s">
        <v>8230</v>
      </c>
      <c r="M3657" s="70">
        <v>21</v>
      </c>
      <c r="N3657" s="5" t="s">
        <v>8236</v>
      </c>
      <c r="O3657" s="5" t="s">
        <v>266</v>
      </c>
      <c r="Q3657" s="5" t="s">
        <v>8621</v>
      </c>
      <c r="U3657" t="s">
        <v>321</v>
      </c>
    </row>
    <row r="3658" spans="1:21" x14ac:dyDescent="0.2">
      <c r="A3658" s="5">
        <v>2196</v>
      </c>
      <c r="B3658" s="8" t="s">
        <v>8633</v>
      </c>
      <c r="H3658" s="8" t="s">
        <v>8634</v>
      </c>
      <c r="I3658" s="8" t="s">
        <v>8634</v>
      </c>
      <c r="J3658" s="5">
        <v>0</v>
      </c>
      <c r="K3658" s="5" t="s">
        <v>7221</v>
      </c>
      <c r="L3658" s="70" t="s">
        <v>8230</v>
      </c>
      <c r="M3658" s="70">
        <v>21</v>
      </c>
      <c r="N3658" s="5" t="s">
        <v>8236</v>
      </c>
      <c r="O3658" s="5" t="s">
        <v>266</v>
      </c>
      <c r="Q3658" s="5" t="s">
        <v>8621</v>
      </c>
      <c r="U3658" t="s">
        <v>321</v>
      </c>
    </row>
    <row r="3659" spans="1:21" x14ac:dyDescent="0.2">
      <c r="A3659" s="5">
        <v>2201</v>
      </c>
      <c r="B3659" s="8" t="s">
        <v>8635</v>
      </c>
      <c r="H3659" s="8" t="s">
        <v>8636</v>
      </c>
      <c r="I3659" s="8" t="s">
        <v>8637</v>
      </c>
      <c r="J3659" s="5">
        <f>2+6</f>
        <v>8</v>
      </c>
      <c r="K3659" s="5" t="s">
        <v>7221</v>
      </c>
      <c r="L3659" s="70" t="s">
        <v>8230</v>
      </c>
      <c r="M3659" s="70">
        <v>21</v>
      </c>
      <c r="N3659" s="5" t="s">
        <v>8236</v>
      </c>
      <c r="O3659" s="5" t="s">
        <v>266</v>
      </c>
      <c r="Q3659" s="7" t="s">
        <v>8638</v>
      </c>
    </row>
    <row r="3660" spans="1:21" x14ac:dyDescent="0.2">
      <c r="A3660" s="5">
        <v>2206</v>
      </c>
      <c r="B3660" s="8" t="s">
        <v>8639</v>
      </c>
      <c r="H3660" s="8" t="s">
        <v>8640</v>
      </c>
      <c r="I3660" s="8" t="s">
        <v>8641</v>
      </c>
      <c r="J3660" s="5">
        <v>3</v>
      </c>
      <c r="K3660" s="5" t="s">
        <v>7221</v>
      </c>
      <c r="L3660" s="70" t="s">
        <v>8230</v>
      </c>
      <c r="M3660" s="70">
        <v>21</v>
      </c>
      <c r="N3660" s="5" t="s">
        <v>8236</v>
      </c>
      <c r="O3660" s="5" t="s">
        <v>266</v>
      </c>
      <c r="S3660" s="5" t="s">
        <v>1139</v>
      </c>
    </row>
    <row r="3661" spans="1:21" x14ac:dyDescent="0.2">
      <c r="A3661" s="5">
        <v>2207</v>
      </c>
      <c r="B3661" s="8" t="s">
        <v>8642</v>
      </c>
      <c r="H3661" s="8" t="s">
        <v>8643</v>
      </c>
      <c r="I3661" s="8" t="s">
        <v>8644</v>
      </c>
      <c r="J3661" s="5">
        <v>5</v>
      </c>
      <c r="K3661" s="5" t="s">
        <v>7221</v>
      </c>
      <c r="L3661" s="70" t="s">
        <v>8230</v>
      </c>
      <c r="M3661" s="70">
        <v>21</v>
      </c>
      <c r="N3661" s="5" t="s">
        <v>8236</v>
      </c>
      <c r="O3661" s="5" t="s">
        <v>266</v>
      </c>
      <c r="Q3661" s="5" t="s">
        <v>8621</v>
      </c>
    </row>
    <row r="3662" spans="1:21" x14ac:dyDescent="0.2">
      <c r="A3662" s="5"/>
      <c r="B3662" s="8" t="s">
        <v>8645</v>
      </c>
      <c r="H3662" s="8" t="s">
        <v>8646</v>
      </c>
      <c r="I3662" s="8" t="s">
        <v>8646</v>
      </c>
      <c r="J3662" s="5">
        <f>2</f>
        <v>2</v>
      </c>
      <c r="K3662" s="5" t="s">
        <v>7221</v>
      </c>
      <c r="L3662" s="70" t="s">
        <v>8230</v>
      </c>
      <c r="M3662" s="70">
        <v>21</v>
      </c>
      <c r="N3662" s="5" t="s">
        <v>8236</v>
      </c>
      <c r="Q3662" s="107" t="s">
        <v>8628</v>
      </c>
    </row>
    <row r="3663" spans="1:21" x14ac:dyDescent="0.2">
      <c r="A3663" s="5">
        <v>2203</v>
      </c>
      <c r="B3663" s="8" t="s">
        <v>8647</v>
      </c>
      <c r="H3663" s="8" t="s">
        <v>8648</v>
      </c>
      <c r="I3663" s="8" t="s">
        <v>8649</v>
      </c>
      <c r="J3663" s="5">
        <v>2</v>
      </c>
      <c r="K3663" s="5" t="s">
        <v>7221</v>
      </c>
      <c r="L3663" s="70" t="s">
        <v>8230</v>
      </c>
      <c r="M3663" s="70">
        <v>21</v>
      </c>
      <c r="N3663" s="5" t="s">
        <v>8236</v>
      </c>
      <c r="O3663" s="5" t="s">
        <v>266</v>
      </c>
      <c r="Q3663" s="77" t="s">
        <v>8650</v>
      </c>
    </row>
    <row r="3664" spans="1:21" x14ac:dyDescent="0.2">
      <c r="A3664" s="5"/>
      <c r="B3664" s="8" t="s">
        <v>8651</v>
      </c>
      <c r="H3664" s="8" t="s">
        <v>8652</v>
      </c>
      <c r="I3664" s="8" t="s">
        <v>8652</v>
      </c>
      <c r="J3664" s="5">
        <f>2-1</f>
        <v>1</v>
      </c>
      <c r="K3664" s="5" t="s">
        <v>7221</v>
      </c>
      <c r="L3664" s="70" t="s">
        <v>8230</v>
      </c>
      <c r="M3664" s="70">
        <v>21</v>
      </c>
      <c r="N3664" s="5" t="s">
        <v>8236</v>
      </c>
      <c r="Q3664" s="107" t="s">
        <v>8628</v>
      </c>
    </row>
    <row r="3665" spans="1:21" x14ac:dyDescent="0.2">
      <c r="A3665" s="5">
        <v>2200</v>
      </c>
      <c r="B3665" s="8" t="s">
        <v>8653</v>
      </c>
      <c r="H3665" s="8" t="s">
        <v>8654</v>
      </c>
      <c r="I3665" s="8" t="s">
        <v>8655</v>
      </c>
      <c r="J3665" s="5">
        <v>0</v>
      </c>
      <c r="K3665" s="5" t="s">
        <v>7221</v>
      </c>
      <c r="L3665" s="70" t="s">
        <v>8230</v>
      </c>
      <c r="M3665" s="70">
        <v>21</v>
      </c>
      <c r="N3665" s="5" t="s">
        <v>8236</v>
      </c>
      <c r="O3665" s="5" t="s">
        <v>266</v>
      </c>
      <c r="Q3665" s="5" t="s">
        <v>8656</v>
      </c>
    </row>
    <row r="3666" spans="1:21" x14ac:dyDescent="0.2">
      <c r="A3666" s="5"/>
      <c r="B3666" s="8" t="s">
        <v>8657</v>
      </c>
      <c r="H3666" s="8" t="s">
        <v>8658</v>
      </c>
      <c r="I3666" s="8" t="s">
        <v>8658</v>
      </c>
      <c r="J3666" s="5">
        <f>2+2</f>
        <v>4</v>
      </c>
      <c r="K3666" s="5" t="s">
        <v>7221</v>
      </c>
      <c r="L3666" s="70" t="s">
        <v>8230</v>
      </c>
      <c r="M3666" s="70">
        <v>21</v>
      </c>
      <c r="N3666" s="5" t="s">
        <v>8236</v>
      </c>
      <c r="Q3666" s="107" t="s">
        <v>8628</v>
      </c>
    </row>
    <row r="3667" spans="1:21" x14ac:dyDescent="0.2">
      <c r="A3667" s="5">
        <v>2202</v>
      </c>
      <c r="B3667" s="8" t="s">
        <v>8659</v>
      </c>
      <c r="H3667" s="8" t="s">
        <v>8660</v>
      </c>
      <c r="I3667" s="8" t="s">
        <v>8661</v>
      </c>
      <c r="J3667" s="5">
        <f>2-1</f>
        <v>1</v>
      </c>
      <c r="K3667" s="5" t="s">
        <v>7221</v>
      </c>
      <c r="L3667" s="70" t="s">
        <v>8230</v>
      </c>
      <c r="M3667" s="70">
        <v>21</v>
      </c>
      <c r="N3667" s="5" t="s">
        <v>8236</v>
      </c>
      <c r="O3667" s="5" t="s">
        <v>266</v>
      </c>
      <c r="Q3667" s="77" t="s">
        <v>8342</v>
      </c>
    </row>
    <row r="3668" spans="1:21" x14ac:dyDescent="0.2">
      <c r="A3668" s="5">
        <v>2204</v>
      </c>
      <c r="B3668" s="8" t="s">
        <v>8662</v>
      </c>
      <c r="H3668" s="8" t="s">
        <v>8663</v>
      </c>
      <c r="I3668" s="8" t="s">
        <v>8664</v>
      </c>
      <c r="J3668" s="5">
        <v>0</v>
      </c>
      <c r="K3668" s="5" t="s">
        <v>7221</v>
      </c>
      <c r="L3668" s="70" t="s">
        <v>8230</v>
      </c>
      <c r="M3668" s="70">
        <v>21</v>
      </c>
      <c r="N3668" s="5" t="s">
        <v>8236</v>
      </c>
      <c r="O3668" s="5" t="s">
        <v>266</v>
      </c>
      <c r="Q3668" s="77" t="s">
        <v>8621</v>
      </c>
    </row>
    <row r="3669" spans="1:21" x14ac:dyDescent="0.2">
      <c r="A3669" s="5"/>
      <c r="B3669" s="8" t="s">
        <v>8665</v>
      </c>
      <c r="H3669" s="8" t="s">
        <v>8664</v>
      </c>
      <c r="I3669" s="8" t="s">
        <v>8664</v>
      </c>
      <c r="J3669" s="5">
        <f>3-1</f>
        <v>2</v>
      </c>
      <c r="K3669" s="5" t="s">
        <v>7221</v>
      </c>
      <c r="L3669" s="70" t="s">
        <v>8230</v>
      </c>
      <c r="M3669" s="70">
        <v>21</v>
      </c>
      <c r="N3669" s="5" t="s">
        <v>8236</v>
      </c>
      <c r="O3669" s="5" t="s">
        <v>266</v>
      </c>
      <c r="Q3669" s="77" t="s">
        <v>8666</v>
      </c>
    </row>
    <row r="3670" spans="1:21" x14ac:dyDescent="0.2">
      <c r="A3670" s="5">
        <v>2205</v>
      </c>
      <c r="B3670" s="8" t="s">
        <v>8667</v>
      </c>
      <c r="H3670" s="8" t="s">
        <v>8668</v>
      </c>
      <c r="I3670" s="8" t="s">
        <v>8669</v>
      </c>
      <c r="J3670" s="5">
        <v>0</v>
      </c>
      <c r="K3670" s="5" t="s">
        <v>7221</v>
      </c>
      <c r="L3670" s="70" t="s">
        <v>8230</v>
      </c>
      <c r="M3670" s="70">
        <v>21</v>
      </c>
      <c r="N3670" s="5" t="s">
        <v>8236</v>
      </c>
      <c r="O3670" s="5" t="s">
        <v>266</v>
      </c>
      <c r="S3670" s="5" t="s">
        <v>1139</v>
      </c>
      <c r="U3670" t="s">
        <v>321</v>
      </c>
    </row>
    <row r="3671" spans="1:21" x14ac:dyDescent="0.2">
      <c r="A3671" s="5">
        <v>2208</v>
      </c>
      <c r="B3671" s="8" t="s">
        <v>8670</v>
      </c>
      <c r="H3671" s="8" t="s">
        <v>8671</v>
      </c>
      <c r="I3671" s="8" t="s">
        <v>8671</v>
      </c>
      <c r="J3671" s="5">
        <f>3-2</f>
        <v>1</v>
      </c>
      <c r="K3671" s="5" t="s">
        <v>7221</v>
      </c>
      <c r="L3671" s="70" t="s">
        <v>8230</v>
      </c>
      <c r="M3671" s="70">
        <v>22</v>
      </c>
      <c r="N3671" s="5" t="s">
        <v>8236</v>
      </c>
      <c r="O3671" s="5" t="s">
        <v>266</v>
      </c>
      <c r="Q3671" s="77" t="s">
        <v>8672</v>
      </c>
    </row>
    <row r="3672" spans="1:21" x14ac:dyDescent="0.2">
      <c r="A3672" s="5"/>
      <c r="B3672" s="8" t="s">
        <v>8673</v>
      </c>
      <c r="H3672" s="8" t="s">
        <v>8674</v>
      </c>
      <c r="I3672" s="8" t="s">
        <v>8674</v>
      </c>
      <c r="J3672" s="5">
        <f>3-1</f>
        <v>2</v>
      </c>
      <c r="K3672" s="5" t="s">
        <v>7221</v>
      </c>
      <c r="L3672" s="70" t="s">
        <v>8230</v>
      </c>
      <c r="M3672" s="70">
        <v>22</v>
      </c>
      <c r="N3672" s="5" t="s">
        <v>8236</v>
      </c>
      <c r="O3672" s="5" t="s">
        <v>266</v>
      </c>
      <c r="Q3672" s="77" t="s">
        <v>8675</v>
      </c>
    </row>
    <row r="3673" spans="1:21" x14ac:dyDescent="0.2">
      <c r="A3673" s="5"/>
      <c r="B3673" s="8" t="s">
        <v>8676</v>
      </c>
      <c r="H3673" s="8" t="s">
        <v>8677</v>
      </c>
      <c r="I3673" s="8" t="s">
        <v>8677</v>
      </c>
      <c r="J3673" s="5">
        <f>3</f>
        <v>3</v>
      </c>
      <c r="K3673" s="5" t="s">
        <v>7221</v>
      </c>
      <c r="L3673" s="70" t="s">
        <v>8230</v>
      </c>
      <c r="M3673" s="70">
        <v>22</v>
      </c>
      <c r="N3673" s="5" t="s">
        <v>8236</v>
      </c>
      <c r="O3673" s="5" t="s">
        <v>266</v>
      </c>
      <c r="Q3673" s="77" t="s">
        <v>8675</v>
      </c>
    </row>
    <row r="3674" spans="1:21" x14ac:dyDescent="0.2">
      <c r="A3674" s="5">
        <v>2211</v>
      </c>
      <c r="B3674" s="8" t="s">
        <v>8678</v>
      </c>
      <c r="H3674" s="8" t="s">
        <v>8679</v>
      </c>
      <c r="I3674" s="8" t="s">
        <v>8679</v>
      </c>
      <c r="J3674" s="5">
        <f>9-1</f>
        <v>8</v>
      </c>
      <c r="K3674" s="5" t="s">
        <v>7221</v>
      </c>
      <c r="L3674" s="70" t="s">
        <v>8230</v>
      </c>
      <c r="M3674" s="70">
        <v>22</v>
      </c>
      <c r="N3674" s="5" t="s">
        <v>8236</v>
      </c>
      <c r="O3674" s="5" t="s">
        <v>266</v>
      </c>
      <c r="Q3674" s="77" t="s">
        <v>8680</v>
      </c>
    </row>
    <row r="3675" spans="1:21" x14ac:dyDescent="0.2">
      <c r="A3675" s="5"/>
      <c r="B3675" s="8" t="s">
        <v>8681</v>
      </c>
      <c r="H3675" s="8" t="s">
        <v>8682</v>
      </c>
      <c r="I3675" s="8" t="s">
        <v>8682</v>
      </c>
      <c r="J3675" s="5">
        <f>3-1-1</f>
        <v>1</v>
      </c>
      <c r="K3675" s="5" t="s">
        <v>7221</v>
      </c>
      <c r="L3675" s="70" t="s">
        <v>8230</v>
      </c>
      <c r="M3675" s="70">
        <v>22</v>
      </c>
      <c r="N3675" s="5" t="s">
        <v>8236</v>
      </c>
      <c r="O3675" s="5" t="s">
        <v>266</v>
      </c>
      <c r="Q3675" s="77" t="s">
        <v>8675</v>
      </c>
    </row>
    <row r="3676" spans="1:21" x14ac:dyDescent="0.2">
      <c r="A3676" s="5">
        <v>2213</v>
      </c>
      <c r="B3676" s="8" t="s">
        <v>8683</v>
      </c>
      <c r="H3676" s="8" t="s">
        <v>8684</v>
      </c>
      <c r="I3676" s="8" t="s">
        <v>8684</v>
      </c>
      <c r="J3676" s="5">
        <v>0</v>
      </c>
      <c r="K3676" s="5" t="s">
        <v>7221</v>
      </c>
      <c r="L3676" s="70" t="s">
        <v>8230</v>
      </c>
      <c r="M3676" s="70">
        <v>22</v>
      </c>
      <c r="N3676" s="5" t="s">
        <v>8236</v>
      </c>
      <c r="O3676" s="5" t="s">
        <v>266</v>
      </c>
      <c r="P3676" s="70"/>
      <c r="Q3676" s="5" t="s">
        <v>553</v>
      </c>
    </row>
    <row r="3677" spans="1:21" x14ac:dyDescent="0.2">
      <c r="A3677" s="5">
        <v>2232</v>
      </c>
      <c r="B3677" s="8" t="s">
        <v>8685</v>
      </c>
      <c r="H3677" s="8" t="s">
        <v>8686</v>
      </c>
      <c r="I3677" s="8" t="s">
        <v>8687</v>
      </c>
      <c r="J3677" s="5">
        <f>3-1</f>
        <v>2</v>
      </c>
      <c r="K3677" s="5" t="s">
        <v>7221</v>
      </c>
      <c r="L3677" s="70" t="s">
        <v>8230</v>
      </c>
      <c r="M3677" s="70">
        <v>22</v>
      </c>
      <c r="N3677" s="5" t="s">
        <v>8236</v>
      </c>
      <c r="O3677" s="5" t="s">
        <v>266</v>
      </c>
      <c r="Q3677" s="5" t="s">
        <v>553</v>
      </c>
    </row>
    <row r="3678" spans="1:21" x14ac:dyDescent="0.2">
      <c r="A3678" s="5">
        <v>2212</v>
      </c>
      <c r="B3678" s="8" t="s">
        <v>8688</v>
      </c>
      <c r="H3678" s="8" t="s">
        <v>8689</v>
      </c>
      <c r="I3678" s="8" t="s">
        <v>8689</v>
      </c>
      <c r="J3678" s="5">
        <f>1-1</f>
        <v>0</v>
      </c>
      <c r="K3678" s="5" t="s">
        <v>7221</v>
      </c>
      <c r="L3678" s="70" t="s">
        <v>8230</v>
      </c>
      <c r="M3678" s="70">
        <v>22</v>
      </c>
      <c r="N3678" s="5" t="s">
        <v>8236</v>
      </c>
      <c r="O3678" s="5" t="s">
        <v>266</v>
      </c>
      <c r="Q3678" s="5" t="s">
        <v>553</v>
      </c>
    </row>
    <row r="3679" spans="1:21" x14ac:dyDescent="0.2">
      <c r="A3679" s="5">
        <v>2209</v>
      </c>
      <c r="B3679" s="8" t="s">
        <v>8690</v>
      </c>
      <c r="H3679" s="8" t="s">
        <v>8691</v>
      </c>
      <c r="I3679" s="8" t="s">
        <v>8691</v>
      </c>
      <c r="J3679" s="5">
        <f>5-1-3</f>
        <v>1</v>
      </c>
      <c r="K3679" s="5" t="s">
        <v>7221</v>
      </c>
      <c r="L3679" s="70" t="s">
        <v>8230</v>
      </c>
      <c r="M3679" s="70">
        <v>22</v>
      </c>
      <c r="N3679" s="5" t="s">
        <v>8236</v>
      </c>
      <c r="O3679" s="5" t="s">
        <v>266</v>
      </c>
      <c r="Q3679" s="77" t="s">
        <v>8672</v>
      </c>
    </row>
    <row r="3680" spans="1:21" x14ac:dyDescent="0.2">
      <c r="A3680" s="5"/>
      <c r="B3680" s="8" t="s">
        <v>8692</v>
      </c>
      <c r="H3680" s="8" t="s">
        <v>8693</v>
      </c>
      <c r="I3680" s="8" t="s">
        <v>8693</v>
      </c>
      <c r="J3680" s="5">
        <f>2</f>
        <v>2</v>
      </c>
      <c r="K3680" s="5" t="s">
        <v>7221</v>
      </c>
      <c r="L3680" s="70" t="s">
        <v>8230</v>
      </c>
      <c r="M3680" s="70">
        <v>22</v>
      </c>
      <c r="N3680" s="5" t="s">
        <v>8236</v>
      </c>
      <c r="O3680" s="5" t="s">
        <v>266</v>
      </c>
      <c r="Q3680" s="77" t="s">
        <v>8694</v>
      </c>
    </row>
    <row r="3681" spans="1:21" x14ac:dyDescent="0.2">
      <c r="A3681" s="5">
        <v>2210</v>
      </c>
      <c r="B3681" s="8" t="s">
        <v>8695</v>
      </c>
      <c r="H3681" s="8" t="s">
        <v>8696</v>
      </c>
      <c r="I3681" s="8" t="s">
        <v>8697</v>
      </c>
      <c r="J3681" s="5">
        <v>2</v>
      </c>
      <c r="K3681" s="5" t="s">
        <v>7221</v>
      </c>
      <c r="L3681" s="70" t="s">
        <v>8230</v>
      </c>
      <c r="M3681" s="70">
        <v>22</v>
      </c>
      <c r="N3681" s="5" t="s">
        <v>8236</v>
      </c>
      <c r="O3681" s="5" t="s">
        <v>266</v>
      </c>
      <c r="Q3681" s="77" t="s">
        <v>8698</v>
      </c>
    </row>
    <row r="3682" spans="1:21" x14ac:dyDescent="0.2">
      <c r="A3682" s="5">
        <v>2214</v>
      </c>
      <c r="B3682" s="8" t="s">
        <v>8699</v>
      </c>
      <c r="H3682" s="8" t="s">
        <v>8700</v>
      </c>
      <c r="I3682" s="8" t="s">
        <v>8700</v>
      </c>
      <c r="J3682" s="5">
        <f>2-1-1</f>
        <v>0</v>
      </c>
      <c r="K3682" s="5" t="s">
        <v>7221</v>
      </c>
      <c r="L3682" s="70" t="s">
        <v>8230</v>
      </c>
      <c r="M3682" s="70">
        <v>22</v>
      </c>
      <c r="N3682" s="5" t="s">
        <v>8236</v>
      </c>
      <c r="O3682" s="5" t="s">
        <v>266</v>
      </c>
      <c r="Q3682" s="5" t="s">
        <v>553</v>
      </c>
    </row>
    <row r="3683" spans="1:21" x14ac:dyDescent="0.2">
      <c r="A3683" s="5">
        <v>2218</v>
      </c>
      <c r="B3683" s="8" t="s">
        <v>8570</v>
      </c>
      <c r="H3683" s="8" t="s">
        <v>8701</v>
      </c>
      <c r="I3683" s="8" t="s">
        <v>8701</v>
      </c>
      <c r="J3683" s="5">
        <v>2</v>
      </c>
      <c r="K3683" s="5" t="s">
        <v>7221</v>
      </c>
      <c r="L3683" s="70" t="s">
        <v>8230</v>
      </c>
      <c r="M3683" s="70">
        <v>22</v>
      </c>
      <c r="N3683" s="5" t="s">
        <v>8236</v>
      </c>
      <c r="O3683" s="5" t="s">
        <v>266</v>
      </c>
      <c r="Q3683" s="77" t="s">
        <v>8702</v>
      </c>
    </row>
    <row r="3684" spans="1:21" x14ac:dyDescent="0.2">
      <c r="A3684" s="5">
        <v>2216</v>
      </c>
      <c r="B3684" s="8" t="s">
        <v>8703</v>
      </c>
      <c r="H3684" s="8" t="s">
        <v>8704</v>
      </c>
      <c r="I3684" s="8" t="s">
        <v>8705</v>
      </c>
      <c r="J3684" s="5">
        <f>3-1-1-1</f>
        <v>0</v>
      </c>
      <c r="K3684" s="5" t="s">
        <v>7221</v>
      </c>
      <c r="L3684" s="70" t="s">
        <v>8230</v>
      </c>
      <c r="M3684" s="70">
        <v>22</v>
      </c>
      <c r="N3684" s="5" t="s">
        <v>8236</v>
      </c>
      <c r="O3684" s="5" t="s">
        <v>266</v>
      </c>
      <c r="Q3684" s="77" t="s">
        <v>8342</v>
      </c>
    </row>
    <row r="3685" spans="1:21" x14ac:dyDescent="0.2">
      <c r="A3685" s="5"/>
      <c r="B3685" s="8" t="s">
        <v>8706</v>
      </c>
      <c r="I3685" s="8" t="s">
        <v>8707</v>
      </c>
      <c r="J3685" s="5">
        <f>4</f>
        <v>4</v>
      </c>
      <c r="K3685" s="5" t="s">
        <v>7221</v>
      </c>
      <c r="L3685" s="70" t="s">
        <v>8230</v>
      </c>
      <c r="M3685" s="70">
        <v>22</v>
      </c>
      <c r="Q3685" s="77"/>
    </row>
    <row r="3686" spans="1:21" x14ac:dyDescent="0.2">
      <c r="A3686" s="5">
        <v>2219</v>
      </c>
      <c r="B3686" s="8" t="s">
        <v>8708</v>
      </c>
      <c r="H3686" s="8" t="s">
        <v>8709</v>
      </c>
      <c r="I3686" s="8" t="s">
        <v>8709</v>
      </c>
      <c r="J3686" s="5">
        <v>1</v>
      </c>
      <c r="K3686" s="5" t="s">
        <v>7221</v>
      </c>
      <c r="L3686" s="70" t="s">
        <v>8230</v>
      </c>
      <c r="M3686" s="70">
        <v>22</v>
      </c>
      <c r="N3686" s="5" t="s">
        <v>8236</v>
      </c>
      <c r="O3686" s="5" t="s">
        <v>266</v>
      </c>
      <c r="S3686" s="5" t="s">
        <v>1139</v>
      </c>
      <c r="U3686" t="s">
        <v>321</v>
      </c>
    </row>
    <row r="3687" spans="1:21" x14ac:dyDescent="0.2">
      <c r="A3687" s="5">
        <v>2215</v>
      </c>
      <c r="B3687" s="8" t="s">
        <v>8710</v>
      </c>
      <c r="H3687" s="8" t="s">
        <v>8711</v>
      </c>
      <c r="I3687" s="8" t="s">
        <v>8711</v>
      </c>
      <c r="J3687" s="5">
        <v>1</v>
      </c>
      <c r="K3687" s="5" t="s">
        <v>7221</v>
      </c>
      <c r="L3687" s="70" t="s">
        <v>8230</v>
      </c>
      <c r="M3687" s="70">
        <v>22</v>
      </c>
      <c r="N3687" s="5" t="s">
        <v>8236</v>
      </c>
      <c r="O3687" s="5" t="s">
        <v>266</v>
      </c>
      <c r="Q3687" s="5" t="s">
        <v>553</v>
      </c>
    </row>
    <row r="3688" spans="1:21" x14ac:dyDescent="0.2">
      <c r="A3688" s="5"/>
      <c r="B3688" s="8" t="s">
        <v>8712</v>
      </c>
      <c r="H3688" s="8" t="s">
        <v>8713</v>
      </c>
      <c r="I3688" s="8" t="s">
        <v>8713</v>
      </c>
      <c r="J3688" s="5">
        <f>1-1</f>
        <v>0</v>
      </c>
      <c r="K3688" s="5" t="s">
        <v>7221</v>
      </c>
      <c r="L3688" s="70" t="s">
        <v>8230</v>
      </c>
      <c r="M3688" s="70">
        <v>22</v>
      </c>
      <c r="N3688" s="5" t="s">
        <v>8236</v>
      </c>
      <c r="O3688" s="5" t="s">
        <v>266</v>
      </c>
      <c r="Q3688" s="77" t="s">
        <v>8714</v>
      </c>
    </row>
    <row r="3689" spans="1:21" x14ac:dyDescent="0.2">
      <c r="A3689" s="5">
        <v>2217</v>
      </c>
      <c r="B3689" s="8" t="s">
        <v>8715</v>
      </c>
      <c r="H3689" s="8" t="s">
        <v>8716</v>
      </c>
      <c r="I3689" s="8" t="s">
        <v>8717</v>
      </c>
      <c r="J3689" s="5">
        <v>3</v>
      </c>
      <c r="K3689" s="5" t="s">
        <v>7221</v>
      </c>
      <c r="L3689" s="70" t="s">
        <v>8230</v>
      </c>
      <c r="M3689" s="70">
        <v>22</v>
      </c>
      <c r="N3689" s="5" t="s">
        <v>8236</v>
      </c>
      <c r="O3689" s="5" t="s">
        <v>266</v>
      </c>
      <c r="Q3689" s="77" t="s">
        <v>8718</v>
      </c>
    </row>
    <row r="3690" spans="1:21" x14ac:dyDescent="0.2">
      <c r="A3690" s="5">
        <v>2220</v>
      </c>
      <c r="B3690" s="8" t="s">
        <v>8719</v>
      </c>
      <c r="H3690" s="8" t="s">
        <v>8720</v>
      </c>
      <c r="I3690" s="8" t="s">
        <v>8720</v>
      </c>
      <c r="J3690" s="5">
        <v>0</v>
      </c>
      <c r="K3690" s="5" t="s">
        <v>7221</v>
      </c>
      <c r="L3690" s="70" t="s">
        <v>8230</v>
      </c>
      <c r="M3690" s="70">
        <v>22</v>
      </c>
      <c r="N3690" s="5" t="s">
        <v>8236</v>
      </c>
      <c r="O3690" s="5" t="s">
        <v>266</v>
      </c>
      <c r="Q3690" s="5" t="s">
        <v>553</v>
      </c>
    </row>
    <row r="3691" spans="1:21" x14ac:dyDescent="0.2">
      <c r="A3691" s="5">
        <v>2227</v>
      </c>
      <c r="B3691" s="8" t="s">
        <v>8721</v>
      </c>
      <c r="H3691" s="8" t="s">
        <v>8722</v>
      </c>
      <c r="I3691" s="8" t="s">
        <v>8723</v>
      </c>
      <c r="J3691" s="5">
        <f>3-1</f>
        <v>2</v>
      </c>
      <c r="K3691" s="5" t="s">
        <v>7221</v>
      </c>
      <c r="L3691" s="70" t="s">
        <v>8230</v>
      </c>
      <c r="M3691" s="70">
        <v>23</v>
      </c>
      <c r="N3691" s="5" t="s">
        <v>8236</v>
      </c>
      <c r="O3691" s="5" t="s">
        <v>266</v>
      </c>
      <c r="Q3691" s="77" t="s">
        <v>1397</v>
      </c>
    </row>
    <row r="3692" spans="1:21" x14ac:dyDescent="0.2">
      <c r="A3692" s="5">
        <v>2224</v>
      </c>
      <c r="B3692" s="8" t="s">
        <v>8724</v>
      </c>
      <c r="H3692" s="8" t="s">
        <v>8725</v>
      </c>
      <c r="I3692" s="8" t="s">
        <v>8726</v>
      </c>
      <c r="J3692" s="5">
        <v>10</v>
      </c>
      <c r="K3692" s="5" t="s">
        <v>7221</v>
      </c>
      <c r="L3692" s="70" t="s">
        <v>8230</v>
      </c>
      <c r="M3692" s="70">
        <v>23</v>
      </c>
      <c r="N3692" s="5" t="s">
        <v>8236</v>
      </c>
      <c r="O3692" s="5" t="s">
        <v>266</v>
      </c>
      <c r="Q3692" s="77" t="s">
        <v>1397</v>
      </c>
    </row>
    <row r="3693" spans="1:21" x14ac:dyDescent="0.2">
      <c r="A3693" s="5">
        <v>2226</v>
      </c>
      <c r="B3693" s="8" t="s">
        <v>8727</v>
      </c>
      <c r="H3693" s="8" t="s">
        <v>8728</v>
      </c>
      <c r="I3693" s="8" t="s">
        <v>8729</v>
      </c>
      <c r="J3693" s="5">
        <v>1</v>
      </c>
      <c r="K3693" s="5" t="s">
        <v>7221</v>
      </c>
      <c r="L3693" s="70" t="s">
        <v>8230</v>
      </c>
      <c r="M3693" s="70">
        <v>23</v>
      </c>
      <c r="N3693" s="5" t="s">
        <v>8236</v>
      </c>
      <c r="O3693" s="5" t="s">
        <v>266</v>
      </c>
      <c r="Q3693" s="5" t="s">
        <v>553</v>
      </c>
    </row>
    <row r="3694" spans="1:21" x14ac:dyDescent="0.2">
      <c r="A3694" s="5">
        <v>2223</v>
      </c>
      <c r="B3694" s="8" t="s">
        <v>8730</v>
      </c>
      <c r="H3694" s="8" t="s">
        <v>8731</v>
      </c>
      <c r="I3694" s="8" t="s">
        <v>8732</v>
      </c>
      <c r="J3694" s="5">
        <f>5-1</f>
        <v>4</v>
      </c>
      <c r="K3694" s="5" t="s">
        <v>7221</v>
      </c>
      <c r="L3694" s="70" t="s">
        <v>8230</v>
      </c>
      <c r="M3694" s="70">
        <v>23</v>
      </c>
      <c r="N3694" s="5" t="s">
        <v>8236</v>
      </c>
      <c r="O3694" s="5" t="s">
        <v>266</v>
      </c>
      <c r="Q3694" s="77" t="s">
        <v>8733</v>
      </c>
    </row>
    <row r="3695" spans="1:21" x14ac:dyDescent="0.2">
      <c r="A3695" s="5">
        <v>2222</v>
      </c>
      <c r="B3695" s="8" t="s">
        <v>8734</v>
      </c>
      <c r="H3695" s="8" t="s">
        <v>8735</v>
      </c>
      <c r="I3695" s="8" t="s">
        <v>8736</v>
      </c>
      <c r="J3695" s="5">
        <f>4-1</f>
        <v>3</v>
      </c>
      <c r="K3695" s="5" t="s">
        <v>7221</v>
      </c>
      <c r="L3695" s="70" t="s">
        <v>8230</v>
      </c>
      <c r="M3695" s="70">
        <v>23</v>
      </c>
      <c r="N3695" s="5" t="s">
        <v>8236</v>
      </c>
      <c r="O3695" s="5" t="s">
        <v>266</v>
      </c>
      <c r="Q3695" s="77" t="s">
        <v>8737</v>
      </c>
      <c r="U3695" t="s">
        <v>321</v>
      </c>
    </row>
    <row r="3696" spans="1:21" x14ac:dyDescent="0.2">
      <c r="A3696" s="5">
        <v>2221</v>
      </c>
      <c r="B3696" s="8" t="s">
        <v>8738</v>
      </c>
      <c r="H3696" s="8" t="s">
        <v>8739</v>
      </c>
      <c r="I3696" s="8" t="s">
        <v>8740</v>
      </c>
      <c r="J3696" s="5">
        <v>1</v>
      </c>
      <c r="K3696" s="5" t="s">
        <v>7221</v>
      </c>
      <c r="L3696" s="70" t="s">
        <v>8230</v>
      </c>
      <c r="M3696" s="70">
        <v>23</v>
      </c>
      <c r="N3696" s="5" t="s">
        <v>8236</v>
      </c>
      <c r="O3696" s="5" t="s">
        <v>266</v>
      </c>
      <c r="Q3696" s="77" t="s">
        <v>8737</v>
      </c>
    </row>
    <row r="3697" spans="1:21" x14ac:dyDescent="0.2">
      <c r="A3697" s="5">
        <v>2225</v>
      </c>
      <c r="B3697" s="8" t="s">
        <v>8741</v>
      </c>
      <c r="H3697" s="8" t="s">
        <v>8742</v>
      </c>
      <c r="I3697" s="8" t="s">
        <v>8743</v>
      </c>
      <c r="J3697" s="5">
        <f>14-1</f>
        <v>13</v>
      </c>
      <c r="K3697" s="5" t="s">
        <v>7221</v>
      </c>
      <c r="L3697" s="70" t="s">
        <v>8230</v>
      </c>
      <c r="M3697" s="70">
        <v>23</v>
      </c>
      <c r="N3697" s="5" t="s">
        <v>8236</v>
      </c>
      <c r="O3697" s="5" t="s">
        <v>266</v>
      </c>
      <c r="Q3697" s="77" t="s">
        <v>8744</v>
      </c>
    </row>
    <row r="3698" spans="1:21" x14ac:dyDescent="0.2">
      <c r="A3698" s="5"/>
      <c r="B3698" s="8" t="s">
        <v>8745</v>
      </c>
      <c r="H3698" s="8" t="s">
        <v>8746</v>
      </c>
      <c r="I3698" s="8" t="s">
        <v>8747</v>
      </c>
      <c r="J3698" s="5">
        <v>0</v>
      </c>
      <c r="K3698" s="5" t="s">
        <v>7221</v>
      </c>
      <c r="L3698" s="70" t="s">
        <v>8230</v>
      </c>
      <c r="M3698" s="70">
        <v>23</v>
      </c>
      <c r="N3698" s="5" t="s">
        <v>8236</v>
      </c>
      <c r="O3698" s="5" t="s">
        <v>266</v>
      </c>
      <c r="Q3698" s="7"/>
    </row>
    <row r="3699" spans="1:21" x14ac:dyDescent="0.2">
      <c r="A3699" s="5">
        <v>2231</v>
      </c>
      <c r="B3699" s="8" t="s">
        <v>8748</v>
      </c>
      <c r="H3699" s="8" t="s">
        <v>8749</v>
      </c>
      <c r="I3699" s="8" t="s">
        <v>8750</v>
      </c>
      <c r="J3699" s="5">
        <v>1</v>
      </c>
      <c r="K3699" s="5" t="s">
        <v>7221</v>
      </c>
      <c r="L3699" s="70" t="s">
        <v>8230</v>
      </c>
      <c r="M3699" s="70">
        <v>24</v>
      </c>
      <c r="N3699" s="5" t="s">
        <v>8236</v>
      </c>
      <c r="O3699" s="5" t="s">
        <v>266</v>
      </c>
      <c r="Q3699" s="5" t="s">
        <v>553</v>
      </c>
    </row>
    <row r="3700" spans="1:21" x14ac:dyDescent="0.2">
      <c r="A3700" s="5">
        <v>2229</v>
      </c>
      <c r="B3700" s="8" t="s">
        <v>8751</v>
      </c>
      <c r="H3700" s="8" t="s">
        <v>8752</v>
      </c>
      <c r="I3700" s="8" t="s">
        <v>8753</v>
      </c>
      <c r="J3700" s="5">
        <v>2</v>
      </c>
      <c r="K3700" s="5" t="s">
        <v>7221</v>
      </c>
      <c r="L3700" s="70" t="s">
        <v>8230</v>
      </c>
      <c r="M3700" s="70">
        <v>24</v>
      </c>
      <c r="N3700" s="5" t="s">
        <v>8236</v>
      </c>
      <c r="O3700" s="5" t="s">
        <v>266</v>
      </c>
      <c r="Q3700" s="5" t="s">
        <v>553</v>
      </c>
    </row>
    <row r="3701" spans="1:21" x14ac:dyDescent="0.2">
      <c r="A3701" s="5">
        <v>2228</v>
      </c>
      <c r="B3701" s="8" t="s">
        <v>8754</v>
      </c>
      <c r="H3701" s="8" t="s">
        <v>8755</v>
      </c>
      <c r="I3701" s="8" t="s">
        <v>8756</v>
      </c>
      <c r="J3701" s="5">
        <v>4</v>
      </c>
      <c r="K3701" s="5" t="s">
        <v>7221</v>
      </c>
      <c r="L3701" s="70" t="s">
        <v>8230</v>
      </c>
      <c r="M3701" s="70">
        <v>24</v>
      </c>
      <c r="N3701" s="5" t="s">
        <v>8236</v>
      </c>
      <c r="O3701" s="5" t="s">
        <v>266</v>
      </c>
      <c r="Q3701" s="5" t="s">
        <v>553</v>
      </c>
    </row>
    <row r="3702" spans="1:21" x14ac:dyDescent="0.2">
      <c r="A3702" s="5"/>
      <c r="H3702" s="8" t="s">
        <v>8757</v>
      </c>
      <c r="I3702" s="8" t="s">
        <v>8757</v>
      </c>
      <c r="J3702" s="5">
        <v>1</v>
      </c>
      <c r="K3702" s="5" t="s">
        <v>7221</v>
      </c>
      <c r="L3702" s="70" t="s">
        <v>8230</v>
      </c>
      <c r="M3702" s="70">
        <v>24</v>
      </c>
      <c r="N3702" s="5" t="s">
        <v>8236</v>
      </c>
      <c r="O3702" s="5" t="s">
        <v>266</v>
      </c>
      <c r="U3702" t="s">
        <v>288</v>
      </c>
    </row>
    <row r="3703" spans="1:21" x14ac:dyDescent="0.2">
      <c r="A3703" s="5"/>
      <c r="B3703" s="8" t="s">
        <v>8758</v>
      </c>
      <c r="H3703" s="8" t="s">
        <v>8759</v>
      </c>
      <c r="I3703" s="8" t="s">
        <v>8759</v>
      </c>
      <c r="J3703" s="5">
        <v>1</v>
      </c>
      <c r="K3703" s="5" t="s">
        <v>7221</v>
      </c>
      <c r="L3703" s="70" t="s">
        <v>8230</v>
      </c>
      <c r="M3703" s="70">
        <v>24</v>
      </c>
      <c r="N3703" s="5" t="s">
        <v>8236</v>
      </c>
      <c r="O3703" s="5" t="s">
        <v>266</v>
      </c>
      <c r="U3703" t="s">
        <v>321</v>
      </c>
    </row>
    <row r="3704" spans="1:21" x14ac:dyDescent="0.2">
      <c r="A3704" s="5">
        <v>2233</v>
      </c>
      <c r="B3704" s="8" t="s">
        <v>8760</v>
      </c>
      <c r="H3704" s="8" t="s">
        <v>8761</v>
      </c>
      <c r="I3704" s="8" t="s">
        <v>8761</v>
      </c>
      <c r="J3704" s="5">
        <f>6-1</f>
        <v>5</v>
      </c>
      <c r="K3704" s="5" t="s">
        <v>7221</v>
      </c>
      <c r="L3704" s="70" t="s">
        <v>8230</v>
      </c>
      <c r="M3704" s="70">
        <v>24</v>
      </c>
      <c r="N3704" s="5" t="s">
        <v>8236</v>
      </c>
      <c r="O3704" s="5" t="s">
        <v>266</v>
      </c>
      <c r="Q3704" s="5" t="s">
        <v>553</v>
      </c>
    </row>
    <row r="3705" spans="1:21" x14ac:dyDescent="0.2">
      <c r="A3705" s="5">
        <v>2234</v>
      </c>
      <c r="B3705" s="8" t="s">
        <v>8762</v>
      </c>
      <c r="H3705" s="8" t="s">
        <v>8763</v>
      </c>
      <c r="I3705" s="8" t="s">
        <v>8763</v>
      </c>
      <c r="J3705" s="5">
        <v>1</v>
      </c>
      <c r="K3705" s="5" t="s">
        <v>7221</v>
      </c>
      <c r="L3705" s="70" t="s">
        <v>8230</v>
      </c>
      <c r="M3705" s="70">
        <v>24</v>
      </c>
      <c r="N3705" s="5" t="s">
        <v>8236</v>
      </c>
      <c r="O3705" s="5" t="s">
        <v>266</v>
      </c>
      <c r="S3705" s="5" t="s">
        <v>1139</v>
      </c>
      <c r="U3705" t="s">
        <v>321</v>
      </c>
    </row>
    <row r="3706" spans="1:21" x14ac:dyDescent="0.2">
      <c r="A3706" s="5">
        <v>2230</v>
      </c>
      <c r="B3706" s="8" t="s">
        <v>8764</v>
      </c>
      <c r="H3706" s="8" t="s">
        <v>8765</v>
      </c>
      <c r="I3706" s="8" t="s">
        <v>8766</v>
      </c>
      <c r="J3706" s="5">
        <v>3</v>
      </c>
      <c r="K3706" s="5" t="s">
        <v>7221</v>
      </c>
      <c r="L3706" s="70" t="s">
        <v>8230</v>
      </c>
      <c r="M3706" s="70">
        <v>24</v>
      </c>
      <c r="N3706" s="5" t="s">
        <v>8236</v>
      </c>
      <c r="O3706" s="5" t="s">
        <v>266</v>
      </c>
      <c r="Q3706" s="5" t="s">
        <v>553</v>
      </c>
      <c r="U3706" t="s">
        <v>321</v>
      </c>
    </row>
    <row r="3707" spans="1:21" x14ac:dyDescent="0.2">
      <c r="A3707" s="5"/>
      <c r="B3707" s="8" t="s">
        <v>8767</v>
      </c>
      <c r="H3707" s="8" t="s">
        <v>8768</v>
      </c>
      <c r="I3707" s="8" t="s">
        <v>8768</v>
      </c>
      <c r="J3707" s="5">
        <v>5</v>
      </c>
      <c r="K3707" s="5" t="s">
        <v>8057</v>
      </c>
      <c r="L3707" s="70" t="s">
        <v>8230</v>
      </c>
      <c r="M3707" s="70">
        <v>25</v>
      </c>
      <c r="N3707" s="5" t="s">
        <v>8236</v>
      </c>
      <c r="O3707" s="5" t="s">
        <v>266</v>
      </c>
      <c r="Q3707" s="5" t="s">
        <v>8769</v>
      </c>
      <c r="U3707" t="s">
        <v>321</v>
      </c>
    </row>
    <row r="3708" spans="1:21" x14ac:dyDescent="0.2">
      <c r="A3708" s="5">
        <v>2239</v>
      </c>
      <c r="B3708" s="19">
        <v>4520016</v>
      </c>
      <c r="C3708" s="19"/>
      <c r="D3708" s="19"/>
      <c r="E3708" s="29"/>
      <c r="F3708" s="19"/>
      <c r="G3708" s="19"/>
      <c r="H3708" s="8" t="s">
        <v>8375</v>
      </c>
      <c r="I3708" s="8" t="s">
        <v>8375</v>
      </c>
      <c r="J3708" s="5">
        <v>1</v>
      </c>
      <c r="K3708" s="5" t="s">
        <v>7221</v>
      </c>
      <c r="L3708" s="70" t="s">
        <v>8230</v>
      </c>
      <c r="M3708" s="70">
        <v>25</v>
      </c>
      <c r="N3708" s="5" t="s">
        <v>8236</v>
      </c>
      <c r="O3708" s="5" t="s">
        <v>266</v>
      </c>
      <c r="Q3708" s="77" t="s">
        <v>8291</v>
      </c>
    </row>
    <row r="3709" spans="1:21" x14ac:dyDescent="0.2">
      <c r="A3709" s="5">
        <v>2235</v>
      </c>
      <c r="B3709" s="8" t="s">
        <v>8770</v>
      </c>
      <c r="H3709" s="8" t="s">
        <v>8771</v>
      </c>
      <c r="I3709" s="8" t="s">
        <v>8771</v>
      </c>
      <c r="J3709" s="5">
        <f>2</f>
        <v>2</v>
      </c>
      <c r="K3709" s="5" t="s">
        <v>7221</v>
      </c>
      <c r="L3709" s="70" t="s">
        <v>8230</v>
      </c>
      <c r="M3709" s="70">
        <v>25</v>
      </c>
      <c r="N3709" s="5" t="s">
        <v>8236</v>
      </c>
      <c r="O3709" s="5" t="s">
        <v>266</v>
      </c>
      <c r="Q3709" s="5" t="s">
        <v>8772</v>
      </c>
    </row>
    <row r="3710" spans="1:21" x14ac:dyDescent="0.2">
      <c r="A3710" s="5">
        <v>2238</v>
      </c>
      <c r="B3710" s="8" t="s">
        <v>8773</v>
      </c>
      <c r="C3710" s="8" t="s">
        <v>8774</v>
      </c>
      <c r="D3710" s="8" t="s">
        <v>8775</v>
      </c>
      <c r="E3710" s="24">
        <v>43589</v>
      </c>
      <c r="F3710" s="8" t="s">
        <v>1966</v>
      </c>
      <c r="G3710" s="8" t="s">
        <v>276</v>
      </c>
      <c r="H3710" s="8" t="s">
        <v>8776</v>
      </c>
      <c r="I3710" s="8" t="s">
        <v>8777</v>
      </c>
      <c r="J3710" s="5">
        <v>3</v>
      </c>
      <c r="K3710" s="5" t="s">
        <v>7221</v>
      </c>
      <c r="L3710" s="70" t="s">
        <v>8230</v>
      </c>
      <c r="M3710" s="70">
        <v>25</v>
      </c>
      <c r="N3710" s="5" t="s">
        <v>8236</v>
      </c>
      <c r="O3710" s="5" t="s">
        <v>266</v>
      </c>
      <c r="Q3710" s="5" t="s">
        <v>553</v>
      </c>
    </row>
    <row r="3711" spans="1:21" x14ac:dyDescent="0.2">
      <c r="A3711" s="5">
        <v>2237</v>
      </c>
      <c r="B3711" s="8" t="s">
        <v>8778</v>
      </c>
      <c r="H3711" s="8" t="s">
        <v>8779</v>
      </c>
      <c r="I3711" s="8" t="s">
        <v>8779</v>
      </c>
      <c r="J3711" s="5">
        <f>2+1</f>
        <v>3</v>
      </c>
      <c r="K3711" s="5" t="s">
        <v>7221</v>
      </c>
      <c r="L3711" s="70" t="s">
        <v>8230</v>
      </c>
      <c r="M3711" s="70">
        <v>25</v>
      </c>
      <c r="N3711" s="5" t="s">
        <v>8236</v>
      </c>
      <c r="O3711" s="5" t="s">
        <v>266</v>
      </c>
      <c r="Q3711" s="5" t="s">
        <v>553</v>
      </c>
    </row>
    <row r="3712" spans="1:21" x14ac:dyDescent="0.2">
      <c r="A3712" s="5"/>
      <c r="B3712" s="8" t="s">
        <v>8780</v>
      </c>
      <c r="H3712" s="8" t="s">
        <v>8781</v>
      </c>
      <c r="I3712" s="8" t="s">
        <v>8781</v>
      </c>
      <c r="J3712" s="5">
        <f>1-1</f>
        <v>0</v>
      </c>
      <c r="K3712" s="5" t="s">
        <v>7221</v>
      </c>
      <c r="L3712" s="70" t="s">
        <v>8230</v>
      </c>
      <c r="M3712" s="70">
        <v>25</v>
      </c>
      <c r="N3712" s="5" t="s">
        <v>8236</v>
      </c>
      <c r="Q3712" s="5" t="s">
        <v>8782</v>
      </c>
    </row>
    <row r="3713" spans="1:21" x14ac:dyDescent="0.2">
      <c r="A3713" s="5">
        <v>338</v>
      </c>
      <c r="B3713" s="8" t="s">
        <v>8783</v>
      </c>
      <c r="D3713" s="8" t="s">
        <v>953</v>
      </c>
      <c r="E3713" s="24">
        <v>43669</v>
      </c>
      <c r="F3713" s="8" t="s">
        <v>259</v>
      </c>
      <c r="G3713" s="8" t="s">
        <v>8784</v>
      </c>
      <c r="H3713" s="8" t="s">
        <v>8785</v>
      </c>
      <c r="I3713" s="8" t="s">
        <v>8785</v>
      </c>
      <c r="J3713" s="5">
        <v>0</v>
      </c>
      <c r="K3713" s="5" t="s">
        <v>7221</v>
      </c>
      <c r="L3713" s="70" t="s">
        <v>8230</v>
      </c>
      <c r="M3713" s="70">
        <v>25</v>
      </c>
      <c r="N3713" s="5" t="s">
        <v>8236</v>
      </c>
      <c r="Q3713" s="5" t="s">
        <v>8786</v>
      </c>
    </row>
    <row r="3714" spans="1:21" x14ac:dyDescent="0.2">
      <c r="A3714" s="5">
        <v>2236</v>
      </c>
      <c r="B3714" s="8" t="s">
        <v>8787</v>
      </c>
      <c r="H3714" s="8" t="s">
        <v>8788</v>
      </c>
      <c r="I3714" s="8" t="s">
        <v>8789</v>
      </c>
      <c r="J3714" s="5">
        <f>1-1</f>
        <v>0</v>
      </c>
      <c r="K3714" s="5" t="s">
        <v>7221</v>
      </c>
      <c r="L3714" s="70" t="s">
        <v>8230</v>
      </c>
      <c r="M3714" s="70">
        <v>25</v>
      </c>
      <c r="N3714" s="5" t="s">
        <v>8236</v>
      </c>
      <c r="O3714" s="5" t="s">
        <v>266</v>
      </c>
      <c r="Q3714" s="77" t="s">
        <v>8790</v>
      </c>
    </row>
    <row r="3715" spans="1:21" x14ac:dyDescent="0.2">
      <c r="A3715" s="5">
        <v>2240</v>
      </c>
      <c r="B3715" s="8" t="s">
        <v>8791</v>
      </c>
      <c r="H3715" s="8" t="s">
        <v>8792</v>
      </c>
      <c r="I3715" s="8" t="s">
        <v>8792</v>
      </c>
      <c r="J3715" s="5">
        <v>2</v>
      </c>
      <c r="K3715" s="5" t="s">
        <v>7221</v>
      </c>
      <c r="L3715" s="70" t="s">
        <v>8230</v>
      </c>
      <c r="M3715" s="70">
        <v>25</v>
      </c>
      <c r="N3715" s="5" t="s">
        <v>8236</v>
      </c>
      <c r="O3715" s="5" t="s">
        <v>266</v>
      </c>
      <c r="Q3715" s="77" t="s">
        <v>8793</v>
      </c>
    </row>
    <row r="3716" spans="1:21" x14ac:dyDescent="0.2">
      <c r="A3716" s="5"/>
      <c r="B3716" s="8">
        <v>4510071</v>
      </c>
      <c r="H3716" s="8" t="s">
        <v>8794</v>
      </c>
      <c r="I3716" s="8" t="s">
        <v>8794</v>
      </c>
      <c r="J3716" s="5">
        <v>100</v>
      </c>
      <c r="K3716" s="5" t="s">
        <v>8057</v>
      </c>
      <c r="L3716" s="70" t="s">
        <v>8230</v>
      </c>
      <c r="M3716" s="70">
        <v>25</v>
      </c>
      <c r="N3716" s="5" t="s">
        <v>8236</v>
      </c>
      <c r="Q3716" s="77" t="s">
        <v>8795</v>
      </c>
    </row>
    <row r="3717" spans="1:21" x14ac:dyDescent="0.2">
      <c r="A3717" s="5"/>
      <c r="B3717" s="8">
        <v>4510091</v>
      </c>
      <c r="H3717" s="8" t="s">
        <v>8796</v>
      </c>
      <c r="I3717" s="8" t="s">
        <v>8796</v>
      </c>
      <c r="J3717" s="5">
        <v>100</v>
      </c>
      <c r="K3717" s="5" t="s">
        <v>8057</v>
      </c>
      <c r="L3717" s="70" t="s">
        <v>8230</v>
      </c>
      <c r="M3717" s="70">
        <v>25</v>
      </c>
      <c r="N3717" s="5" t="s">
        <v>8236</v>
      </c>
      <c r="Q3717" s="77" t="s">
        <v>8795</v>
      </c>
    </row>
    <row r="3718" spans="1:21" x14ac:dyDescent="0.2">
      <c r="A3718" s="5"/>
      <c r="B3718" s="8">
        <v>4520071</v>
      </c>
      <c r="H3718" s="8" t="s">
        <v>8797</v>
      </c>
      <c r="I3718" s="8" t="s">
        <v>8797</v>
      </c>
      <c r="J3718" s="5">
        <v>100</v>
      </c>
      <c r="K3718" s="5" t="s">
        <v>8057</v>
      </c>
      <c r="L3718" s="70" t="s">
        <v>8230</v>
      </c>
      <c r="M3718" s="70">
        <v>25</v>
      </c>
      <c r="N3718" s="5" t="s">
        <v>8236</v>
      </c>
      <c r="Q3718" s="77" t="s">
        <v>8798</v>
      </c>
    </row>
    <row r="3719" spans="1:21" x14ac:dyDescent="0.2">
      <c r="A3719" s="5">
        <v>2287</v>
      </c>
      <c r="B3719" s="8">
        <v>4520004</v>
      </c>
      <c r="H3719" s="8" t="s">
        <v>8799</v>
      </c>
      <c r="I3719" s="8" t="s">
        <v>8799</v>
      </c>
      <c r="J3719" s="5">
        <v>1</v>
      </c>
      <c r="K3719" s="5" t="s">
        <v>7221</v>
      </c>
      <c r="L3719" s="70" t="s">
        <v>8230</v>
      </c>
      <c r="M3719" s="70">
        <v>25</v>
      </c>
      <c r="N3719" s="5" t="s">
        <v>8236</v>
      </c>
      <c r="O3719" s="5" t="s">
        <v>266</v>
      </c>
      <c r="Q3719" s="5" t="s">
        <v>553</v>
      </c>
    </row>
    <row r="3720" spans="1:21" x14ac:dyDescent="0.2">
      <c r="A3720" s="5"/>
      <c r="B3720" s="8">
        <v>4520014</v>
      </c>
      <c r="H3720" s="8" t="s">
        <v>8800</v>
      </c>
      <c r="I3720" s="8" t="s">
        <v>8800</v>
      </c>
      <c r="J3720" s="5">
        <v>100</v>
      </c>
      <c r="K3720" s="5" t="s">
        <v>8057</v>
      </c>
      <c r="L3720" s="70" t="s">
        <v>8230</v>
      </c>
      <c r="M3720" s="70">
        <v>25</v>
      </c>
      <c r="N3720" s="5" t="s">
        <v>8236</v>
      </c>
      <c r="O3720" s="5" t="s">
        <v>266</v>
      </c>
    </row>
    <row r="3721" spans="1:21" x14ac:dyDescent="0.2">
      <c r="A3721" s="5">
        <v>2285</v>
      </c>
      <c r="B3721" s="8">
        <v>4520034</v>
      </c>
      <c r="H3721" s="8" t="s">
        <v>8801</v>
      </c>
      <c r="I3721" s="8" t="s">
        <v>8801</v>
      </c>
      <c r="J3721" s="5">
        <v>1</v>
      </c>
      <c r="K3721" s="5" t="s">
        <v>7221</v>
      </c>
      <c r="L3721" s="70" t="s">
        <v>8230</v>
      </c>
      <c r="M3721" s="70">
        <v>25</v>
      </c>
      <c r="N3721" s="5" t="s">
        <v>8236</v>
      </c>
      <c r="O3721" s="5" t="s">
        <v>266</v>
      </c>
      <c r="Q3721" s="5" t="s">
        <v>553</v>
      </c>
    </row>
    <row r="3722" spans="1:21" x14ac:dyDescent="0.2">
      <c r="A3722" s="5">
        <v>2286</v>
      </c>
      <c r="B3722" s="8">
        <v>4520092</v>
      </c>
      <c r="H3722" s="8" t="s">
        <v>8802</v>
      </c>
      <c r="I3722" s="8" t="s">
        <v>8802</v>
      </c>
      <c r="J3722" s="5">
        <v>1</v>
      </c>
      <c r="K3722" s="5" t="s">
        <v>7221</v>
      </c>
      <c r="L3722" s="70" t="s">
        <v>8230</v>
      </c>
      <c r="M3722" s="70">
        <v>25</v>
      </c>
      <c r="N3722" s="5" t="s">
        <v>8236</v>
      </c>
      <c r="O3722" s="5" t="s">
        <v>266</v>
      </c>
      <c r="Q3722" s="5" t="s">
        <v>553</v>
      </c>
    </row>
    <row r="3723" spans="1:21" x14ac:dyDescent="0.2">
      <c r="A3723" s="5">
        <v>2244</v>
      </c>
      <c r="B3723" s="8">
        <v>4520064</v>
      </c>
      <c r="H3723" s="8" t="s">
        <v>8803</v>
      </c>
      <c r="I3723" s="8" t="s">
        <v>8803</v>
      </c>
      <c r="J3723" s="5">
        <v>2</v>
      </c>
      <c r="K3723" s="5" t="s">
        <v>7221</v>
      </c>
      <c r="L3723" s="70" t="s">
        <v>8230</v>
      </c>
      <c r="M3723" s="70">
        <v>25</v>
      </c>
      <c r="N3723" s="5" t="s">
        <v>8236</v>
      </c>
      <c r="O3723" s="5" t="s">
        <v>266</v>
      </c>
      <c r="Q3723" s="77" t="s">
        <v>8291</v>
      </c>
    </row>
    <row r="3724" spans="1:21" x14ac:dyDescent="0.2">
      <c r="A3724" s="5">
        <v>2243</v>
      </c>
      <c r="B3724" s="8">
        <v>8120014</v>
      </c>
      <c r="H3724" s="8" t="s">
        <v>8804</v>
      </c>
      <c r="I3724" s="8" t="s">
        <v>8804</v>
      </c>
      <c r="J3724" s="5">
        <v>2</v>
      </c>
      <c r="K3724" s="5" t="s">
        <v>7221</v>
      </c>
      <c r="L3724" s="70" t="s">
        <v>8230</v>
      </c>
      <c r="M3724" s="70">
        <v>25</v>
      </c>
      <c r="N3724" s="5" t="s">
        <v>8236</v>
      </c>
      <c r="O3724" s="5" t="s">
        <v>266</v>
      </c>
      <c r="Q3724" s="77" t="s">
        <v>8805</v>
      </c>
    </row>
    <row r="3725" spans="1:21" x14ac:dyDescent="0.2">
      <c r="A3725" s="5">
        <v>2241</v>
      </c>
      <c r="B3725" s="8">
        <v>8120024</v>
      </c>
      <c r="H3725" s="8" t="s">
        <v>8806</v>
      </c>
      <c r="I3725" s="8" t="s">
        <v>8806</v>
      </c>
      <c r="J3725" s="5">
        <v>2</v>
      </c>
      <c r="K3725" s="5" t="s">
        <v>7221</v>
      </c>
      <c r="L3725" s="70" t="s">
        <v>8230</v>
      </c>
      <c r="M3725" s="70">
        <v>25</v>
      </c>
      <c r="N3725" s="5" t="s">
        <v>8236</v>
      </c>
      <c r="O3725" s="5" t="s">
        <v>266</v>
      </c>
      <c r="Q3725" s="77" t="s">
        <v>8805</v>
      </c>
    </row>
    <row r="3726" spans="1:21" x14ac:dyDescent="0.2">
      <c r="A3726" s="5">
        <v>2242</v>
      </c>
      <c r="B3726" s="8">
        <v>8120024</v>
      </c>
      <c r="H3726" s="8" t="s">
        <v>8806</v>
      </c>
      <c r="I3726" s="8" t="s">
        <v>8806</v>
      </c>
      <c r="J3726" s="5">
        <v>0</v>
      </c>
      <c r="K3726" s="5" t="s">
        <v>7221</v>
      </c>
      <c r="L3726" s="70" t="s">
        <v>8230</v>
      </c>
      <c r="M3726" s="70">
        <v>25</v>
      </c>
      <c r="N3726" s="5" t="s">
        <v>8236</v>
      </c>
      <c r="O3726" s="5" t="s">
        <v>266</v>
      </c>
      <c r="Q3726" s="77" t="s">
        <v>8805</v>
      </c>
    </row>
    <row r="3727" spans="1:21" x14ac:dyDescent="0.2">
      <c r="A3727" s="5">
        <v>2245</v>
      </c>
      <c r="B3727" s="8" t="s">
        <v>8807</v>
      </c>
      <c r="H3727" s="8" t="s">
        <v>8808</v>
      </c>
      <c r="I3727" s="8" t="s">
        <v>8809</v>
      </c>
      <c r="J3727" s="5">
        <v>0</v>
      </c>
      <c r="K3727" s="5" t="s">
        <v>7221</v>
      </c>
      <c r="L3727" s="70" t="s">
        <v>8230</v>
      </c>
      <c r="M3727" s="70">
        <v>25</v>
      </c>
      <c r="N3727" s="5" t="s">
        <v>8236</v>
      </c>
      <c r="O3727" s="5" t="s">
        <v>5626</v>
      </c>
    </row>
    <row r="3728" spans="1:21" x14ac:dyDescent="0.2">
      <c r="A3728" s="5">
        <v>2246</v>
      </c>
      <c r="H3728" s="8" t="s">
        <v>8810</v>
      </c>
      <c r="I3728" s="8" t="s">
        <v>8811</v>
      </c>
      <c r="J3728" s="5">
        <v>1</v>
      </c>
      <c r="K3728" s="5" t="s">
        <v>7221</v>
      </c>
      <c r="L3728" s="70" t="s">
        <v>8230</v>
      </c>
      <c r="M3728" s="70">
        <v>26</v>
      </c>
      <c r="N3728" s="5" t="s">
        <v>8236</v>
      </c>
      <c r="O3728" s="5" t="s">
        <v>5626</v>
      </c>
      <c r="S3728" s="5" t="s">
        <v>1139</v>
      </c>
      <c r="U3728" t="s">
        <v>288</v>
      </c>
    </row>
    <row r="3729" spans="1:21" x14ac:dyDescent="0.2">
      <c r="A3729" s="5">
        <v>2247</v>
      </c>
      <c r="H3729" s="8" t="s">
        <v>8812</v>
      </c>
      <c r="I3729" s="8" t="s">
        <v>8813</v>
      </c>
      <c r="J3729" s="5">
        <v>4</v>
      </c>
      <c r="K3729" s="5" t="s">
        <v>7221</v>
      </c>
      <c r="L3729" s="70" t="s">
        <v>8230</v>
      </c>
      <c r="M3729" s="70">
        <v>26</v>
      </c>
      <c r="N3729" s="5" t="s">
        <v>8236</v>
      </c>
      <c r="O3729" s="5" t="s">
        <v>5626</v>
      </c>
      <c r="S3729" s="5" t="s">
        <v>1139</v>
      </c>
      <c r="U3729" t="s">
        <v>288</v>
      </c>
    </row>
    <row r="3730" spans="1:21" x14ac:dyDescent="0.2">
      <c r="A3730" s="5">
        <v>2248</v>
      </c>
      <c r="B3730" s="8" t="s">
        <v>8814</v>
      </c>
      <c r="H3730" s="8" t="s">
        <v>8815</v>
      </c>
      <c r="I3730" s="8" t="s">
        <v>8816</v>
      </c>
      <c r="J3730" s="5">
        <v>1</v>
      </c>
      <c r="K3730" s="5" t="s">
        <v>7221</v>
      </c>
      <c r="L3730" s="70" t="s">
        <v>8230</v>
      </c>
      <c r="M3730" s="70">
        <v>26</v>
      </c>
      <c r="N3730" s="5" t="s">
        <v>8236</v>
      </c>
      <c r="O3730" s="5" t="s">
        <v>5626</v>
      </c>
      <c r="S3730" s="5" t="s">
        <v>1139</v>
      </c>
      <c r="U3730" t="s">
        <v>321</v>
      </c>
    </row>
    <row r="3731" spans="1:21" x14ac:dyDescent="0.2">
      <c r="A3731" s="5">
        <v>2249</v>
      </c>
      <c r="B3731" s="8" t="s">
        <v>8817</v>
      </c>
      <c r="H3731" s="8" t="s">
        <v>8818</v>
      </c>
      <c r="I3731" s="8" t="s">
        <v>8818</v>
      </c>
      <c r="J3731" s="5">
        <f>6+1-1-2-1-1-1</f>
        <v>1</v>
      </c>
      <c r="K3731" s="5" t="s">
        <v>7221</v>
      </c>
      <c r="L3731" s="70" t="s">
        <v>8230</v>
      </c>
      <c r="M3731" s="70">
        <v>26</v>
      </c>
      <c r="N3731" s="5" t="s">
        <v>8236</v>
      </c>
      <c r="O3731" s="5" t="s">
        <v>5626</v>
      </c>
      <c r="S3731" s="5" t="s">
        <v>1139</v>
      </c>
    </row>
    <row r="3732" spans="1:21" x14ac:dyDescent="0.2">
      <c r="A3732" s="5">
        <v>2250</v>
      </c>
      <c r="H3732" s="8" t="s">
        <v>8819</v>
      </c>
      <c r="I3732" s="8" t="s">
        <v>8820</v>
      </c>
      <c r="J3732" s="5">
        <v>0</v>
      </c>
      <c r="K3732" s="5" t="s">
        <v>7221</v>
      </c>
      <c r="L3732" s="70" t="s">
        <v>8230</v>
      </c>
      <c r="M3732" s="70">
        <v>26</v>
      </c>
      <c r="N3732" s="5" t="s">
        <v>8236</v>
      </c>
      <c r="O3732" s="5" t="s">
        <v>5626</v>
      </c>
      <c r="S3732" s="5" t="s">
        <v>1139</v>
      </c>
    </row>
    <row r="3733" spans="1:21" x14ac:dyDescent="0.2">
      <c r="A3733" s="5">
        <v>2253</v>
      </c>
      <c r="B3733" s="8" t="s">
        <v>8821</v>
      </c>
      <c r="H3733" s="8" t="s">
        <v>8822</v>
      </c>
      <c r="I3733" s="8" t="s">
        <v>8822</v>
      </c>
      <c r="J3733" s="5">
        <v>1</v>
      </c>
      <c r="K3733" s="5" t="s">
        <v>7221</v>
      </c>
      <c r="L3733" s="70" t="s">
        <v>8230</v>
      </c>
      <c r="M3733" s="70">
        <v>26</v>
      </c>
      <c r="N3733" s="5" t="s">
        <v>8236</v>
      </c>
      <c r="O3733" s="5" t="s">
        <v>5626</v>
      </c>
      <c r="Q3733" s="33"/>
      <c r="S3733" s="5" t="s">
        <v>1139</v>
      </c>
      <c r="U3733" t="s">
        <v>321</v>
      </c>
    </row>
    <row r="3734" spans="1:21" x14ac:dyDescent="0.2">
      <c r="A3734" s="5">
        <v>2254</v>
      </c>
      <c r="B3734" s="8" t="s">
        <v>8823</v>
      </c>
      <c r="H3734" s="8" t="s">
        <v>8824</v>
      </c>
      <c r="I3734" s="8" t="s">
        <v>8824</v>
      </c>
      <c r="J3734" s="5">
        <v>1</v>
      </c>
      <c r="K3734" s="5" t="s">
        <v>7221</v>
      </c>
      <c r="L3734" s="70" t="s">
        <v>8230</v>
      </c>
      <c r="M3734" s="70">
        <v>26</v>
      </c>
      <c r="N3734" s="5" t="s">
        <v>8236</v>
      </c>
      <c r="O3734" s="5" t="s">
        <v>5626</v>
      </c>
      <c r="S3734" s="5" t="s">
        <v>1139</v>
      </c>
    </row>
    <row r="3735" spans="1:21" x14ac:dyDescent="0.2">
      <c r="A3735" s="5">
        <v>2252</v>
      </c>
      <c r="B3735" s="8" t="s">
        <v>8825</v>
      </c>
      <c r="H3735" s="8" t="s">
        <v>8826</v>
      </c>
      <c r="I3735" s="8" t="s">
        <v>8826</v>
      </c>
      <c r="J3735" s="5">
        <v>1</v>
      </c>
      <c r="K3735" s="5" t="s">
        <v>7221</v>
      </c>
      <c r="L3735" s="70" t="s">
        <v>8230</v>
      </c>
      <c r="M3735" s="70">
        <v>26</v>
      </c>
      <c r="N3735" s="5" t="s">
        <v>8236</v>
      </c>
      <c r="O3735" s="5" t="s">
        <v>5626</v>
      </c>
      <c r="Q3735" s="77" t="s">
        <v>8827</v>
      </c>
    </row>
    <row r="3736" spans="1:21" x14ac:dyDescent="0.2">
      <c r="A3736" s="5"/>
      <c r="B3736" s="8" t="s">
        <v>8828</v>
      </c>
      <c r="H3736" s="8" t="s">
        <v>8829</v>
      </c>
      <c r="I3736" s="8" t="s">
        <v>8829</v>
      </c>
      <c r="J3736" s="5">
        <v>50</v>
      </c>
      <c r="K3736" s="5" t="s">
        <v>8057</v>
      </c>
      <c r="L3736" s="70" t="s">
        <v>8230</v>
      </c>
      <c r="M3736" s="70">
        <v>26</v>
      </c>
      <c r="N3736" s="5" t="s">
        <v>8236</v>
      </c>
      <c r="Q3736" s="77" t="s">
        <v>8830</v>
      </c>
    </row>
    <row r="3737" spans="1:21" x14ac:dyDescent="0.2">
      <c r="A3737" s="5">
        <v>2297</v>
      </c>
      <c r="B3737" s="8">
        <v>4824</v>
      </c>
      <c r="H3737" s="8" t="s">
        <v>8831</v>
      </c>
      <c r="I3737" s="8" t="s">
        <v>8831</v>
      </c>
      <c r="J3737" s="5">
        <v>1</v>
      </c>
      <c r="K3737" s="5" t="s">
        <v>7221</v>
      </c>
      <c r="L3737" s="70" t="s">
        <v>8230</v>
      </c>
      <c r="M3737" s="70">
        <v>26</v>
      </c>
      <c r="N3737" s="5" t="s">
        <v>8236</v>
      </c>
      <c r="O3737" s="5" t="s">
        <v>5626</v>
      </c>
      <c r="Q3737" s="5" t="s">
        <v>553</v>
      </c>
    </row>
    <row r="3738" spans="1:21" x14ac:dyDescent="0.2">
      <c r="A3738" s="5">
        <v>2296</v>
      </c>
      <c r="B3738" s="8">
        <v>4815</v>
      </c>
      <c r="H3738" s="8" t="s">
        <v>8832</v>
      </c>
      <c r="I3738" s="8" t="s">
        <v>8832</v>
      </c>
      <c r="J3738" s="5">
        <v>1</v>
      </c>
      <c r="K3738" s="5" t="s">
        <v>7221</v>
      </c>
      <c r="L3738" s="70" t="s">
        <v>8230</v>
      </c>
      <c r="M3738" s="70">
        <v>26</v>
      </c>
      <c r="N3738" s="5" t="s">
        <v>8236</v>
      </c>
      <c r="O3738" s="5" t="s">
        <v>5626</v>
      </c>
      <c r="Q3738" s="5" t="s">
        <v>553</v>
      </c>
    </row>
    <row r="3739" spans="1:21" x14ac:dyDescent="0.2">
      <c r="A3739" s="5">
        <v>2251</v>
      </c>
      <c r="B3739" s="8">
        <v>27861</v>
      </c>
      <c r="H3739" s="8" t="s">
        <v>8833</v>
      </c>
      <c r="I3739" s="8" t="s">
        <v>8833</v>
      </c>
      <c r="J3739" s="5">
        <v>2</v>
      </c>
      <c r="K3739" s="5" t="s">
        <v>7221</v>
      </c>
      <c r="L3739" s="70" t="s">
        <v>8230</v>
      </c>
      <c r="M3739" s="70">
        <v>26</v>
      </c>
      <c r="N3739" s="5" t="s">
        <v>8236</v>
      </c>
      <c r="O3739" s="5" t="s">
        <v>5626</v>
      </c>
      <c r="Q3739" s="5" t="s">
        <v>8834</v>
      </c>
    </row>
    <row r="3740" spans="1:21" x14ac:dyDescent="0.2">
      <c r="A3740" s="5"/>
      <c r="B3740" s="11" t="s">
        <v>8835</v>
      </c>
      <c r="H3740" s="8" t="s">
        <v>8836</v>
      </c>
      <c r="I3740" s="8" t="s">
        <v>8836</v>
      </c>
      <c r="J3740" s="5">
        <v>100</v>
      </c>
      <c r="K3740" s="5" t="s">
        <v>8057</v>
      </c>
      <c r="L3740" s="70" t="s">
        <v>8230</v>
      </c>
      <c r="M3740" s="70">
        <v>26</v>
      </c>
      <c r="N3740" s="5" t="s">
        <v>8236</v>
      </c>
      <c r="O3740" s="5" t="s">
        <v>5626</v>
      </c>
      <c r="Q3740" s="5" t="s">
        <v>8837</v>
      </c>
    </row>
    <row r="3741" spans="1:21" x14ac:dyDescent="0.2">
      <c r="A3741" s="5">
        <v>2295</v>
      </c>
      <c r="B3741" s="8">
        <v>1401987</v>
      </c>
      <c r="H3741" s="8" t="s">
        <v>8838</v>
      </c>
      <c r="I3741" s="8" t="s">
        <v>8838</v>
      </c>
      <c r="J3741" s="5">
        <v>1</v>
      </c>
      <c r="K3741" s="5" t="s">
        <v>7221</v>
      </c>
      <c r="L3741" s="70" t="s">
        <v>8230</v>
      </c>
      <c r="M3741" s="70">
        <v>26</v>
      </c>
      <c r="N3741" s="5" t="s">
        <v>8236</v>
      </c>
      <c r="O3741" s="5" t="s">
        <v>5626</v>
      </c>
      <c r="Q3741" s="5" t="s">
        <v>553</v>
      </c>
    </row>
    <row r="3742" spans="1:21" x14ac:dyDescent="0.2">
      <c r="A3742" s="5">
        <v>288</v>
      </c>
      <c r="B3742" s="133" t="s">
        <v>8839</v>
      </c>
      <c r="H3742" s="8" t="s">
        <v>8840</v>
      </c>
      <c r="I3742" s="8" t="s">
        <v>8841</v>
      </c>
      <c r="J3742" s="5">
        <v>0</v>
      </c>
      <c r="K3742" s="5" t="s">
        <v>2621</v>
      </c>
      <c r="L3742" s="70" t="s">
        <v>8230</v>
      </c>
      <c r="M3742" s="70">
        <v>27</v>
      </c>
      <c r="N3742" s="5" t="s">
        <v>5626</v>
      </c>
      <c r="O3742" s="5" t="s">
        <v>520</v>
      </c>
      <c r="Q3742" s="5" t="s">
        <v>8842</v>
      </c>
    </row>
    <row r="3743" spans="1:21" x14ac:dyDescent="0.2">
      <c r="A3743" s="5"/>
      <c r="B3743" s="108" t="s">
        <v>8843</v>
      </c>
      <c r="H3743" s="8" t="s">
        <v>8844</v>
      </c>
      <c r="I3743" s="8" t="s">
        <v>8844</v>
      </c>
      <c r="J3743" s="5">
        <f>5-1-1+5</f>
        <v>8</v>
      </c>
      <c r="K3743" s="5" t="s">
        <v>2621</v>
      </c>
      <c r="L3743" s="70" t="s">
        <v>8230</v>
      </c>
      <c r="M3743" s="70">
        <v>27</v>
      </c>
      <c r="N3743" s="5" t="s">
        <v>5626</v>
      </c>
      <c r="Q3743" s="107" t="s">
        <v>8845</v>
      </c>
    </row>
    <row r="3744" spans="1:21" x14ac:dyDescent="0.2">
      <c r="A3744" s="5">
        <v>288</v>
      </c>
      <c r="B3744" s="133" t="s">
        <v>8846</v>
      </c>
      <c r="H3744" s="8" t="s">
        <v>8840</v>
      </c>
      <c r="I3744" s="8" t="s">
        <v>8841</v>
      </c>
      <c r="J3744" s="5">
        <f>5-1</f>
        <v>4</v>
      </c>
      <c r="K3744" s="5" t="s">
        <v>2621</v>
      </c>
      <c r="L3744" s="70" t="s">
        <v>8230</v>
      </c>
      <c r="M3744" s="70">
        <v>27</v>
      </c>
      <c r="N3744" s="5" t="s">
        <v>5626</v>
      </c>
      <c r="O3744" s="5" t="s">
        <v>520</v>
      </c>
      <c r="Q3744" s="5" t="s">
        <v>8847</v>
      </c>
    </row>
    <row r="3745" spans="1:21" x14ac:dyDescent="0.2">
      <c r="A3745" s="5"/>
      <c r="B3745" s="108" t="s">
        <v>8848</v>
      </c>
      <c r="H3745" s="8" t="s">
        <v>8844</v>
      </c>
      <c r="I3745" s="8" t="s">
        <v>8844</v>
      </c>
      <c r="J3745" s="5">
        <f>5-1-1-1-1-1+6-1-1-1-1+5</f>
        <v>7</v>
      </c>
      <c r="K3745" s="5" t="s">
        <v>2621</v>
      </c>
      <c r="L3745" s="70" t="s">
        <v>8230</v>
      </c>
      <c r="M3745" s="70">
        <v>27</v>
      </c>
      <c r="N3745" s="5" t="s">
        <v>5626</v>
      </c>
      <c r="Q3745" s="107" t="s">
        <v>8845</v>
      </c>
    </row>
    <row r="3746" spans="1:21" x14ac:dyDescent="0.2">
      <c r="A3746" s="5">
        <v>288</v>
      </c>
      <c r="B3746" s="133" t="s">
        <v>8849</v>
      </c>
      <c r="H3746" s="8" t="s">
        <v>8840</v>
      </c>
      <c r="I3746" s="8" t="s">
        <v>8841</v>
      </c>
      <c r="J3746" s="5">
        <v>0</v>
      </c>
      <c r="K3746" s="5" t="s">
        <v>2621</v>
      </c>
      <c r="L3746" s="70" t="s">
        <v>8230</v>
      </c>
      <c r="M3746" s="70">
        <v>27</v>
      </c>
      <c r="N3746" s="5" t="s">
        <v>5626</v>
      </c>
      <c r="O3746" s="5" t="s">
        <v>520</v>
      </c>
      <c r="Q3746" s="5" t="s">
        <v>8850</v>
      </c>
    </row>
    <row r="3747" spans="1:21" x14ac:dyDescent="0.2">
      <c r="A3747" s="5"/>
      <c r="B3747" s="108" t="s">
        <v>8851</v>
      </c>
      <c r="H3747" s="8" t="s">
        <v>8844</v>
      </c>
      <c r="I3747" s="8" t="s">
        <v>8844</v>
      </c>
      <c r="J3747" s="5">
        <f>5-1-1-1+5-4+5</f>
        <v>8</v>
      </c>
      <c r="K3747" s="5" t="s">
        <v>2621</v>
      </c>
      <c r="L3747" s="70" t="s">
        <v>8230</v>
      </c>
      <c r="M3747" s="70">
        <v>27</v>
      </c>
      <c r="N3747" s="5" t="s">
        <v>5626</v>
      </c>
      <c r="Q3747" s="107" t="s">
        <v>8845</v>
      </c>
    </row>
    <row r="3748" spans="1:21" x14ac:dyDescent="0.2">
      <c r="A3748" s="5">
        <v>2255</v>
      </c>
      <c r="B3748" s="8" t="s">
        <v>8852</v>
      </c>
      <c r="H3748" s="8" t="s">
        <v>8853</v>
      </c>
      <c r="I3748" s="8" t="s">
        <v>8853</v>
      </c>
      <c r="J3748" s="5">
        <v>0</v>
      </c>
      <c r="K3748" s="5" t="s">
        <v>7221</v>
      </c>
      <c r="L3748" s="70" t="s">
        <v>8230</v>
      </c>
      <c r="M3748" s="70">
        <v>27</v>
      </c>
      <c r="N3748" s="5" t="s">
        <v>8236</v>
      </c>
      <c r="O3748" s="5" t="s">
        <v>5626</v>
      </c>
      <c r="Q3748" s="5" t="s">
        <v>553</v>
      </c>
    </row>
    <row r="3749" spans="1:21" x14ac:dyDescent="0.2">
      <c r="B3749" s="8" t="s">
        <v>8854</v>
      </c>
      <c r="H3749" s="8" t="s">
        <v>8855</v>
      </c>
      <c r="I3749" s="8" t="s">
        <v>8855</v>
      </c>
      <c r="J3749" s="5">
        <v>0</v>
      </c>
      <c r="K3749" s="5" t="s">
        <v>7221</v>
      </c>
      <c r="L3749" s="70" t="s">
        <v>8230</v>
      </c>
      <c r="M3749" s="70">
        <v>27</v>
      </c>
      <c r="N3749" s="5" t="s">
        <v>8236</v>
      </c>
      <c r="Q3749" s="77" t="s">
        <v>8856</v>
      </c>
    </row>
    <row r="3750" spans="1:21" x14ac:dyDescent="0.2">
      <c r="A3750" s="5">
        <v>2117</v>
      </c>
      <c r="B3750" s="8" t="s">
        <v>8857</v>
      </c>
      <c r="H3750" s="8" t="s">
        <v>8858</v>
      </c>
      <c r="I3750" s="8" t="s">
        <v>8858</v>
      </c>
      <c r="J3750" s="5">
        <f>3</f>
        <v>3</v>
      </c>
      <c r="K3750" s="5" t="s">
        <v>7221</v>
      </c>
      <c r="L3750" s="5" t="s">
        <v>8230</v>
      </c>
      <c r="M3750" s="5" t="s">
        <v>8859</v>
      </c>
      <c r="N3750" s="5" t="s">
        <v>8427</v>
      </c>
      <c r="O3750" s="5" t="s">
        <v>51</v>
      </c>
      <c r="Q3750" s="77" t="s">
        <v>8860</v>
      </c>
    </row>
    <row r="3751" spans="1:21" x14ac:dyDescent="0.2">
      <c r="A3751" s="5">
        <v>2115</v>
      </c>
      <c r="B3751" s="8" t="s">
        <v>8861</v>
      </c>
      <c r="H3751" s="8" t="s">
        <v>8862</v>
      </c>
      <c r="I3751" s="8" t="s">
        <v>8862</v>
      </c>
      <c r="J3751" s="5">
        <f>0</f>
        <v>0</v>
      </c>
      <c r="K3751" s="5" t="s">
        <v>7221</v>
      </c>
      <c r="L3751" s="5" t="s">
        <v>8230</v>
      </c>
      <c r="M3751" s="5" t="s">
        <v>8859</v>
      </c>
      <c r="N3751" s="5" t="s">
        <v>8427</v>
      </c>
      <c r="O3751" s="5" t="s">
        <v>51</v>
      </c>
      <c r="Q3751" s="77" t="s">
        <v>8860</v>
      </c>
    </row>
    <row r="3752" spans="1:21" x14ac:dyDescent="0.2">
      <c r="A3752" s="5">
        <v>2116</v>
      </c>
      <c r="B3752" s="8" t="s">
        <v>8863</v>
      </c>
      <c r="H3752" s="8" t="s">
        <v>8864</v>
      </c>
      <c r="I3752" s="8" t="s">
        <v>8864</v>
      </c>
      <c r="J3752" s="5">
        <f>1-1+3</f>
        <v>3</v>
      </c>
      <c r="K3752" s="5" t="s">
        <v>7221</v>
      </c>
      <c r="L3752" s="5" t="s">
        <v>8230</v>
      </c>
      <c r="M3752" s="5" t="s">
        <v>8859</v>
      </c>
      <c r="N3752" s="5" t="s">
        <v>8427</v>
      </c>
      <c r="O3752" s="5" t="s">
        <v>51</v>
      </c>
      <c r="Q3752" s="77" t="s">
        <v>8865</v>
      </c>
    </row>
    <row r="3753" spans="1:21" x14ac:dyDescent="0.2">
      <c r="A3753" s="5">
        <v>2118</v>
      </c>
      <c r="B3753" s="8" t="s">
        <v>8866</v>
      </c>
      <c r="H3753" s="8" t="s">
        <v>8867</v>
      </c>
      <c r="I3753" s="8" t="s">
        <v>8867</v>
      </c>
      <c r="J3753" s="5">
        <f>2+1</f>
        <v>3</v>
      </c>
      <c r="K3753" s="5" t="s">
        <v>7221</v>
      </c>
      <c r="L3753" s="5" t="s">
        <v>8230</v>
      </c>
      <c r="M3753" s="5" t="s">
        <v>8859</v>
      </c>
      <c r="N3753" s="5" t="s">
        <v>8427</v>
      </c>
      <c r="O3753" s="5" t="s">
        <v>51</v>
      </c>
      <c r="Q3753" s="77" t="s">
        <v>8868</v>
      </c>
    </row>
    <row r="3754" spans="1:21" x14ac:dyDescent="0.2">
      <c r="A3754" s="5"/>
      <c r="B3754" s="8" t="s">
        <v>8869</v>
      </c>
      <c r="H3754" s="8" t="s">
        <v>8870</v>
      </c>
      <c r="I3754" s="8" t="s">
        <v>8870</v>
      </c>
      <c r="J3754" s="5">
        <f>3</f>
        <v>3</v>
      </c>
      <c r="K3754" s="5" t="s">
        <v>7221</v>
      </c>
      <c r="L3754" s="5" t="s">
        <v>8230</v>
      </c>
      <c r="M3754" s="5" t="s">
        <v>8871</v>
      </c>
      <c r="N3754" s="5" t="s">
        <v>8427</v>
      </c>
      <c r="Q3754" s="7"/>
    </row>
    <row r="3755" spans="1:21" x14ac:dyDescent="0.2">
      <c r="A3755" s="5">
        <v>2138</v>
      </c>
      <c r="B3755" s="8" t="s">
        <v>8872</v>
      </c>
      <c r="H3755" s="8" t="s">
        <v>8873</v>
      </c>
      <c r="I3755" s="8" t="s">
        <v>8873</v>
      </c>
      <c r="J3755" s="5">
        <f>0+3</f>
        <v>3</v>
      </c>
      <c r="K3755" s="5" t="s">
        <v>7221</v>
      </c>
      <c r="L3755" s="70" t="s">
        <v>8230</v>
      </c>
      <c r="M3755" s="5" t="s">
        <v>8871</v>
      </c>
      <c r="N3755" s="5" t="s">
        <v>8427</v>
      </c>
      <c r="O3755" s="5" t="s">
        <v>51</v>
      </c>
      <c r="Q3755" s="5" t="s">
        <v>8874</v>
      </c>
    </row>
    <row r="3756" spans="1:21" x14ac:dyDescent="0.2">
      <c r="A3756" s="5"/>
      <c r="B3756" s="100" t="s">
        <v>8875</v>
      </c>
      <c r="I3756" s="208" t="s">
        <v>8876</v>
      </c>
      <c r="J3756" s="5">
        <f>3</f>
        <v>3</v>
      </c>
      <c r="K3756" s="5" t="s">
        <v>7221</v>
      </c>
      <c r="L3756" s="70" t="s">
        <v>8230</v>
      </c>
      <c r="M3756" s="5" t="s">
        <v>8871</v>
      </c>
      <c r="N3756" s="5" t="s">
        <v>8427</v>
      </c>
    </row>
    <row r="3757" spans="1:21" x14ac:dyDescent="0.2">
      <c r="A3757" s="5"/>
      <c r="B3757" s="8" t="s">
        <v>553</v>
      </c>
      <c r="H3757" s="8" t="s">
        <v>8877</v>
      </c>
      <c r="I3757" s="188"/>
      <c r="J3757" s="5">
        <v>5</v>
      </c>
      <c r="K3757" s="5" t="s">
        <v>2621</v>
      </c>
      <c r="L3757" s="70" t="s">
        <v>8230</v>
      </c>
      <c r="M3757" s="5" t="s">
        <v>8871</v>
      </c>
      <c r="N3757" s="5" t="s">
        <v>8427</v>
      </c>
      <c r="Q3757" s="5" t="s">
        <v>8878</v>
      </c>
      <c r="U3757" t="s">
        <v>2789</v>
      </c>
    </row>
    <row r="3758" spans="1:21" x14ac:dyDescent="0.2">
      <c r="A3758" s="5">
        <v>2152</v>
      </c>
      <c r="B3758" s="8" t="s">
        <v>8879</v>
      </c>
      <c r="H3758" s="8" t="s">
        <v>8880</v>
      </c>
      <c r="I3758" s="8" t="s">
        <v>8880</v>
      </c>
      <c r="J3758" s="5">
        <v>0</v>
      </c>
      <c r="K3758" s="5" t="s">
        <v>7221</v>
      </c>
      <c r="L3758" s="5" t="s">
        <v>8230</v>
      </c>
      <c r="N3758" s="5" t="s">
        <v>8427</v>
      </c>
      <c r="O3758" s="5" t="s">
        <v>51</v>
      </c>
    </row>
    <row r="3759" spans="1:21" x14ac:dyDescent="0.2">
      <c r="A3759" s="5">
        <v>2299</v>
      </c>
      <c r="B3759" s="8" t="s">
        <v>8881</v>
      </c>
      <c r="H3759" s="8" t="s">
        <v>8882</v>
      </c>
      <c r="I3759" s="8" t="s">
        <v>8882</v>
      </c>
      <c r="J3759" s="5">
        <v>0</v>
      </c>
      <c r="K3759" s="5" t="s">
        <v>7221</v>
      </c>
      <c r="L3759" s="5" t="s">
        <v>8230</v>
      </c>
      <c r="N3759" s="5" t="s">
        <v>8236</v>
      </c>
      <c r="O3759" s="5" t="s">
        <v>5626</v>
      </c>
      <c r="S3759" s="5" t="s">
        <v>1139</v>
      </c>
    </row>
    <row r="3760" spans="1:21" x14ac:dyDescent="0.2">
      <c r="A3760" s="5">
        <v>2300</v>
      </c>
      <c r="B3760" s="11" t="s">
        <v>553</v>
      </c>
      <c r="C3760" s="11"/>
      <c r="D3760" s="11"/>
      <c r="E3760" s="26"/>
      <c r="F3760" s="11"/>
      <c r="G3760" s="11"/>
      <c r="H3760" s="8" t="s">
        <v>8883</v>
      </c>
      <c r="I3760" s="8" t="s">
        <v>8883</v>
      </c>
      <c r="J3760" s="5">
        <v>0</v>
      </c>
      <c r="K3760" s="5" t="s">
        <v>7221</v>
      </c>
      <c r="L3760" s="5" t="s">
        <v>8230</v>
      </c>
      <c r="N3760" s="5" t="s">
        <v>8236</v>
      </c>
      <c r="O3760" s="5" t="s">
        <v>5626</v>
      </c>
      <c r="Q3760" s="5" t="s">
        <v>8878</v>
      </c>
    </row>
    <row r="3761" spans="1:21" x14ac:dyDescent="0.2">
      <c r="A3761" s="5"/>
      <c r="B3761" s="8" t="s">
        <v>6851</v>
      </c>
      <c r="H3761" s="8" t="s">
        <v>8884</v>
      </c>
      <c r="I3761" s="8" t="s">
        <v>8885</v>
      </c>
      <c r="J3761" s="5">
        <v>0</v>
      </c>
      <c r="K3761" s="5" t="s">
        <v>21</v>
      </c>
      <c r="L3761" s="5" t="s">
        <v>8886</v>
      </c>
      <c r="M3761" s="5">
        <v>4</v>
      </c>
      <c r="N3761" s="5" t="s">
        <v>8231</v>
      </c>
    </row>
    <row r="3762" spans="1:21" x14ac:dyDescent="0.2">
      <c r="A3762" s="5"/>
      <c r="B3762" s="8" t="s">
        <v>8887</v>
      </c>
      <c r="H3762" s="8" t="s">
        <v>8215</v>
      </c>
      <c r="I3762" s="8" t="s">
        <v>8215</v>
      </c>
      <c r="J3762" s="5">
        <v>0</v>
      </c>
      <c r="K3762" s="5" t="s">
        <v>21</v>
      </c>
      <c r="L3762" s="5" t="s">
        <v>8886</v>
      </c>
      <c r="M3762" s="5">
        <v>4</v>
      </c>
      <c r="N3762" s="5" t="s">
        <v>81</v>
      </c>
      <c r="Q3762" s="5" t="s">
        <v>8888</v>
      </c>
    </row>
    <row r="3763" spans="1:21" x14ac:dyDescent="0.2">
      <c r="A3763" s="5">
        <v>1432</v>
      </c>
      <c r="B3763" s="8" t="s">
        <v>8889</v>
      </c>
      <c r="H3763" s="8" t="s">
        <v>8890</v>
      </c>
      <c r="I3763" s="8" t="s">
        <v>8890</v>
      </c>
      <c r="J3763" s="5">
        <v>0</v>
      </c>
      <c r="K3763" s="5" t="s">
        <v>21</v>
      </c>
      <c r="L3763" s="5" t="s">
        <v>8886</v>
      </c>
      <c r="M3763" s="5">
        <v>33</v>
      </c>
      <c r="N3763" s="5" t="s">
        <v>1104</v>
      </c>
      <c r="O3763" s="5" t="s">
        <v>574</v>
      </c>
      <c r="Q3763" s="5" t="s">
        <v>8891</v>
      </c>
      <c r="R3763" s="6"/>
      <c r="S3763" s="6"/>
    </row>
    <row r="3764" spans="1:21" x14ac:dyDescent="0.2">
      <c r="A3764" s="5"/>
      <c r="B3764" s="8" t="s">
        <v>8892</v>
      </c>
      <c r="C3764" s="34"/>
      <c r="H3764" s="8" t="s">
        <v>8893</v>
      </c>
      <c r="I3764" s="8" t="s">
        <v>8893</v>
      </c>
      <c r="J3764" s="5">
        <v>0</v>
      </c>
      <c r="K3764" s="5" t="s">
        <v>21</v>
      </c>
      <c r="L3764" s="5" t="s">
        <v>8886</v>
      </c>
      <c r="M3764" s="5">
        <v>33</v>
      </c>
      <c r="Q3764" s="5" t="s">
        <v>1344</v>
      </c>
      <c r="R3764" s="6"/>
      <c r="S3764" s="6"/>
    </row>
    <row r="3765" spans="1:21" x14ac:dyDescent="0.2">
      <c r="A3765" s="5"/>
      <c r="B3765" s="155" t="s">
        <v>6326</v>
      </c>
      <c r="C3765" s="34"/>
      <c r="R3765" s="6"/>
      <c r="S3765" s="6"/>
    </row>
    <row r="3766" spans="1:21" x14ac:dyDescent="0.2">
      <c r="A3766" s="5"/>
      <c r="B3766" s="8" t="s">
        <v>8894</v>
      </c>
      <c r="C3766" s="34"/>
      <c r="H3766" s="8" t="s">
        <v>6326</v>
      </c>
      <c r="I3766" s="8" t="s">
        <v>6326</v>
      </c>
      <c r="J3766" s="5">
        <f>0</f>
        <v>0</v>
      </c>
      <c r="K3766" s="5" t="s">
        <v>21</v>
      </c>
      <c r="L3766" s="5" t="s">
        <v>8895</v>
      </c>
      <c r="M3766" s="5">
        <v>1</v>
      </c>
      <c r="N3766" s="5" t="s">
        <v>34</v>
      </c>
      <c r="Q3766" s="107" t="s">
        <v>6799</v>
      </c>
      <c r="R3766" s="6"/>
      <c r="S3766" s="6"/>
      <c r="U3766" t="s">
        <v>321</v>
      </c>
    </row>
    <row r="3767" spans="1:21" x14ac:dyDescent="0.2">
      <c r="A3767" s="5">
        <v>1</v>
      </c>
      <c r="B3767" s="8" t="s">
        <v>8896</v>
      </c>
      <c r="C3767" s="34"/>
      <c r="H3767" s="8" t="s">
        <v>6326</v>
      </c>
      <c r="I3767" s="8" t="s">
        <v>6326</v>
      </c>
      <c r="J3767" s="5">
        <f>550+102-4-12-8-2+6-24-28+14-4-24-12-12+12-8-36-32</f>
        <v>478</v>
      </c>
      <c r="K3767" s="5" t="s">
        <v>21</v>
      </c>
      <c r="L3767" s="5" t="s">
        <v>8895</v>
      </c>
      <c r="M3767" s="5">
        <v>1</v>
      </c>
      <c r="N3767" s="5" t="s">
        <v>34</v>
      </c>
      <c r="Q3767" s="5" t="s">
        <v>8897</v>
      </c>
      <c r="R3767" s="6"/>
      <c r="S3767" s="6"/>
      <c r="U3767" t="s">
        <v>321</v>
      </c>
    </row>
    <row r="3768" spans="1:21" x14ac:dyDescent="0.2">
      <c r="A3768" s="5">
        <v>2</v>
      </c>
      <c r="B3768" s="8" t="s">
        <v>6707</v>
      </c>
      <c r="C3768" s="34"/>
      <c r="H3768" s="8" t="s">
        <v>6326</v>
      </c>
      <c r="I3768" s="8" t="s">
        <v>6326</v>
      </c>
      <c r="J3768" s="5">
        <f>392+300+100+3</f>
        <v>795</v>
      </c>
      <c r="K3768" s="5" t="s">
        <v>21</v>
      </c>
      <c r="L3768" s="5" t="s">
        <v>8895</v>
      </c>
      <c r="M3768" s="5">
        <v>1</v>
      </c>
      <c r="N3768" s="5" t="s">
        <v>34</v>
      </c>
      <c r="Q3768" s="5" t="s">
        <v>8898</v>
      </c>
      <c r="R3768" s="6"/>
      <c r="S3768" s="6"/>
      <c r="U3768" t="s">
        <v>321</v>
      </c>
    </row>
    <row r="3769" spans="1:21" x14ac:dyDescent="0.2">
      <c r="A3769" s="5"/>
      <c r="B3769" s="8" t="s">
        <v>8899</v>
      </c>
      <c r="H3769" s="8" t="s">
        <v>6326</v>
      </c>
      <c r="I3769" s="8" t="s">
        <v>6326</v>
      </c>
      <c r="J3769" s="5">
        <f>290-8-8-16-4-8-246</f>
        <v>0</v>
      </c>
      <c r="K3769" s="5" t="s">
        <v>21</v>
      </c>
      <c r="L3769" s="5" t="s">
        <v>8895</v>
      </c>
      <c r="M3769" s="5">
        <v>2</v>
      </c>
      <c r="N3769" s="5" t="s">
        <v>34</v>
      </c>
      <c r="Q3769" s="5" t="s">
        <v>553</v>
      </c>
      <c r="R3769" s="6"/>
      <c r="S3769" s="6"/>
      <c r="U3769" t="s">
        <v>321</v>
      </c>
    </row>
    <row r="3770" spans="1:21" x14ac:dyDescent="0.2">
      <c r="A3770" s="5">
        <v>3</v>
      </c>
      <c r="B3770" s="8" t="s">
        <v>6499</v>
      </c>
      <c r="C3770" s="34"/>
      <c r="H3770" s="8" t="s">
        <v>6326</v>
      </c>
      <c r="I3770" s="8" t="s">
        <v>6326</v>
      </c>
      <c r="J3770" s="5">
        <f>313+500-32-16+246-88+21-28</f>
        <v>916</v>
      </c>
      <c r="K3770" s="5" t="s">
        <v>21</v>
      </c>
      <c r="L3770" s="5" t="s">
        <v>8895</v>
      </c>
      <c r="M3770" s="5">
        <v>2</v>
      </c>
      <c r="N3770" s="5" t="s">
        <v>34</v>
      </c>
      <c r="Q3770" s="5" t="s">
        <v>8900</v>
      </c>
      <c r="R3770" s="6"/>
      <c r="S3770" s="6"/>
      <c r="U3770" t="s">
        <v>321</v>
      </c>
    </row>
    <row r="3771" spans="1:21" x14ac:dyDescent="0.2">
      <c r="A3771" s="5">
        <v>4</v>
      </c>
      <c r="B3771" s="8" t="s">
        <v>8901</v>
      </c>
      <c r="C3771" s="34"/>
      <c r="H3771" s="8" t="s">
        <v>6326</v>
      </c>
      <c r="I3771" s="8" t="s">
        <v>6326</v>
      </c>
      <c r="J3771" s="5">
        <f>477-4-224</f>
        <v>249</v>
      </c>
      <c r="K3771" s="5" t="s">
        <v>21</v>
      </c>
      <c r="L3771" s="5" t="s">
        <v>8895</v>
      </c>
      <c r="M3771" s="5">
        <v>2</v>
      </c>
      <c r="N3771" s="5" t="s">
        <v>34</v>
      </c>
      <c r="R3771" s="6"/>
      <c r="S3771" s="6"/>
      <c r="U3771" t="s">
        <v>321</v>
      </c>
    </row>
    <row r="3772" spans="1:21" x14ac:dyDescent="0.2">
      <c r="A3772" s="5">
        <v>5</v>
      </c>
      <c r="B3772" s="8" t="s">
        <v>8902</v>
      </c>
      <c r="C3772" s="34"/>
      <c r="H3772" s="8" t="s">
        <v>6326</v>
      </c>
      <c r="I3772" s="8" t="s">
        <v>6326</v>
      </c>
      <c r="J3772" s="5">
        <f>491+300</f>
        <v>791</v>
      </c>
      <c r="K3772" s="5" t="s">
        <v>21</v>
      </c>
      <c r="L3772" s="5" t="s">
        <v>8895</v>
      </c>
      <c r="M3772" s="5">
        <v>3</v>
      </c>
      <c r="N3772" s="5" t="s">
        <v>34</v>
      </c>
      <c r="Q3772" s="5" t="s">
        <v>8903</v>
      </c>
      <c r="R3772" s="6"/>
      <c r="S3772" s="6"/>
      <c r="U3772" t="s">
        <v>321</v>
      </c>
    </row>
    <row r="3773" spans="1:21" x14ac:dyDescent="0.2">
      <c r="A3773" s="5">
        <v>6</v>
      </c>
      <c r="B3773" s="8" t="s">
        <v>8904</v>
      </c>
      <c r="C3773" s="34"/>
      <c r="H3773" s="8" t="s">
        <v>6326</v>
      </c>
      <c r="I3773" s="8" t="s">
        <v>6326</v>
      </c>
      <c r="J3773" s="5">
        <f>509-4</f>
        <v>505</v>
      </c>
      <c r="K3773" s="5" t="s">
        <v>21</v>
      </c>
      <c r="L3773" s="5" t="s">
        <v>8895</v>
      </c>
      <c r="M3773" s="5">
        <v>3</v>
      </c>
      <c r="N3773" s="5" t="s">
        <v>34</v>
      </c>
      <c r="R3773" s="6"/>
      <c r="S3773" s="6"/>
      <c r="U3773" t="s">
        <v>321</v>
      </c>
    </row>
    <row r="3774" spans="1:21" x14ac:dyDescent="0.2">
      <c r="A3774">
        <v>7</v>
      </c>
      <c r="B3774" s="8" t="s">
        <v>8905</v>
      </c>
      <c r="H3774" s="130" t="s">
        <v>8906</v>
      </c>
      <c r="I3774" s="8" t="s">
        <v>6326</v>
      </c>
      <c r="J3774" s="5">
        <f>153-32-16-88-1-15+200-14</f>
        <v>187</v>
      </c>
      <c r="K3774" s="5" t="s">
        <v>292</v>
      </c>
      <c r="L3774" s="5" t="s">
        <v>8895</v>
      </c>
      <c r="M3774" s="5">
        <v>3</v>
      </c>
      <c r="N3774" s="5" t="s">
        <v>6401</v>
      </c>
      <c r="Q3774" s="107" t="s">
        <v>6712</v>
      </c>
    </row>
    <row r="3775" spans="1:21" x14ac:dyDescent="0.2">
      <c r="B3775" s="8" t="s">
        <v>8907</v>
      </c>
      <c r="H3775" s="8" t="s">
        <v>6326</v>
      </c>
      <c r="I3775" s="8" t="s">
        <v>6326</v>
      </c>
      <c r="J3775" s="5">
        <f>20-2</f>
        <v>18</v>
      </c>
      <c r="K3775" s="5" t="s">
        <v>292</v>
      </c>
      <c r="L3775" s="5" t="s">
        <v>8895</v>
      </c>
      <c r="M3775" s="5">
        <v>4</v>
      </c>
      <c r="N3775" s="5" t="s">
        <v>6401</v>
      </c>
      <c r="Q3775" s="107" t="s">
        <v>8908</v>
      </c>
    </row>
    <row r="3776" spans="1:21" x14ac:dyDescent="0.2">
      <c r="A3776" s="5">
        <v>8</v>
      </c>
      <c r="B3776" s="8" t="s">
        <v>8909</v>
      </c>
      <c r="C3776" s="34"/>
      <c r="H3776" s="8" t="s">
        <v>6326</v>
      </c>
      <c r="I3776" s="8" t="s">
        <v>6326</v>
      </c>
      <c r="J3776" s="5">
        <v>401</v>
      </c>
      <c r="K3776" s="5" t="s">
        <v>21</v>
      </c>
      <c r="L3776" s="5" t="s">
        <v>8895</v>
      </c>
      <c r="M3776" s="5">
        <v>4</v>
      </c>
      <c r="N3776" s="5" t="s">
        <v>34</v>
      </c>
      <c r="R3776" s="6"/>
      <c r="S3776" s="6"/>
      <c r="U3776" t="s">
        <v>321</v>
      </c>
    </row>
    <row r="3777" spans="1:21" x14ac:dyDescent="0.2">
      <c r="A3777" s="5">
        <v>9</v>
      </c>
      <c r="B3777" s="8" t="s">
        <v>8910</v>
      </c>
      <c r="C3777" s="34"/>
      <c r="H3777" s="8" t="s">
        <v>6326</v>
      </c>
      <c r="I3777" s="8" t="s">
        <v>6326</v>
      </c>
      <c r="J3777" s="5">
        <f>386-4</f>
        <v>382</v>
      </c>
      <c r="K3777" s="5" t="s">
        <v>21</v>
      </c>
      <c r="L3777" s="5" t="s">
        <v>8895</v>
      </c>
      <c r="M3777" s="5">
        <v>4</v>
      </c>
      <c r="N3777" s="5" t="s">
        <v>34</v>
      </c>
      <c r="R3777" s="6"/>
      <c r="S3777" s="6"/>
      <c r="U3777" t="s">
        <v>321</v>
      </c>
    </row>
    <row r="3778" spans="1:21" x14ac:dyDescent="0.2">
      <c r="A3778" s="5">
        <v>10</v>
      </c>
      <c r="B3778" s="8" t="s">
        <v>6626</v>
      </c>
      <c r="C3778" s="34"/>
      <c r="H3778" s="8" t="s">
        <v>6326</v>
      </c>
      <c r="I3778" s="8" t="s">
        <v>6326</v>
      </c>
      <c r="J3778" s="5">
        <f>397+291+2-2-4-15-45-45-32-17-135-120</f>
        <v>275</v>
      </c>
      <c r="K3778" s="5" t="s">
        <v>21</v>
      </c>
      <c r="L3778" s="5" t="s">
        <v>8895</v>
      </c>
      <c r="M3778" s="5">
        <v>5</v>
      </c>
      <c r="N3778" s="5" t="s">
        <v>34</v>
      </c>
      <c r="R3778" s="6"/>
      <c r="S3778" s="6"/>
    </row>
    <row r="3779" spans="1:21" x14ac:dyDescent="0.2">
      <c r="A3779" s="5">
        <v>11</v>
      </c>
      <c r="B3779" s="8" t="s">
        <v>8911</v>
      </c>
      <c r="C3779" s="34"/>
      <c r="H3779" s="8" t="s">
        <v>6326</v>
      </c>
      <c r="I3779" s="8" t="s">
        <v>6326</v>
      </c>
      <c r="J3779" s="5">
        <f>339+41</f>
        <v>380</v>
      </c>
      <c r="K3779" s="5" t="s">
        <v>21</v>
      </c>
      <c r="L3779" s="5" t="s">
        <v>8895</v>
      </c>
      <c r="M3779" s="5">
        <v>5</v>
      </c>
      <c r="N3779" s="5" t="s">
        <v>34</v>
      </c>
      <c r="R3779" s="6"/>
      <c r="S3779" s="6"/>
    </row>
    <row r="3780" spans="1:21" x14ac:dyDescent="0.2">
      <c r="A3780" s="5">
        <v>12</v>
      </c>
      <c r="B3780" s="8" t="s">
        <v>8912</v>
      </c>
      <c r="C3780" s="34"/>
      <c r="H3780" s="8" t="s">
        <v>6326</v>
      </c>
      <c r="I3780" s="8" t="s">
        <v>6326</v>
      </c>
      <c r="J3780" s="5">
        <f>467-8-2-8-2</f>
        <v>447</v>
      </c>
      <c r="K3780" s="5" t="s">
        <v>21</v>
      </c>
      <c r="L3780" s="5" t="s">
        <v>8895</v>
      </c>
      <c r="M3780" s="5">
        <v>6</v>
      </c>
      <c r="N3780" s="5" t="s">
        <v>34</v>
      </c>
      <c r="R3780" s="6"/>
      <c r="S3780" s="6"/>
      <c r="U3780" t="s">
        <v>321</v>
      </c>
    </row>
    <row r="3781" spans="1:21" x14ac:dyDescent="0.2">
      <c r="A3781" s="5">
        <v>13</v>
      </c>
      <c r="B3781" s="8" t="s">
        <v>6632</v>
      </c>
      <c r="C3781" s="34"/>
      <c r="H3781" s="8" t="s">
        <v>6326</v>
      </c>
      <c r="I3781" s="8" t="s">
        <v>6326</v>
      </c>
      <c r="J3781" s="5">
        <f>882-32</f>
        <v>850</v>
      </c>
      <c r="K3781" s="5" t="s">
        <v>21</v>
      </c>
      <c r="L3781" s="5" t="s">
        <v>8895</v>
      </c>
      <c r="M3781" s="5">
        <v>6</v>
      </c>
      <c r="N3781" s="5" t="s">
        <v>34</v>
      </c>
      <c r="Q3781" s="5" t="s">
        <v>8913</v>
      </c>
      <c r="R3781" s="6"/>
      <c r="S3781" s="6"/>
    </row>
    <row r="3782" spans="1:21" x14ac:dyDescent="0.2">
      <c r="A3782" s="5">
        <v>14</v>
      </c>
      <c r="B3782" s="8" t="s">
        <v>8914</v>
      </c>
      <c r="C3782" s="34"/>
      <c r="H3782" s="8" t="s">
        <v>6326</v>
      </c>
      <c r="I3782" s="8" t="s">
        <v>6326</v>
      </c>
      <c r="J3782" s="5">
        <f>100-6</f>
        <v>94</v>
      </c>
      <c r="K3782" s="5" t="s">
        <v>21</v>
      </c>
      <c r="L3782" s="5" t="s">
        <v>8895</v>
      </c>
      <c r="M3782" s="5">
        <v>6</v>
      </c>
      <c r="N3782" s="5" t="s">
        <v>34</v>
      </c>
      <c r="Q3782" s="107" t="s">
        <v>8915</v>
      </c>
      <c r="R3782" s="6"/>
      <c r="S3782" s="6"/>
      <c r="U3782" t="s">
        <v>321</v>
      </c>
    </row>
    <row r="3783" spans="1:21" x14ac:dyDescent="0.2">
      <c r="A3783" s="5">
        <v>15</v>
      </c>
      <c r="B3783" s="8" t="s">
        <v>6556</v>
      </c>
      <c r="C3783" s="34"/>
      <c r="H3783" s="8" t="s">
        <v>6326</v>
      </c>
      <c r="I3783" s="8" t="s">
        <v>6326</v>
      </c>
      <c r="J3783" s="5">
        <f>950-12-48-22-32-54+5-48-54-4-84-2+42-12-16-10-16+1-6-1-48-3-4-18-30-50-18-3-18-12-16-88-50-10+52-9+2-36-16-28-50-6-2-3+500-28-132-48-22-2-26-4-33-1-2-72-16-10-4-2+84-8-15-8-80-6-8-72</f>
        <v>98</v>
      </c>
      <c r="K3783" s="5" t="s">
        <v>21</v>
      </c>
      <c r="L3783" s="5" t="s">
        <v>8895</v>
      </c>
      <c r="M3783" s="5">
        <v>7</v>
      </c>
      <c r="N3783" s="5" t="s">
        <v>34</v>
      </c>
      <c r="Q3783" s="5" t="s">
        <v>8916</v>
      </c>
      <c r="R3783" s="6"/>
      <c r="S3783" s="6"/>
    </row>
    <row r="3784" spans="1:21" x14ac:dyDescent="0.2">
      <c r="A3784" s="5"/>
      <c r="B3784" s="8" t="s">
        <v>6724</v>
      </c>
      <c r="C3784" s="34"/>
      <c r="H3784" s="8" t="s">
        <v>6326</v>
      </c>
      <c r="I3784" s="8" t="s">
        <v>6326</v>
      </c>
      <c r="J3784" s="5">
        <f>737-8-60-192-1-1-10-32-96-48-32-8-15-28-144-48-1-13</f>
        <v>0</v>
      </c>
      <c r="K3784" s="5" t="s">
        <v>21</v>
      </c>
      <c r="L3784" s="5" t="s">
        <v>8895</v>
      </c>
      <c r="M3784" s="5">
        <v>7</v>
      </c>
      <c r="N3784" s="5" t="s">
        <v>34</v>
      </c>
      <c r="Q3784" s="5" t="s">
        <v>8917</v>
      </c>
      <c r="R3784" s="6"/>
      <c r="S3784" s="6"/>
    </row>
    <row r="3785" spans="1:21" x14ac:dyDescent="0.2">
      <c r="A3785" s="5">
        <v>16</v>
      </c>
      <c r="B3785" s="8" t="s">
        <v>6425</v>
      </c>
      <c r="C3785" s="34"/>
      <c r="H3785" s="8" t="s">
        <v>6326</v>
      </c>
      <c r="I3785" s="8" t="s">
        <v>6326</v>
      </c>
      <c r="J3785" s="5">
        <f>500-179-40-7-6+4-1-1+500-6-32-64-15-16-32-6-25+48-2-2-6-30-8-48-1-44-1-1-6-4-1-20-24-3-40-6-28-1-112-1-6-6-50-132-6-1-16-16+411-192-1-6-6-42-5-21+42-18-3+21-4-26-26-6-6-1-40-13+141-2-43-40-4-46-28-4-16-8-8+500+100-9-48-54</f>
        <v>489</v>
      </c>
      <c r="K3785" s="5" t="s">
        <v>21</v>
      </c>
      <c r="L3785" s="5" t="s">
        <v>8895</v>
      </c>
      <c r="M3785" s="5">
        <v>7</v>
      </c>
      <c r="N3785" s="5" t="s">
        <v>34</v>
      </c>
      <c r="Q3785" s="107" t="s">
        <v>8918</v>
      </c>
      <c r="R3785" s="6"/>
      <c r="S3785" s="6"/>
    </row>
    <row r="3786" spans="1:21" x14ac:dyDescent="0.2">
      <c r="A3786" s="5"/>
      <c r="B3786" s="8" t="s">
        <v>6558</v>
      </c>
      <c r="C3786" s="34"/>
      <c r="H3786" s="8" t="s">
        <v>6326</v>
      </c>
      <c r="I3786" s="8" t="s">
        <v>6326</v>
      </c>
      <c r="J3786" s="5">
        <f>792-2-72-112-1-8-2-6-32-8-16-128-6-20-216-144+1-8-1-4-6-1</f>
        <v>0</v>
      </c>
      <c r="K3786" s="5" t="s">
        <v>21</v>
      </c>
      <c r="L3786" s="5" t="s">
        <v>8895</v>
      </c>
      <c r="M3786" s="5">
        <v>7</v>
      </c>
      <c r="N3786" s="5" t="s">
        <v>34</v>
      </c>
      <c r="R3786" s="6"/>
      <c r="S3786" s="6"/>
    </row>
    <row r="3787" spans="1:21" x14ac:dyDescent="0.2">
      <c r="A3787" s="5">
        <v>17</v>
      </c>
      <c r="B3787" s="8" t="s">
        <v>6427</v>
      </c>
      <c r="C3787" s="34"/>
      <c r="H3787" s="8" t="s">
        <v>6326</v>
      </c>
      <c r="I3787" s="8" t="s">
        <v>6326</v>
      </c>
      <c r="J3787" s="5">
        <f>334-8-30-2-4-60-20-20-16-8-4-4-88-2-44-10-6-5+500-87-9-21-91-220-8-8-42-3+2000-24-16-14-124-64-12-133-24-334+500-6-18-64-2-82-26-2+54-20-1-446-14-2+3-2-10-72-104-8+350-312-6-32-10-6-68-9-7-6-234-2-4-32-20-170-6-16-243+257-24+93-4-14-2-237+468-100-40-24-40-40-8-160-5-80-16-16-10-2-44-16-16-18-16+100-54-1-32</f>
        <v>13</v>
      </c>
      <c r="K3787" s="5" t="s">
        <v>21</v>
      </c>
      <c r="L3787" s="5" t="s">
        <v>8895</v>
      </c>
      <c r="M3787" s="5">
        <v>7</v>
      </c>
      <c r="N3787" s="5" t="s">
        <v>34</v>
      </c>
      <c r="Q3787" s="107" t="s">
        <v>6783</v>
      </c>
      <c r="R3787" s="6"/>
      <c r="S3787" s="6"/>
    </row>
    <row r="3788" spans="1:21" x14ac:dyDescent="0.2">
      <c r="A3788" s="5">
        <v>18</v>
      </c>
      <c r="B3788" s="8" t="s">
        <v>6502</v>
      </c>
      <c r="C3788" s="34"/>
      <c r="H3788" s="8" t="s">
        <v>6326</v>
      </c>
      <c r="I3788" s="8" t="s">
        <v>6326</v>
      </c>
      <c r="J3788" s="5">
        <f>95-52-6-3-6-3-20+15+8-3-20+15+8+1000-24-68-12-22-12-8-9-12-11+7-128-1-16-2-4-2-6-6-1-2-12-18-32-18+14-96-9-62-4-16-8-2-64-32-10-9-8</f>
        <v>303</v>
      </c>
      <c r="K3788" s="5" t="s">
        <v>21</v>
      </c>
      <c r="L3788" s="5" t="s">
        <v>8895</v>
      </c>
      <c r="M3788" s="5">
        <v>8</v>
      </c>
      <c r="N3788" s="5" t="s">
        <v>34</v>
      </c>
      <c r="Q3788" s="5" t="s">
        <v>8919</v>
      </c>
      <c r="R3788" s="6"/>
      <c r="S3788" s="6"/>
    </row>
    <row r="3789" spans="1:21" x14ac:dyDescent="0.2">
      <c r="A3789" s="5">
        <v>19</v>
      </c>
      <c r="B3789" s="8" t="s">
        <v>6433</v>
      </c>
      <c r="C3789" s="34"/>
      <c r="H3789" s="8" t="s">
        <v>6326</v>
      </c>
      <c r="I3789" s="8" t="s">
        <v>6326</v>
      </c>
      <c r="J3789" s="5">
        <f>788-2-20-10-1-4-20+15+67+20-3-21-6-16-30-48-3-2-3-3-2-6-50-131+300-24-30-20+56-80-24-180-130-30-50-24-6-3-1+230-20</f>
        <v>473</v>
      </c>
      <c r="K3789" s="5" t="s">
        <v>21</v>
      </c>
      <c r="L3789" s="5" t="s">
        <v>8895</v>
      </c>
      <c r="M3789" s="5">
        <v>8</v>
      </c>
      <c r="N3789" s="5" t="s">
        <v>34</v>
      </c>
      <c r="Q3789" s="5" t="s">
        <v>8920</v>
      </c>
      <c r="R3789" s="6"/>
      <c r="S3789" s="6"/>
      <c r="U3789" t="s">
        <v>321</v>
      </c>
    </row>
    <row r="3790" spans="1:21" x14ac:dyDescent="0.2">
      <c r="A3790" s="5"/>
      <c r="B3790" s="8" t="s">
        <v>8921</v>
      </c>
      <c r="C3790" s="34"/>
      <c r="H3790" s="8" t="s">
        <v>6326</v>
      </c>
      <c r="I3790" s="8" t="s">
        <v>6326</v>
      </c>
      <c r="J3790" s="5">
        <v>0</v>
      </c>
      <c r="K3790" s="5" t="s">
        <v>21</v>
      </c>
      <c r="L3790" s="5" t="s">
        <v>8895</v>
      </c>
      <c r="M3790" s="5">
        <v>9</v>
      </c>
      <c r="N3790" s="5" t="s">
        <v>34</v>
      </c>
      <c r="R3790" s="6"/>
      <c r="S3790" s="6"/>
    </row>
    <row r="3791" spans="1:21" x14ac:dyDescent="0.2">
      <c r="A3791" s="5">
        <v>20</v>
      </c>
      <c r="B3791" s="8" t="s">
        <v>6435</v>
      </c>
      <c r="C3791" s="34"/>
      <c r="H3791" s="8" t="s">
        <v>6326</v>
      </c>
      <c r="I3791" s="8" t="s">
        <v>6326</v>
      </c>
      <c r="J3791" s="5">
        <f>547-2-24-16-44-32-14-20-30-32-6-36-4-6-18-4-4-2-4-28+500-18-2-16-8-6-16-4-2-54-48</f>
        <v>547</v>
      </c>
      <c r="K3791" s="5" t="s">
        <v>21</v>
      </c>
      <c r="L3791" s="5" t="s">
        <v>8895</v>
      </c>
      <c r="M3791" s="5">
        <v>9</v>
      </c>
      <c r="N3791" s="5" t="s">
        <v>34</v>
      </c>
      <c r="Q3791" s="107" t="s">
        <v>6409</v>
      </c>
      <c r="R3791" s="6"/>
      <c r="S3791" s="6"/>
    </row>
    <row r="3792" spans="1:21" x14ac:dyDescent="0.2">
      <c r="A3792" s="5">
        <v>21</v>
      </c>
      <c r="B3792" s="8" t="s">
        <v>8922</v>
      </c>
      <c r="C3792" s="34"/>
      <c r="H3792" s="8" t="s">
        <v>6326</v>
      </c>
      <c r="I3792" s="8" t="s">
        <v>6326</v>
      </c>
      <c r="J3792" s="5">
        <f>10-1-8+50-15-5+500-12+4+12-2</f>
        <v>533</v>
      </c>
      <c r="K3792" s="5" t="s">
        <v>21</v>
      </c>
      <c r="L3792" s="5" t="s">
        <v>8895</v>
      </c>
      <c r="M3792" s="5">
        <v>9</v>
      </c>
      <c r="N3792" s="5" t="s">
        <v>34</v>
      </c>
      <c r="Q3792" s="5" t="s">
        <v>8923</v>
      </c>
      <c r="R3792" s="6"/>
      <c r="S3792" s="6"/>
    </row>
    <row r="3793" spans="1:21" x14ac:dyDescent="0.2">
      <c r="A3793" s="5">
        <v>22</v>
      </c>
      <c r="B3793" s="8" t="s">
        <v>8924</v>
      </c>
      <c r="C3793" s="34"/>
      <c r="H3793" s="8" t="s">
        <v>6326</v>
      </c>
      <c r="I3793" s="8" t="s">
        <v>6326</v>
      </c>
      <c r="J3793" s="5">
        <f>200+937-24-14-32-32</f>
        <v>1035</v>
      </c>
      <c r="K3793" s="5" t="s">
        <v>21</v>
      </c>
      <c r="L3793" s="5" t="s">
        <v>8895</v>
      </c>
      <c r="M3793" s="5">
        <v>10</v>
      </c>
      <c r="N3793" s="5" t="s">
        <v>34</v>
      </c>
      <c r="Q3793" s="5" t="s">
        <v>8925</v>
      </c>
      <c r="R3793" s="6"/>
      <c r="S3793" s="6"/>
    </row>
    <row r="3794" spans="1:21" x14ac:dyDescent="0.2">
      <c r="A3794" s="5"/>
      <c r="B3794" s="8" t="s">
        <v>6504</v>
      </c>
      <c r="C3794" s="34"/>
      <c r="H3794" s="8" t="s">
        <v>6326</v>
      </c>
      <c r="I3794" s="8" t="s">
        <v>6326</v>
      </c>
      <c r="J3794" s="5">
        <f>72-72+500+425+44-969</f>
        <v>0</v>
      </c>
      <c r="K3794" s="5" t="s">
        <v>21</v>
      </c>
      <c r="L3794" s="5" t="s">
        <v>8895</v>
      </c>
      <c r="M3794" s="5">
        <v>10</v>
      </c>
      <c r="N3794" s="5" t="s">
        <v>34</v>
      </c>
      <c r="Q3794" s="107" t="s">
        <v>8926</v>
      </c>
      <c r="R3794" s="6"/>
      <c r="S3794" s="6"/>
    </row>
    <row r="3795" spans="1:21" x14ac:dyDescent="0.2">
      <c r="A3795" s="5">
        <v>23</v>
      </c>
      <c r="B3795" s="8" t="s">
        <v>6438</v>
      </c>
      <c r="C3795" s="34"/>
      <c r="H3795" s="8" t="s">
        <v>6326</v>
      </c>
      <c r="I3795" s="8" t="s">
        <v>6326</v>
      </c>
      <c r="J3795" s="5">
        <f>100</f>
        <v>100</v>
      </c>
      <c r="K3795" s="5" t="s">
        <v>21</v>
      </c>
      <c r="L3795" s="5" t="s">
        <v>8895</v>
      </c>
      <c r="M3795" s="5">
        <v>11</v>
      </c>
      <c r="N3795" s="5" t="s">
        <v>34</v>
      </c>
      <c r="Q3795" s="5" t="s">
        <v>8927</v>
      </c>
      <c r="R3795" s="6"/>
      <c r="S3795" s="6"/>
      <c r="U3795" t="s">
        <v>321</v>
      </c>
    </row>
    <row r="3796" spans="1:21" x14ac:dyDescent="0.2">
      <c r="A3796" s="5">
        <v>24</v>
      </c>
      <c r="B3796" s="8" t="s">
        <v>6440</v>
      </c>
      <c r="C3796" s="34"/>
      <c r="H3796" s="8" t="s">
        <v>6326</v>
      </c>
      <c r="I3796" s="8" t="s">
        <v>6326</v>
      </c>
      <c r="J3796" s="5">
        <f>267-8-2-24-16+1</f>
        <v>218</v>
      </c>
      <c r="K3796" s="5" t="s">
        <v>21</v>
      </c>
      <c r="L3796" s="5" t="s">
        <v>8895</v>
      </c>
      <c r="M3796" s="5">
        <v>11</v>
      </c>
      <c r="N3796" s="5" t="s">
        <v>34</v>
      </c>
      <c r="R3796" s="6"/>
      <c r="S3796" s="6"/>
      <c r="U3796" t="s">
        <v>321</v>
      </c>
    </row>
    <row r="3797" spans="1:21" x14ac:dyDescent="0.2">
      <c r="A3797" s="5">
        <v>25</v>
      </c>
      <c r="B3797" s="8" t="s">
        <v>6441</v>
      </c>
      <c r="C3797" s="34"/>
      <c r="H3797" s="8" t="s">
        <v>6326</v>
      </c>
      <c r="I3797" s="8" t="s">
        <v>6326</v>
      </c>
      <c r="J3797" s="5">
        <f>411-3-4-9-30-10-32-2-32</f>
        <v>289</v>
      </c>
      <c r="K3797" s="5" t="s">
        <v>21</v>
      </c>
      <c r="L3797" s="5" t="s">
        <v>8895</v>
      </c>
      <c r="M3797" s="5">
        <v>12</v>
      </c>
      <c r="N3797" s="5" t="s">
        <v>34</v>
      </c>
      <c r="R3797" s="6"/>
      <c r="S3797" s="6"/>
    </row>
    <row r="3798" spans="1:21" x14ac:dyDescent="0.2">
      <c r="A3798" s="5">
        <v>26</v>
      </c>
      <c r="B3798" s="8" t="s">
        <v>8928</v>
      </c>
      <c r="C3798" s="34"/>
      <c r="H3798" s="8" t="s">
        <v>6326</v>
      </c>
      <c r="I3798" s="8" t="s">
        <v>6326</v>
      </c>
      <c r="J3798" s="5">
        <f>136-4-2-2</f>
        <v>128</v>
      </c>
      <c r="K3798" s="5" t="s">
        <v>21</v>
      </c>
      <c r="L3798" s="5" t="s">
        <v>8895</v>
      </c>
      <c r="M3798" s="5">
        <v>12</v>
      </c>
      <c r="N3798" s="5" t="s">
        <v>34</v>
      </c>
      <c r="R3798" s="6"/>
      <c r="S3798" s="6"/>
    </row>
    <row r="3799" spans="1:21" x14ac:dyDescent="0.2">
      <c r="A3799" s="5">
        <v>27</v>
      </c>
      <c r="B3799" s="8" t="s">
        <v>8929</v>
      </c>
      <c r="C3799" s="34"/>
      <c r="H3799" s="8" t="s">
        <v>6326</v>
      </c>
      <c r="I3799" s="8" t="s">
        <v>6326</v>
      </c>
      <c r="J3799" s="5">
        <f>133</f>
        <v>133</v>
      </c>
      <c r="K3799" s="5" t="s">
        <v>21</v>
      </c>
      <c r="L3799" s="5" t="s">
        <v>8895</v>
      </c>
      <c r="M3799" s="5">
        <v>13</v>
      </c>
      <c r="N3799" s="5" t="s">
        <v>34</v>
      </c>
      <c r="R3799" s="6"/>
      <c r="S3799" s="6"/>
    </row>
    <row r="3800" spans="1:21" x14ac:dyDescent="0.2">
      <c r="A3800" s="5">
        <v>28</v>
      </c>
      <c r="B3800" s="8" t="s">
        <v>8930</v>
      </c>
      <c r="C3800" s="34"/>
      <c r="H3800" s="8" t="s">
        <v>6326</v>
      </c>
      <c r="I3800" s="8" t="s">
        <v>6326</v>
      </c>
      <c r="J3800" s="5">
        <f>44</f>
        <v>44</v>
      </c>
      <c r="K3800" s="5" t="s">
        <v>21</v>
      </c>
      <c r="L3800" s="5" t="s">
        <v>8895</v>
      </c>
      <c r="M3800" s="5">
        <v>14</v>
      </c>
      <c r="N3800" s="5" t="s">
        <v>34</v>
      </c>
      <c r="R3800" s="6"/>
      <c r="S3800" s="6"/>
      <c r="U3800" t="s">
        <v>321</v>
      </c>
    </row>
    <row r="3801" spans="1:21" x14ac:dyDescent="0.2">
      <c r="A3801" s="5">
        <v>29</v>
      </c>
      <c r="B3801" s="8" t="s">
        <v>6647</v>
      </c>
      <c r="C3801" s="34"/>
      <c r="H3801" s="8" t="s">
        <v>6326</v>
      </c>
      <c r="I3801" s="8" t="s">
        <v>6326</v>
      </c>
      <c r="J3801" s="5">
        <f>49+380</f>
        <v>429</v>
      </c>
      <c r="K3801" s="5" t="s">
        <v>21</v>
      </c>
      <c r="L3801" s="5" t="s">
        <v>8895</v>
      </c>
      <c r="M3801" s="5">
        <v>15</v>
      </c>
      <c r="N3801" s="5" t="s">
        <v>34</v>
      </c>
      <c r="Q3801" s="5" t="s">
        <v>8898</v>
      </c>
      <c r="R3801" s="6"/>
      <c r="S3801" s="6"/>
      <c r="U3801" t="s">
        <v>321</v>
      </c>
    </row>
    <row r="3802" spans="1:21" x14ac:dyDescent="0.2">
      <c r="A3802" s="5">
        <v>30</v>
      </c>
      <c r="B3802" s="8" t="s">
        <v>6649</v>
      </c>
      <c r="C3802" s="34"/>
      <c r="H3802" s="8" t="s">
        <v>6326</v>
      </c>
      <c r="I3802" s="8" t="s">
        <v>6326</v>
      </c>
      <c r="J3802" s="5">
        <f>128-20-6-6-12-12+1-12-12-8-8-24+500+300-6-126-32-32-32-32-4-48</f>
        <v>497</v>
      </c>
      <c r="K3802" s="5" t="s">
        <v>21</v>
      </c>
      <c r="L3802" s="5" t="s">
        <v>8895</v>
      </c>
      <c r="M3802" s="5">
        <v>15</v>
      </c>
      <c r="N3802" s="5" t="s">
        <v>34</v>
      </c>
      <c r="Q3802" s="5" t="s">
        <v>8931</v>
      </c>
      <c r="R3802" s="6"/>
      <c r="S3802" s="6"/>
    </row>
    <row r="3803" spans="1:21" x14ac:dyDescent="0.2">
      <c r="A3803" s="5">
        <v>31</v>
      </c>
      <c r="B3803" s="8" t="s">
        <v>6450</v>
      </c>
      <c r="C3803" s="34"/>
      <c r="H3803" s="8" t="s">
        <v>6326</v>
      </c>
      <c r="I3803" s="8" t="s">
        <v>6326</v>
      </c>
      <c r="J3803" s="5">
        <f>779-32-42-50-5-16-48-128-60-12+100-30</f>
        <v>456</v>
      </c>
      <c r="K3803" s="5" t="s">
        <v>21</v>
      </c>
      <c r="L3803" s="5" t="s">
        <v>8895</v>
      </c>
      <c r="M3803" s="5">
        <v>15</v>
      </c>
      <c r="N3803" s="5" t="s">
        <v>34</v>
      </c>
      <c r="Q3803" s="5" t="s">
        <v>8931</v>
      </c>
      <c r="R3803" s="6"/>
      <c r="S3803" s="6"/>
    </row>
    <row r="3804" spans="1:21" x14ac:dyDescent="0.2">
      <c r="A3804" s="5">
        <v>32</v>
      </c>
      <c r="B3804" s="8" t="s">
        <v>6452</v>
      </c>
      <c r="C3804" s="34"/>
      <c r="H3804" s="8" t="s">
        <v>6326</v>
      </c>
      <c r="I3804" s="8" t="s">
        <v>6326</v>
      </c>
      <c r="J3804" s="5">
        <f>1713-10-24-72-24-24-96-30+7-6-17-12-6-17-32-105-105-30-32-24-8-40-80-1-30-48-63-50-12-6-6-27-100-100-12-27-2-4-27-2+2-16-4-8-18-20-20-110+14-132-2-40-54+44+2000-90-10-40-10-20-90-4-6-56-162-50-355-115-2-10-20-80-80-10-72-9+130+20-48</f>
        <v>856</v>
      </c>
      <c r="K3804" s="5" t="s">
        <v>21</v>
      </c>
      <c r="L3804" s="5" t="s">
        <v>8895</v>
      </c>
      <c r="M3804" s="5">
        <v>16</v>
      </c>
      <c r="N3804" s="5" t="s">
        <v>34</v>
      </c>
      <c r="Q3804" s="5" t="s">
        <v>8932</v>
      </c>
      <c r="R3804" s="6"/>
      <c r="S3804" s="6"/>
      <c r="U3804" t="s">
        <v>321</v>
      </c>
    </row>
    <row r="3805" spans="1:21" ht="14.25" customHeight="1" x14ac:dyDescent="0.2">
      <c r="A3805" s="5">
        <v>33</v>
      </c>
      <c r="B3805" s="8" t="s">
        <v>8933</v>
      </c>
      <c r="C3805" s="34"/>
      <c r="H3805" s="8" t="s">
        <v>6326</v>
      </c>
      <c r="I3805" s="8" t="s">
        <v>6326</v>
      </c>
      <c r="J3805" s="5">
        <f>300-5-32+77-70-4-112+1000-263-675-156-40+574-152-8-4-64-20-16-4-62-8-36-4-152+80+125-7-82-16-16-2-64+121-36-1+1500-210-210</f>
        <v>1246</v>
      </c>
      <c r="K3805" s="5" t="s">
        <v>21</v>
      </c>
      <c r="L3805" s="5" t="s">
        <v>8895</v>
      </c>
      <c r="M3805" s="5">
        <v>16</v>
      </c>
      <c r="N3805" s="5" t="s">
        <v>34</v>
      </c>
      <c r="Q3805" s="107" t="s">
        <v>6783</v>
      </c>
      <c r="R3805" s="6"/>
      <c r="S3805" s="6"/>
      <c r="U3805" t="s">
        <v>321</v>
      </c>
    </row>
    <row r="3806" spans="1:21" x14ac:dyDescent="0.2">
      <c r="A3806" s="5">
        <v>34</v>
      </c>
      <c r="B3806" s="8" t="s">
        <v>6456</v>
      </c>
      <c r="C3806" s="34"/>
      <c r="H3806" s="8" t="s">
        <v>6326</v>
      </c>
      <c r="I3806" s="8" t="s">
        <v>6326</v>
      </c>
      <c r="J3806" s="5">
        <f>94-16-2+60</f>
        <v>136</v>
      </c>
      <c r="K3806" s="5" t="s">
        <v>21</v>
      </c>
      <c r="L3806" s="5" t="s">
        <v>8895</v>
      </c>
      <c r="M3806" s="5">
        <v>17</v>
      </c>
      <c r="N3806" s="5" t="s">
        <v>34</v>
      </c>
      <c r="Q3806" s="5" t="s">
        <v>8934</v>
      </c>
      <c r="R3806" s="6"/>
      <c r="S3806" s="6"/>
    </row>
    <row r="3807" spans="1:21" x14ac:dyDescent="0.2">
      <c r="A3807" s="5"/>
      <c r="B3807" s="8" t="s">
        <v>6656</v>
      </c>
      <c r="C3807" s="34"/>
      <c r="H3807" s="8" t="s">
        <v>6326</v>
      </c>
      <c r="I3807" s="8" t="s">
        <v>6326</v>
      </c>
      <c r="J3807" s="5">
        <f>300-6</f>
        <v>294</v>
      </c>
      <c r="K3807" s="5" t="s">
        <v>21</v>
      </c>
      <c r="L3807" s="5" t="s">
        <v>8895</v>
      </c>
      <c r="M3807" s="5">
        <v>17</v>
      </c>
      <c r="N3807" s="5" t="s">
        <v>34</v>
      </c>
      <c r="Q3807" s="5" t="s">
        <v>6243</v>
      </c>
      <c r="R3807" s="6"/>
      <c r="S3807" s="6"/>
    </row>
    <row r="3808" spans="1:21" x14ac:dyDescent="0.2">
      <c r="A3808" s="5">
        <v>35</v>
      </c>
      <c r="B3808" s="8" t="s">
        <v>8935</v>
      </c>
      <c r="C3808" s="34"/>
      <c r="H3808" s="8" t="s">
        <v>6326</v>
      </c>
      <c r="I3808" s="8" t="s">
        <v>6326</v>
      </c>
      <c r="J3808" s="5">
        <f>0</f>
        <v>0</v>
      </c>
      <c r="K3808" s="5" t="s">
        <v>21</v>
      </c>
      <c r="L3808" s="5" t="s">
        <v>8895</v>
      </c>
      <c r="M3808" s="5">
        <v>17</v>
      </c>
      <c r="N3808" s="5" t="s">
        <v>34</v>
      </c>
      <c r="R3808" s="6"/>
      <c r="S3808" s="6"/>
      <c r="U3808" t="s">
        <v>321</v>
      </c>
    </row>
    <row r="3809" spans="1:21" x14ac:dyDescent="0.2">
      <c r="A3809" s="5"/>
      <c r="B3809" s="8" t="s">
        <v>6460</v>
      </c>
      <c r="C3809" s="34"/>
      <c r="H3809" s="8" t="s">
        <v>6326</v>
      </c>
      <c r="I3809" s="8" t="s">
        <v>6326</v>
      </c>
      <c r="J3809" s="5">
        <f>288+2732</f>
        <v>3020</v>
      </c>
      <c r="K3809" s="5" t="s">
        <v>21</v>
      </c>
      <c r="L3809" s="5" t="s">
        <v>8895</v>
      </c>
      <c r="M3809" s="5">
        <v>17</v>
      </c>
      <c r="N3809" s="5" t="s">
        <v>34</v>
      </c>
      <c r="Q3809" s="107" t="s">
        <v>6592</v>
      </c>
      <c r="R3809" s="6"/>
      <c r="S3809" s="6"/>
      <c r="U3809" t="s">
        <v>321</v>
      </c>
    </row>
    <row r="3810" spans="1:21" x14ac:dyDescent="0.2">
      <c r="A3810" s="5"/>
      <c r="B3810" s="8" t="s">
        <v>6463</v>
      </c>
      <c r="C3810" s="34"/>
      <c r="H3810" s="8" t="s">
        <v>6326</v>
      </c>
      <c r="I3810" s="8" t="s">
        <v>6326</v>
      </c>
      <c r="J3810" s="5">
        <f>100-8</f>
        <v>92</v>
      </c>
      <c r="K3810" s="5" t="s">
        <v>21</v>
      </c>
      <c r="L3810" s="5" t="s">
        <v>8895</v>
      </c>
      <c r="M3810" s="5">
        <v>18</v>
      </c>
      <c r="N3810" s="5" t="s">
        <v>34</v>
      </c>
      <c r="Q3810" s="107" t="s">
        <v>6406</v>
      </c>
      <c r="R3810" s="6"/>
      <c r="S3810" s="6"/>
    </row>
    <row r="3811" spans="1:21" x14ac:dyDescent="0.2">
      <c r="A3811" s="5">
        <v>36</v>
      </c>
      <c r="B3811" s="8" t="s">
        <v>6465</v>
      </c>
      <c r="C3811" s="34"/>
      <c r="H3811" s="8" t="s">
        <v>6326</v>
      </c>
      <c r="I3811" s="8" t="s">
        <v>6326</v>
      </c>
      <c r="J3811" s="5">
        <f>295-36-12-3+36-10</f>
        <v>270</v>
      </c>
      <c r="K3811" s="5" t="s">
        <v>21</v>
      </c>
      <c r="L3811" s="5" t="s">
        <v>8895</v>
      </c>
      <c r="M3811" s="5">
        <v>18</v>
      </c>
      <c r="N3811" s="5" t="s">
        <v>34</v>
      </c>
      <c r="R3811" s="6"/>
      <c r="S3811" s="6"/>
      <c r="U3811" t="s">
        <v>321</v>
      </c>
    </row>
    <row r="3812" spans="1:21" x14ac:dyDescent="0.2">
      <c r="A3812" s="5">
        <v>37</v>
      </c>
      <c r="B3812" s="8" t="s">
        <v>8936</v>
      </c>
      <c r="C3812" s="34"/>
      <c r="H3812" s="8" t="s">
        <v>6326</v>
      </c>
      <c r="I3812" s="8" t="s">
        <v>6326</v>
      </c>
      <c r="J3812" s="5">
        <f>334-48-48-8-16-2-2+2-6-2</f>
        <v>204</v>
      </c>
      <c r="K3812" s="5" t="s">
        <v>21</v>
      </c>
      <c r="L3812" s="5" t="s">
        <v>8895</v>
      </c>
      <c r="M3812" s="5">
        <v>19</v>
      </c>
      <c r="N3812" s="5" t="s">
        <v>34</v>
      </c>
      <c r="Q3812" s="5" t="s">
        <v>8937</v>
      </c>
      <c r="R3812" s="6"/>
      <c r="S3812" s="6"/>
    </row>
    <row r="3813" spans="1:21" x14ac:dyDescent="0.2">
      <c r="A3813" s="5">
        <v>38</v>
      </c>
      <c r="B3813" s="8" t="s">
        <v>6659</v>
      </c>
      <c r="C3813" s="34"/>
      <c r="H3813" s="8" t="s">
        <v>6326</v>
      </c>
      <c r="I3813" s="8" t="s">
        <v>6326</v>
      </c>
      <c r="J3813" s="5">
        <f>46-4-16-25+500-8-4-3-1-3-3-6-50-2-23+50-3-8-8-8-8-1</f>
        <v>412</v>
      </c>
      <c r="K3813" s="5" t="s">
        <v>21</v>
      </c>
      <c r="L3813" s="5" t="s">
        <v>8895</v>
      </c>
      <c r="M3813" s="5">
        <v>19</v>
      </c>
      <c r="N3813" s="5" t="s">
        <v>34</v>
      </c>
      <c r="Q3813" s="107" t="s">
        <v>8938</v>
      </c>
      <c r="R3813" s="6"/>
      <c r="S3813" s="6"/>
    </row>
    <row r="3814" spans="1:21" x14ac:dyDescent="0.2">
      <c r="A3814" s="5">
        <v>39</v>
      </c>
      <c r="B3814" s="8" t="s">
        <v>6467</v>
      </c>
      <c r="C3814" s="34"/>
      <c r="H3814" s="8" t="s">
        <v>6326</v>
      </c>
      <c r="I3814" s="8" t="s">
        <v>6326</v>
      </c>
      <c r="J3814" s="5">
        <f>200-48-24-24-2+126+88+28-4</f>
        <v>340</v>
      </c>
      <c r="K3814" s="5" t="s">
        <v>21</v>
      </c>
      <c r="L3814" s="5" t="s">
        <v>8895</v>
      </c>
      <c r="M3814" s="5">
        <v>20</v>
      </c>
      <c r="N3814" s="5" t="s">
        <v>34</v>
      </c>
      <c r="R3814" s="6"/>
      <c r="S3814" s="6"/>
    </row>
    <row r="3815" spans="1:21" x14ac:dyDescent="0.2">
      <c r="A3815" s="5"/>
      <c r="B3815" s="8" t="s">
        <v>8939</v>
      </c>
      <c r="C3815" s="34"/>
      <c r="H3815" s="8" t="s">
        <v>6326</v>
      </c>
      <c r="I3815" s="8" t="s">
        <v>6326</v>
      </c>
      <c r="J3815" s="5">
        <f>100-16-2-20-62</f>
        <v>0</v>
      </c>
      <c r="K3815" s="5" t="s">
        <v>21</v>
      </c>
      <c r="L3815" s="5" t="s">
        <v>8895</v>
      </c>
      <c r="M3815" s="5">
        <v>20</v>
      </c>
      <c r="N3815" s="5" t="s">
        <v>34</v>
      </c>
      <c r="Q3815" s="107" t="s">
        <v>8940</v>
      </c>
      <c r="R3815" s="6"/>
      <c r="S3815" s="6"/>
    </row>
    <row r="3816" spans="1:21" x14ac:dyDescent="0.2">
      <c r="A3816" s="5">
        <v>40</v>
      </c>
      <c r="B3816" s="8" t="s">
        <v>7922</v>
      </c>
      <c r="C3816" s="34"/>
      <c r="H3816" s="8" t="s">
        <v>6326</v>
      </c>
      <c r="I3816" s="8" t="s">
        <v>6326</v>
      </c>
      <c r="J3816" s="5">
        <f>1073+32+5</f>
        <v>1110</v>
      </c>
      <c r="K3816" s="5" t="s">
        <v>21</v>
      </c>
      <c r="L3816" s="5" t="s">
        <v>8895</v>
      </c>
      <c r="M3816" s="5">
        <v>20</v>
      </c>
      <c r="N3816" s="5" t="s">
        <v>34</v>
      </c>
      <c r="R3816" s="6"/>
      <c r="S3816" s="6"/>
      <c r="U3816" t="s">
        <v>321</v>
      </c>
    </row>
    <row r="3817" spans="1:21" x14ac:dyDescent="0.2">
      <c r="A3817" s="5">
        <v>41</v>
      </c>
      <c r="B3817" s="8" t="s">
        <v>8941</v>
      </c>
      <c r="C3817" s="34"/>
      <c r="H3817" s="8" t="s">
        <v>6326</v>
      </c>
      <c r="I3817" s="8" t="s">
        <v>6326</v>
      </c>
      <c r="J3817" s="5">
        <f>100+58</f>
        <v>158</v>
      </c>
      <c r="K3817" s="5" t="s">
        <v>21</v>
      </c>
      <c r="L3817" s="5" t="s">
        <v>8895</v>
      </c>
      <c r="M3817" s="5">
        <v>21</v>
      </c>
      <c r="N3817" s="5" t="s">
        <v>34</v>
      </c>
      <c r="Q3817" s="5" t="s">
        <v>8942</v>
      </c>
      <c r="R3817" s="6"/>
      <c r="S3817" s="6"/>
    </row>
    <row r="3818" spans="1:21" x14ac:dyDescent="0.2">
      <c r="A3818" s="5">
        <v>42</v>
      </c>
      <c r="B3818" s="8" t="s">
        <v>6469</v>
      </c>
      <c r="C3818" s="34"/>
      <c r="H3818" s="8" t="s">
        <v>6326</v>
      </c>
      <c r="I3818" s="8" t="s">
        <v>6326</v>
      </c>
      <c r="J3818" s="5">
        <v>15</v>
      </c>
      <c r="K3818" s="5" t="s">
        <v>21</v>
      </c>
      <c r="L3818" s="5" t="s">
        <v>8895</v>
      </c>
      <c r="M3818" s="5">
        <v>21</v>
      </c>
      <c r="N3818" s="5" t="s">
        <v>34</v>
      </c>
      <c r="R3818" s="6"/>
      <c r="S3818" s="6"/>
      <c r="U3818" t="s">
        <v>321</v>
      </c>
    </row>
    <row r="3819" spans="1:21" ht="15" customHeight="1" x14ac:dyDescent="0.2">
      <c r="A3819" s="5"/>
      <c r="B3819" s="8" t="s">
        <v>8943</v>
      </c>
      <c r="C3819" s="34"/>
      <c r="H3819" s="8" t="s">
        <v>6326</v>
      </c>
      <c r="I3819" s="8" t="s">
        <v>6326</v>
      </c>
      <c r="J3819" s="5">
        <f>3760-3760</f>
        <v>0</v>
      </c>
      <c r="K3819" s="5" t="s">
        <v>21</v>
      </c>
      <c r="L3819" s="5" t="s">
        <v>8895</v>
      </c>
      <c r="M3819" s="5">
        <v>22</v>
      </c>
      <c r="N3819" s="5" t="s">
        <v>34</v>
      </c>
      <c r="Q3819" s="5" t="s">
        <v>6776</v>
      </c>
      <c r="R3819" s="6"/>
      <c r="S3819" s="6"/>
    </row>
    <row r="3820" spans="1:21" ht="15" customHeight="1" x14ac:dyDescent="0.2">
      <c r="A3820" s="5">
        <v>43</v>
      </c>
      <c r="B3820" s="8" t="s">
        <v>6665</v>
      </c>
      <c r="C3820" s="34"/>
      <c r="H3820" s="8" t="s">
        <v>6326</v>
      </c>
      <c r="I3820" s="8" t="s">
        <v>6326</v>
      </c>
      <c r="J3820" s="5">
        <f>5154-8-30-21-4-40-4-6-70-100+40-16-100-16-4-98+3652-18-344-215-44-44-22-22-22-22-16</f>
        <v>7560</v>
      </c>
      <c r="K3820" s="5" t="s">
        <v>21</v>
      </c>
      <c r="L3820" s="5" t="s">
        <v>8895</v>
      </c>
      <c r="M3820" s="5">
        <v>22</v>
      </c>
      <c r="N3820" s="5" t="s">
        <v>34</v>
      </c>
      <c r="Q3820" s="5" t="s">
        <v>8917</v>
      </c>
      <c r="R3820" s="6"/>
      <c r="S3820" s="6"/>
    </row>
    <row r="3821" spans="1:21" ht="15" customHeight="1" x14ac:dyDescent="0.2">
      <c r="A3821" s="5">
        <v>44</v>
      </c>
      <c r="B3821" s="8" t="s">
        <v>6666</v>
      </c>
      <c r="C3821" s="34"/>
      <c r="H3821" s="8" t="s">
        <v>6326</v>
      </c>
      <c r="I3821" s="8" t="s">
        <v>6326</v>
      </c>
      <c r="J3821" s="5">
        <f>606-20-8-24-16-72-108-3-72-12-1-14-36-15-8-36-4-4-39-8-44-1+179+416-20-30-36-30-60</f>
        <v>480</v>
      </c>
      <c r="K3821" s="5" t="s">
        <v>21</v>
      </c>
      <c r="L3821" s="5" t="s">
        <v>8895</v>
      </c>
      <c r="M3821" s="5">
        <v>22</v>
      </c>
      <c r="N3821" s="5" t="s">
        <v>34</v>
      </c>
      <c r="Q3821" s="5" t="s">
        <v>8944</v>
      </c>
      <c r="R3821" s="6"/>
      <c r="S3821" s="6"/>
    </row>
    <row r="3822" spans="1:21" ht="15" customHeight="1" x14ac:dyDescent="0.2">
      <c r="A3822" s="5"/>
      <c r="B3822" s="8" t="s">
        <v>8945</v>
      </c>
      <c r="C3822" s="34"/>
      <c r="H3822" s="8" t="s">
        <v>6326</v>
      </c>
      <c r="I3822" s="8" t="s">
        <v>6326</v>
      </c>
      <c r="J3822" s="5">
        <f>1980-8-2-2+4+19-4-12-19-4-36-1916</f>
        <v>0</v>
      </c>
      <c r="K3822" s="5" t="s">
        <v>21</v>
      </c>
      <c r="L3822" s="5" t="s">
        <v>8895</v>
      </c>
      <c r="M3822" s="5">
        <v>23</v>
      </c>
      <c r="N3822" s="5" t="s">
        <v>34</v>
      </c>
      <c r="Q3822" s="5" t="s">
        <v>8946</v>
      </c>
      <c r="R3822" s="6"/>
      <c r="S3822" s="6"/>
      <c r="U3822" t="s">
        <v>321</v>
      </c>
    </row>
    <row r="3823" spans="1:21" ht="15" customHeight="1" x14ac:dyDescent="0.2">
      <c r="A3823" s="5">
        <v>45</v>
      </c>
      <c r="B3823" s="8" t="s">
        <v>6478</v>
      </c>
      <c r="C3823" s="34"/>
      <c r="H3823" s="8" t="s">
        <v>6326</v>
      </c>
      <c r="I3823" s="8" t="s">
        <v>6326</v>
      </c>
      <c r="J3823" s="5">
        <f>1440-400-12-27-20-12-12-36-128-100-3+150+139-3-7+1257+72-224-352-224-160+100-20-20-96-12+200</f>
        <v>1490</v>
      </c>
      <c r="K3823" s="5" t="s">
        <v>21</v>
      </c>
      <c r="L3823" s="5" t="s">
        <v>8895</v>
      </c>
      <c r="M3823" s="5">
        <v>23</v>
      </c>
      <c r="N3823" s="5" t="s">
        <v>34</v>
      </c>
      <c r="R3823" s="6"/>
      <c r="S3823" s="6"/>
      <c r="U3823" t="s">
        <v>321</v>
      </c>
    </row>
    <row r="3824" spans="1:21" ht="15" customHeight="1" x14ac:dyDescent="0.2">
      <c r="A3824" s="5">
        <v>46</v>
      </c>
      <c r="B3824" s="8" t="s">
        <v>6481</v>
      </c>
      <c r="C3824" s="34"/>
      <c r="H3824" s="8" t="s">
        <v>6326</v>
      </c>
      <c r="I3824" s="8" t="s">
        <v>6326</v>
      </c>
      <c r="J3824" s="5">
        <f>623-3-8-32-8-3+3-44-27+27-4-44-22+1-4-1+8-16-20-3-8-32+2-46-16-88-12-156+1-28-36+354-12-14-12+100-32-3-98-50-97+4+30-28-20-20-8+200</f>
        <v>298</v>
      </c>
      <c r="K3824" s="5" t="s">
        <v>21</v>
      </c>
      <c r="L3824" s="5" t="s">
        <v>8895</v>
      </c>
      <c r="M3824" s="5">
        <v>23</v>
      </c>
      <c r="N3824" s="5" t="s">
        <v>34</v>
      </c>
      <c r="Q3824" s="5" t="s">
        <v>8947</v>
      </c>
      <c r="R3824" s="6"/>
      <c r="S3824" s="6"/>
    </row>
    <row r="3825" spans="1:21" ht="15" customHeight="1" x14ac:dyDescent="0.2">
      <c r="A3825" s="5">
        <v>47</v>
      </c>
      <c r="B3825" s="8" t="s">
        <v>8948</v>
      </c>
      <c r="C3825" s="34"/>
      <c r="H3825" s="8" t="s">
        <v>6326</v>
      </c>
      <c r="I3825" s="8" t="s">
        <v>6326</v>
      </c>
      <c r="J3825" s="5">
        <f>1334-2-16-4-4-2-8-8-44-103-14+2-19-2-14-4-2</f>
        <v>1090</v>
      </c>
      <c r="K3825" s="5" t="s">
        <v>21</v>
      </c>
      <c r="L3825" s="5" t="s">
        <v>8895</v>
      </c>
      <c r="M3825" s="5">
        <v>24</v>
      </c>
      <c r="N3825" s="5" t="s">
        <v>34</v>
      </c>
      <c r="R3825" s="6"/>
      <c r="S3825" s="6"/>
      <c r="U3825" t="s">
        <v>321</v>
      </c>
    </row>
    <row r="3826" spans="1:21" ht="15" customHeight="1" x14ac:dyDescent="0.2">
      <c r="A3826" s="5"/>
      <c r="B3826" s="8" t="s">
        <v>8949</v>
      </c>
      <c r="C3826" s="34"/>
      <c r="H3826" s="8" t="s">
        <v>6326</v>
      </c>
      <c r="I3826" s="8" t="s">
        <v>6326</v>
      </c>
      <c r="J3826" s="5">
        <f>500-500</f>
        <v>0</v>
      </c>
      <c r="K3826" s="5" t="s">
        <v>21</v>
      </c>
      <c r="L3826" s="5" t="s">
        <v>8895</v>
      </c>
      <c r="M3826" s="5">
        <v>25</v>
      </c>
      <c r="N3826" s="5" t="s">
        <v>34</v>
      </c>
      <c r="Q3826" s="107" t="s">
        <v>6799</v>
      </c>
      <c r="R3826" s="6"/>
      <c r="S3826" s="6"/>
    </row>
    <row r="3827" spans="1:21" ht="15" customHeight="1" x14ac:dyDescent="0.2">
      <c r="A3827" s="5">
        <v>48</v>
      </c>
      <c r="B3827" s="8" t="s">
        <v>6488</v>
      </c>
      <c r="C3827" s="34"/>
      <c r="H3827" s="8" t="s">
        <v>6326</v>
      </c>
      <c r="I3827" s="8" t="s">
        <v>6326</v>
      </c>
      <c r="J3827" s="5">
        <f>50+211-7+34-21-2+416-14-21-56+1000-253-21-35-15-30-30-6+151</f>
        <v>1351</v>
      </c>
      <c r="K3827" s="5" t="s">
        <v>21</v>
      </c>
      <c r="L3827" s="5" t="s">
        <v>8895</v>
      </c>
      <c r="M3827" s="5">
        <v>25</v>
      </c>
      <c r="N3827" s="5" t="s">
        <v>34</v>
      </c>
      <c r="Q3827" s="5" t="s">
        <v>8950</v>
      </c>
      <c r="R3827" s="6"/>
      <c r="S3827" s="6"/>
    </row>
    <row r="3828" spans="1:21" x14ac:dyDescent="0.2">
      <c r="A3828" s="5">
        <v>49</v>
      </c>
      <c r="B3828" s="8" t="s">
        <v>8951</v>
      </c>
      <c r="C3828" s="34"/>
      <c r="H3828" s="8" t="s">
        <v>6326</v>
      </c>
      <c r="I3828" s="8" t="s">
        <v>6326</v>
      </c>
      <c r="J3828" s="5">
        <v>29</v>
      </c>
      <c r="K3828" s="5" t="s">
        <v>21</v>
      </c>
      <c r="L3828" s="5" t="s">
        <v>8895</v>
      </c>
      <c r="M3828" s="5">
        <v>25</v>
      </c>
      <c r="N3828" s="5" t="s">
        <v>34</v>
      </c>
      <c r="Q3828" s="5" t="s">
        <v>8952</v>
      </c>
      <c r="R3828" s="6"/>
      <c r="S3828" s="6"/>
    </row>
    <row r="3829" spans="1:21" x14ac:dyDescent="0.2">
      <c r="A3829" s="5">
        <v>50</v>
      </c>
      <c r="B3829" s="8" t="s">
        <v>6490</v>
      </c>
      <c r="C3829" s="34"/>
      <c r="H3829" s="8" t="s">
        <v>6326</v>
      </c>
      <c r="I3829" s="8" t="s">
        <v>6326</v>
      </c>
      <c r="J3829" s="5">
        <v>291</v>
      </c>
      <c r="K3829" s="5" t="s">
        <v>21</v>
      </c>
      <c r="L3829" s="5" t="s">
        <v>8895</v>
      </c>
      <c r="M3829" s="5">
        <v>26</v>
      </c>
      <c r="N3829" s="5" t="s">
        <v>34</v>
      </c>
      <c r="R3829" s="6"/>
      <c r="S3829" s="6"/>
      <c r="U3829" t="s">
        <v>321</v>
      </c>
    </row>
    <row r="3830" spans="1:21" x14ac:dyDescent="0.2">
      <c r="A3830" s="5">
        <v>51</v>
      </c>
      <c r="B3830" s="8" t="s">
        <v>8953</v>
      </c>
      <c r="C3830" s="34"/>
      <c r="H3830" s="8" t="s">
        <v>6326</v>
      </c>
      <c r="I3830" s="8" t="s">
        <v>6326</v>
      </c>
      <c r="J3830" s="5">
        <v>84</v>
      </c>
      <c r="K3830" s="5" t="s">
        <v>21</v>
      </c>
      <c r="L3830" s="5" t="s">
        <v>8895</v>
      </c>
      <c r="M3830" s="5">
        <v>26</v>
      </c>
      <c r="N3830" s="5" t="s">
        <v>34</v>
      </c>
      <c r="R3830" s="6"/>
      <c r="S3830" s="6"/>
      <c r="U3830" t="s">
        <v>321</v>
      </c>
    </row>
    <row r="3831" spans="1:21" x14ac:dyDescent="0.2">
      <c r="A3831" s="5"/>
      <c r="B3831" s="8" t="s">
        <v>8954</v>
      </c>
      <c r="C3831" s="34"/>
      <c r="H3831" s="8" t="s">
        <v>6326</v>
      </c>
      <c r="I3831" s="8" t="s">
        <v>6326</v>
      </c>
      <c r="J3831" s="5">
        <f>96-80-16</f>
        <v>0</v>
      </c>
      <c r="K3831" s="5" t="s">
        <v>21</v>
      </c>
      <c r="L3831" s="5" t="s">
        <v>8895</v>
      </c>
      <c r="M3831" s="5">
        <v>27</v>
      </c>
      <c r="N3831" s="5" t="s">
        <v>34</v>
      </c>
      <c r="R3831" s="6"/>
      <c r="S3831" s="6"/>
    </row>
    <row r="3832" spans="1:21" x14ac:dyDescent="0.2">
      <c r="A3832" s="5">
        <v>52</v>
      </c>
      <c r="B3832" s="8" t="s">
        <v>8955</v>
      </c>
      <c r="C3832" s="34"/>
      <c r="H3832" s="8" t="s">
        <v>6326</v>
      </c>
      <c r="I3832" s="8" t="s">
        <v>6326</v>
      </c>
      <c r="J3832" s="5">
        <f>88-66-21+100-29</f>
        <v>72</v>
      </c>
      <c r="K3832" s="5" t="s">
        <v>21</v>
      </c>
      <c r="L3832" s="5" t="s">
        <v>8895</v>
      </c>
      <c r="M3832" s="5">
        <v>27</v>
      </c>
      <c r="N3832" s="5" t="s">
        <v>34</v>
      </c>
      <c r="Q3832" s="107" t="s">
        <v>8956</v>
      </c>
      <c r="R3832" s="6"/>
      <c r="S3832" s="6"/>
    </row>
    <row r="3833" spans="1:21" x14ac:dyDescent="0.2">
      <c r="A3833" s="5">
        <v>53</v>
      </c>
      <c r="B3833" s="8" t="s">
        <v>8957</v>
      </c>
      <c r="C3833" s="34"/>
      <c r="H3833" s="8" t="s">
        <v>6326</v>
      </c>
      <c r="I3833" s="8" t="s">
        <v>6326</v>
      </c>
      <c r="J3833" s="5">
        <v>122</v>
      </c>
      <c r="K3833" s="5" t="s">
        <v>21</v>
      </c>
      <c r="L3833" s="5" t="s">
        <v>8895</v>
      </c>
      <c r="M3833" s="5">
        <v>27</v>
      </c>
      <c r="N3833" s="5" t="s">
        <v>34</v>
      </c>
      <c r="R3833" s="6"/>
      <c r="S3833" s="6"/>
      <c r="U3833" t="s">
        <v>321</v>
      </c>
    </row>
    <row r="3834" spans="1:21" x14ac:dyDescent="0.2">
      <c r="A3834" s="5">
        <v>55</v>
      </c>
      <c r="B3834" s="8" t="s">
        <v>8958</v>
      </c>
      <c r="C3834" s="34"/>
      <c r="H3834" s="8" t="s">
        <v>6326</v>
      </c>
      <c r="I3834" s="8" t="s">
        <v>6326</v>
      </c>
      <c r="J3834" s="5">
        <v>110</v>
      </c>
      <c r="K3834" s="5" t="s">
        <v>21</v>
      </c>
      <c r="L3834" s="5" t="s">
        <v>8895</v>
      </c>
      <c r="M3834" s="5">
        <v>28</v>
      </c>
      <c r="N3834" s="5" t="s">
        <v>34</v>
      </c>
      <c r="R3834" s="6"/>
      <c r="S3834" s="6"/>
      <c r="U3834" t="s">
        <v>321</v>
      </c>
    </row>
    <row r="3835" spans="1:21" x14ac:dyDescent="0.2">
      <c r="A3835" s="5">
        <v>56</v>
      </c>
      <c r="B3835" s="8" t="s">
        <v>8959</v>
      </c>
      <c r="C3835" s="34"/>
      <c r="H3835" s="8" t="s">
        <v>6326</v>
      </c>
      <c r="I3835" s="8" t="s">
        <v>6326</v>
      </c>
      <c r="J3835" s="5">
        <v>13</v>
      </c>
      <c r="K3835" s="5" t="s">
        <v>21</v>
      </c>
      <c r="L3835" s="5" t="s">
        <v>8895</v>
      </c>
      <c r="M3835" s="5">
        <v>28</v>
      </c>
      <c r="N3835" s="5" t="s">
        <v>34</v>
      </c>
      <c r="R3835" s="6"/>
      <c r="S3835" s="6"/>
      <c r="U3835" t="s">
        <v>321</v>
      </c>
    </row>
    <row r="3836" spans="1:21" x14ac:dyDescent="0.2">
      <c r="A3836" s="5">
        <v>58</v>
      </c>
      <c r="B3836" s="8" t="s">
        <v>8960</v>
      </c>
      <c r="C3836" s="34"/>
      <c r="H3836" s="8" t="s">
        <v>6326</v>
      </c>
      <c r="I3836" s="8" t="s">
        <v>6326</v>
      </c>
      <c r="J3836" s="5">
        <f>248-1</f>
        <v>247</v>
      </c>
      <c r="K3836" s="5" t="s">
        <v>21</v>
      </c>
      <c r="L3836" s="5" t="s">
        <v>8895</v>
      </c>
      <c r="M3836" s="5">
        <v>29</v>
      </c>
      <c r="N3836" s="5" t="s">
        <v>34</v>
      </c>
      <c r="R3836" s="6"/>
      <c r="S3836" s="6"/>
      <c r="U3836" t="s">
        <v>321</v>
      </c>
    </row>
    <row r="3837" spans="1:21" x14ac:dyDescent="0.2">
      <c r="A3837" s="5">
        <v>59</v>
      </c>
      <c r="B3837" s="8" t="s">
        <v>8961</v>
      </c>
      <c r="C3837" s="34"/>
      <c r="H3837" s="8" t="s">
        <v>6326</v>
      </c>
      <c r="I3837" s="8" t="s">
        <v>6326</v>
      </c>
      <c r="J3837" s="5">
        <v>212</v>
      </c>
      <c r="K3837" s="5" t="s">
        <v>21</v>
      </c>
      <c r="L3837" s="5" t="s">
        <v>8895</v>
      </c>
      <c r="M3837" s="5">
        <v>29</v>
      </c>
      <c r="N3837" s="5" t="s">
        <v>34</v>
      </c>
      <c r="Q3837" s="5" t="s">
        <v>8962</v>
      </c>
      <c r="R3837" s="6"/>
      <c r="S3837" s="6"/>
    </row>
    <row r="3838" spans="1:21" x14ac:dyDescent="0.2">
      <c r="A3838" s="5">
        <v>54</v>
      </c>
      <c r="B3838" s="8" t="s">
        <v>6509</v>
      </c>
      <c r="C3838" s="34"/>
      <c r="H3838" s="8" t="s">
        <v>6326</v>
      </c>
      <c r="I3838" s="8" t="s">
        <v>6326</v>
      </c>
      <c r="J3838" s="5">
        <f>393-6-10-20-50-30-50-50-16+56-32-4+130-16</f>
        <v>295</v>
      </c>
      <c r="K3838" s="5" t="s">
        <v>21</v>
      </c>
      <c r="L3838" s="5" t="s">
        <v>8895</v>
      </c>
      <c r="M3838" s="5">
        <v>29</v>
      </c>
      <c r="N3838" s="5" t="s">
        <v>34</v>
      </c>
      <c r="R3838" s="6"/>
      <c r="S3838" s="6"/>
    </row>
    <row r="3839" spans="1:21" x14ac:dyDescent="0.2">
      <c r="A3839" s="5">
        <v>57</v>
      </c>
      <c r="B3839" s="8" t="s">
        <v>8963</v>
      </c>
      <c r="C3839" s="34"/>
      <c r="H3839" s="8" t="s">
        <v>6326</v>
      </c>
      <c r="I3839" s="8" t="s">
        <v>6326</v>
      </c>
      <c r="J3839" s="5">
        <f>132+10+100-48-64-48-64+2+500+76-96-21+4-20-80-3-100-16-6-63-4-12-12-105-12-7-42+1151-168-2-42-63-66-50+797-50-105-21-126-1256+81+500-63-63</f>
        <v>455</v>
      </c>
      <c r="K3839" s="5" t="s">
        <v>21</v>
      </c>
      <c r="L3839" s="5" t="s">
        <v>8895</v>
      </c>
      <c r="M3839" s="5">
        <v>29</v>
      </c>
      <c r="N3839" s="5" t="s">
        <v>34</v>
      </c>
      <c r="Q3839" s="5" t="s">
        <v>8964</v>
      </c>
      <c r="R3839" s="6"/>
      <c r="S3839" s="6"/>
    </row>
    <row r="3840" spans="1:21" x14ac:dyDescent="0.2">
      <c r="A3840" s="5">
        <v>60</v>
      </c>
      <c r="B3840" s="8" t="s">
        <v>8965</v>
      </c>
      <c r="C3840" s="34"/>
      <c r="H3840" s="8" t="s">
        <v>6326</v>
      </c>
      <c r="I3840" s="8" t="s">
        <v>6326</v>
      </c>
      <c r="J3840" s="5">
        <f>92-8-8-4-20-22-7-7-16+200-20</f>
        <v>180</v>
      </c>
      <c r="K3840" s="5" t="s">
        <v>21</v>
      </c>
      <c r="L3840" s="5" t="s">
        <v>8895</v>
      </c>
      <c r="M3840" s="5">
        <v>29</v>
      </c>
      <c r="N3840" s="5" t="s">
        <v>34</v>
      </c>
      <c r="Q3840" s="107" t="s">
        <v>6329</v>
      </c>
      <c r="R3840" s="6"/>
      <c r="S3840" s="6"/>
    </row>
    <row r="3841" spans="1:21" x14ac:dyDescent="0.2">
      <c r="A3841" s="5">
        <v>61</v>
      </c>
      <c r="B3841" s="8" t="s">
        <v>8966</v>
      </c>
      <c r="C3841" s="34"/>
      <c r="H3841" s="8" t="s">
        <v>6326</v>
      </c>
      <c r="I3841" s="8" t="s">
        <v>6326</v>
      </c>
      <c r="J3841" s="5">
        <f>175-4-70+97-7-46-145+500-46-140-70-2+1000-630-210-140-2+36+1000-2-1168-4-64+50+80-20-28-18-72+70+46+1500-210-210</f>
        <v>1246</v>
      </c>
      <c r="K3841" s="5" t="s">
        <v>21</v>
      </c>
      <c r="L3841" s="5" t="s">
        <v>8895</v>
      </c>
      <c r="M3841" s="5">
        <v>30</v>
      </c>
      <c r="N3841" s="5" t="s">
        <v>34</v>
      </c>
      <c r="Q3841" s="107" t="s">
        <v>8967</v>
      </c>
      <c r="R3841" s="6"/>
      <c r="S3841" s="6"/>
      <c r="U3841" t="s">
        <v>321</v>
      </c>
    </row>
    <row r="3842" spans="1:21" x14ac:dyDescent="0.2">
      <c r="A3842" s="5">
        <v>62</v>
      </c>
      <c r="B3842" s="8" t="s">
        <v>6517</v>
      </c>
      <c r="C3842" s="34"/>
      <c r="H3842" s="8" t="s">
        <v>6326</v>
      </c>
      <c r="I3842" s="8" t="s">
        <v>6326</v>
      </c>
      <c r="J3842" s="5">
        <f>285-6-18-8-32-10-80-18-12-48-28-8-1-16</f>
        <v>0</v>
      </c>
      <c r="K3842" s="5" t="s">
        <v>21</v>
      </c>
      <c r="L3842" s="5" t="s">
        <v>8895</v>
      </c>
      <c r="M3842" s="5">
        <v>31</v>
      </c>
      <c r="N3842" s="5" t="s">
        <v>34</v>
      </c>
      <c r="Q3842" s="107" t="s">
        <v>6409</v>
      </c>
      <c r="R3842" s="6"/>
      <c r="S3842" s="6"/>
    </row>
    <row r="3843" spans="1:21" x14ac:dyDescent="0.2">
      <c r="A3843" s="5">
        <v>63</v>
      </c>
      <c r="B3843" s="8" t="s">
        <v>8968</v>
      </c>
      <c r="C3843" s="34"/>
      <c r="H3843" s="8" t="s">
        <v>6326</v>
      </c>
      <c r="I3843" s="8" t="s">
        <v>6326</v>
      </c>
      <c r="J3843" s="5">
        <f>113-10</f>
        <v>103</v>
      </c>
      <c r="K3843" s="5" t="s">
        <v>21</v>
      </c>
      <c r="L3843" s="5" t="s">
        <v>8895</v>
      </c>
      <c r="M3843" s="5">
        <v>31</v>
      </c>
      <c r="N3843" s="5" t="s">
        <v>34</v>
      </c>
      <c r="R3843" s="6"/>
      <c r="S3843" s="6"/>
      <c r="U3843" t="s">
        <v>321</v>
      </c>
    </row>
    <row r="3844" spans="1:21" x14ac:dyDescent="0.2">
      <c r="A3844" s="5">
        <v>64</v>
      </c>
      <c r="B3844" s="8" t="s">
        <v>8969</v>
      </c>
      <c r="C3844" s="34"/>
      <c r="H3844" s="8" t="s">
        <v>6326</v>
      </c>
      <c r="I3844" s="8" t="s">
        <v>6326</v>
      </c>
      <c r="J3844" s="5">
        <v>151</v>
      </c>
      <c r="K3844" s="5" t="s">
        <v>21</v>
      </c>
      <c r="L3844" s="5" t="s">
        <v>8895</v>
      </c>
      <c r="M3844" s="5">
        <v>32</v>
      </c>
      <c r="N3844" s="5" t="s">
        <v>34</v>
      </c>
      <c r="R3844" s="6"/>
      <c r="S3844" s="6"/>
      <c r="U3844" t="s">
        <v>321</v>
      </c>
    </row>
    <row r="3845" spans="1:21" x14ac:dyDescent="0.2">
      <c r="A3845" s="5">
        <v>65</v>
      </c>
      <c r="B3845" s="8" t="s">
        <v>8970</v>
      </c>
      <c r="C3845" s="34"/>
      <c r="H3845" s="8" t="s">
        <v>6326</v>
      </c>
      <c r="I3845" s="8" t="s">
        <v>6326</v>
      </c>
      <c r="J3845" s="5">
        <v>272</v>
      </c>
      <c r="K3845" s="5" t="s">
        <v>21</v>
      </c>
      <c r="L3845" s="5" t="s">
        <v>8895</v>
      </c>
      <c r="M3845" s="5">
        <v>32</v>
      </c>
      <c r="N3845" s="5" t="s">
        <v>34</v>
      </c>
      <c r="R3845" s="6"/>
      <c r="S3845" s="6"/>
      <c r="U3845" t="s">
        <v>321</v>
      </c>
    </row>
    <row r="3846" spans="1:21" x14ac:dyDescent="0.2">
      <c r="A3846" s="5">
        <v>66</v>
      </c>
      <c r="B3846" s="8" t="s">
        <v>8971</v>
      </c>
      <c r="C3846" s="34"/>
      <c r="H3846" s="8" t="s">
        <v>6326</v>
      </c>
      <c r="I3846" s="8" t="s">
        <v>6326</v>
      </c>
      <c r="J3846" s="5">
        <v>193</v>
      </c>
      <c r="K3846" s="5" t="s">
        <v>21</v>
      </c>
      <c r="L3846" s="5" t="s">
        <v>8895</v>
      </c>
      <c r="M3846" s="5">
        <v>33</v>
      </c>
      <c r="N3846" s="5" t="s">
        <v>34</v>
      </c>
      <c r="R3846" s="6"/>
      <c r="S3846" s="6"/>
      <c r="U3846" t="s">
        <v>321</v>
      </c>
    </row>
    <row r="3847" spans="1:21" x14ac:dyDescent="0.2">
      <c r="A3847" s="5">
        <v>67</v>
      </c>
      <c r="B3847" s="8" t="s">
        <v>6684</v>
      </c>
      <c r="C3847" s="34"/>
      <c r="H3847" s="8" t="s">
        <v>6326</v>
      </c>
      <c r="I3847" s="8" t="s">
        <v>6326</v>
      </c>
      <c r="J3847" s="5">
        <f>176-8-8-32-8-8</f>
        <v>112</v>
      </c>
      <c r="K3847" s="5" t="s">
        <v>21</v>
      </c>
      <c r="L3847" s="5" t="s">
        <v>8895</v>
      </c>
      <c r="M3847" s="5">
        <v>34</v>
      </c>
      <c r="N3847" s="5" t="s">
        <v>34</v>
      </c>
      <c r="Q3847" s="5" t="s">
        <v>8967</v>
      </c>
      <c r="R3847" s="6"/>
      <c r="S3847" s="6"/>
      <c r="U3847" t="s">
        <v>321</v>
      </c>
    </row>
    <row r="3848" spans="1:21" x14ac:dyDescent="0.2">
      <c r="A3848" s="5">
        <v>68</v>
      </c>
      <c r="B3848" s="8" t="s">
        <v>8972</v>
      </c>
      <c r="C3848" s="34"/>
      <c r="H3848" s="8" t="s">
        <v>6326</v>
      </c>
      <c r="I3848" s="8" t="s">
        <v>6326</v>
      </c>
      <c r="J3848" s="5">
        <v>97</v>
      </c>
      <c r="K3848" s="5" t="s">
        <v>21</v>
      </c>
      <c r="L3848" s="5" t="s">
        <v>8895</v>
      </c>
      <c r="M3848" s="5">
        <v>35</v>
      </c>
      <c r="N3848" s="5" t="s">
        <v>34</v>
      </c>
      <c r="R3848" s="6"/>
      <c r="S3848" s="6"/>
      <c r="U3848" t="s">
        <v>321</v>
      </c>
    </row>
    <row r="3849" spans="1:21" x14ac:dyDescent="0.2">
      <c r="A3849" s="5">
        <v>69</v>
      </c>
      <c r="B3849" s="8" t="s">
        <v>8973</v>
      </c>
      <c r="C3849" s="34"/>
      <c r="H3849" s="8" t="s">
        <v>6326</v>
      </c>
      <c r="I3849" s="8" t="s">
        <v>6326</v>
      </c>
      <c r="J3849" s="5">
        <f>244-4-132</f>
        <v>108</v>
      </c>
      <c r="K3849" s="5" t="s">
        <v>21</v>
      </c>
      <c r="L3849" s="5" t="s">
        <v>8895</v>
      </c>
      <c r="M3849" s="5">
        <v>36</v>
      </c>
      <c r="N3849" s="5" t="s">
        <v>34</v>
      </c>
      <c r="R3849" s="6"/>
      <c r="S3849" s="6"/>
      <c r="U3849" t="s">
        <v>321</v>
      </c>
    </row>
    <row r="3850" spans="1:21" x14ac:dyDescent="0.2">
      <c r="A3850" s="5">
        <v>70</v>
      </c>
      <c r="B3850" s="8" t="s">
        <v>8974</v>
      </c>
      <c r="C3850" s="34"/>
      <c r="H3850" s="8" t="s">
        <v>6326</v>
      </c>
      <c r="I3850" s="8" t="s">
        <v>6326</v>
      </c>
      <c r="J3850" s="5">
        <f>46-16-16-8+150-72-16-16-4-40+30-16+2</f>
        <v>24</v>
      </c>
      <c r="K3850" s="5" t="s">
        <v>21</v>
      </c>
      <c r="L3850" s="5" t="s">
        <v>8895</v>
      </c>
      <c r="M3850" s="5">
        <v>37</v>
      </c>
      <c r="N3850" s="5" t="s">
        <v>34</v>
      </c>
      <c r="Q3850" s="5" t="s">
        <v>8975</v>
      </c>
      <c r="R3850" s="6"/>
      <c r="S3850" s="6"/>
      <c r="U3850" t="s">
        <v>321</v>
      </c>
    </row>
    <row r="3851" spans="1:21" x14ac:dyDescent="0.2">
      <c r="A3851" s="5">
        <v>71</v>
      </c>
      <c r="B3851" s="8" t="s">
        <v>8976</v>
      </c>
      <c r="C3851" s="34"/>
      <c r="H3851" s="8" t="s">
        <v>6326</v>
      </c>
      <c r="I3851" s="8" t="s">
        <v>6326</v>
      </c>
      <c r="J3851" s="5">
        <f>115-8-20-36-4+1-4-8-36</f>
        <v>0</v>
      </c>
      <c r="K3851" s="5" t="s">
        <v>21</v>
      </c>
      <c r="L3851" s="5" t="s">
        <v>8895</v>
      </c>
      <c r="M3851" s="5">
        <v>37</v>
      </c>
      <c r="N3851" s="5" t="s">
        <v>34</v>
      </c>
      <c r="Q3851" s="5" t="s">
        <v>8977</v>
      </c>
      <c r="R3851" s="6"/>
      <c r="S3851" s="6"/>
    </row>
    <row r="3852" spans="1:21" x14ac:dyDescent="0.2">
      <c r="A3852" s="5">
        <v>72</v>
      </c>
      <c r="B3852" s="8" t="s">
        <v>6523</v>
      </c>
      <c r="C3852" s="34"/>
      <c r="H3852" s="8" t="s">
        <v>6326</v>
      </c>
      <c r="I3852" s="8" t="s">
        <v>6326</v>
      </c>
      <c r="J3852" s="5">
        <f>200-24-24+105-4</f>
        <v>253</v>
      </c>
      <c r="K3852" s="5" t="s">
        <v>21</v>
      </c>
      <c r="L3852" s="5" t="s">
        <v>8895</v>
      </c>
      <c r="M3852" s="5">
        <v>37</v>
      </c>
      <c r="N3852" s="5" t="s">
        <v>34</v>
      </c>
      <c r="Q3852" s="5" t="s">
        <v>8978</v>
      </c>
      <c r="R3852" s="6"/>
      <c r="S3852" s="6"/>
    </row>
    <row r="3853" spans="1:21" x14ac:dyDescent="0.2">
      <c r="A3853" s="5">
        <v>73</v>
      </c>
      <c r="B3853" s="8" t="s">
        <v>8979</v>
      </c>
      <c r="C3853" s="34"/>
      <c r="H3853" s="8" t="s">
        <v>6326</v>
      </c>
      <c r="I3853" s="8" t="s">
        <v>6326</v>
      </c>
      <c r="J3853" s="5">
        <f>162-6-8</f>
        <v>148</v>
      </c>
      <c r="K3853" s="5" t="s">
        <v>21</v>
      </c>
      <c r="L3853" s="5" t="s">
        <v>8895</v>
      </c>
      <c r="M3853" s="5">
        <v>38</v>
      </c>
      <c r="N3853" s="5" t="s">
        <v>34</v>
      </c>
      <c r="Q3853" s="5" t="s">
        <v>8980</v>
      </c>
      <c r="R3853" s="6"/>
      <c r="S3853" s="6"/>
      <c r="U3853" t="s">
        <v>321</v>
      </c>
    </row>
    <row r="3854" spans="1:21" x14ac:dyDescent="0.2">
      <c r="A3854" s="5">
        <v>74</v>
      </c>
      <c r="B3854" s="8" t="s">
        <v>6405</v>
      </c>
      <c r="C3854" s="34"/>
      <c r="H3854" s="8" t="s">
        <v>6326</v>
      </c>
      <c r="I3854" s="8" t="s">
        <v>6326</v>
      </c>
      <c r="J3854" s="5">
        <f>369+92-46-1-46-184-20-46-20-46+158</f>
        <v>210</v>
      </c>
      <c r="K3854" s="5" t="s">
        <v>21</v>
      </c>
      <c r="L3854" s="5" t="s">
        <v>8895</v>
      </c>
      <c r="M3854" s="5">
        <v>39</v>
      </c>
      <c r="N3854" s="5" t="s">
        <v>34</v>
      </c>
      <c r="Q3854" s="5" t="s">
        <v>8981</v>
      </c>
      <c r="R3854" s="6"/>
      <c r="S3854" s="6"/>
      <c r="U3854" t="s">
        <v>321</v>
      </c>
    </row>
    <row r="3855" spans="1:21" x14ac:dyDescent="0.2">
      <c r="A3855" s="5">
        <v>75</v>
      </c>
      <c r="B3855" s="8" t="s">
        <v>8982</v>
      </c>
      <c r="C3855" s="34"/>
      <c r="H3855" s="8" t="s">
        <v>6326</v>
      </c>
      <c r="I3855" s="8" t="s">
        <v>6326</v>
      </c>
      <c r="J3855" s="5">
        <f>122-24-10-24-1</f>
        <v>63</v>
      </c>
      <c r="K3855" s="5" t="s">
        <v>21</v>
      </c>
      <c r="L3855" s="5" t="s">
        <v>8895</v>
      </c>
      <c r="M3855" s="5">
        <v>40</v>
      </c>
      <c r="N3855" s="5" t="s">
        <v>34</v>
      </c>
      <c r="R3855" s="6"/>
      <c r="S3855" s="6"/>
      <c r="U3855" t="s">
        <v>321</v>
      </c>
    </row>
    <row r="3856" spans="1:21" x14ac:dyDescent="0.2">
      <c r="A3856" s="5">
        <v>76</v>
      </c>
      <c r="B3856" s="8" t="s">
        <v>8983</v>
      </c>
      <c r="C3856" s="34"/>
      <c r="H3856" s="8" t="s">
        <v>6326</v>
      </c>
      <c r="I3856" s="8" t="s">
        <v>6326</v>
      </c>
      <c r="J3856" s="5">
        <v>385</v>
      </c>
      <c r="K3856" s="5" t="s">
        <v>21</v>
      </c>
      <c r="L3856" s="5" t="s">
        <v>8895</v>
      </c>
      <c r="M3856" s="5">
        <v>41</v>
      </c>
      <c r="N3856" s="5" t="s">
        <v>34</v>
      </c>
      <c r="R3856" s="6"/>
      <c r="S3856" s="6"/>
      <c r="U3856" t="s">
        <v>321</v>
      </c>
    </row>
    <row r="3857" spans="1:21" x14ac:dyDescent="0.2">
      <c r="A3857" s="5">
        <v>77</v>
      </c>
      <c r="B3857" s="8" t="s">
        <v>8984</v>
      </c>
      <c r="C3857" s="34"/>
      <c r="H3857" s="8" t="s">
        <v>6326</v>
      </c>
      <c r="I3857" s="8" t="s">
        <v>6326</v>
      </c>
      <c r="J3857" s="5">
        <f>219</f>
        <v>219</v>
      </c>
      <c r="K3857" s="5" t="s">
        <v>21</v>
      </c>
      <c r="L3857" s="5" t="s">
        <v>8895</v>
      </c>
      <c r="M3857" s="5">
        <v>42</v>
      </c>
      <c r="N3857" s="5" t="s">
        <v>34</v>
      </c>
      <c r="R3857" s="6"/>
      <c r="S3857" s="6"/>
      <c r="U3857" t="s">
        <v>321</v>
      </c>
    </row>
    <row r="3858" spans="1:21" x14ac:dyDescent="0.2">
      <c r="A3858" s="5">
        <v>78</v>
      </c>
      <c r="B3858" s="8" t="s">
        <v>8985</v>
      </c>
      <c r="C3858" s="34"/>
      <c r="H3858" s="8" t="s">
        <v>6326</v>
      </c>
      <c r="I3858" s="8" t="s">
        <v>6326</v>
      </c>
      <c r="J3858" s="5">
        <f>103</f>
        <v>103</v>
      </c>
      <c r="K3858" s="5" t="s">
        <v>21</v>
      </c>
      <c r="L3858" s="5" t="s">
        <v>8895</v>
      </c>
      <c r="M3858" s="5">
        <v>43</v>
      </c>
      <c r="N3858" s="5" t="s">
        <v>34</v>
      </c>
      <c r="R3858" s="6"/>
      <c r="S3858" s="6"/>
      <c r="U3858" t="s">
        <v>321</v>
      </c>
    </row>
    <row r="3859" spans="1:21" x14ac:dyDescent="0.2">
      <c r="A3859" s="5">
        <v>79</v>
      </c>
      <c r="B3859" s="8" t="s">
        <v>8986</v>
      </c>
      <c r="C3859" s="34"/>
      <c r="H3859" s="8" t="s">
        <v>6326</v>
      </c>
      <c r="I3859" s="8" t="s">
        <v>6326</v>
      </c>
      <c r="J3859" s="5">
        <f>142</f>
        <v>142</v>
      </c>
      <c r="K3859" s="5" t="s">
        <v>21</v>
      </c>
      <c r="L3859" s="5" t="s">
        <v>8895</v>
      </c>
      <c r="M3859" s="5">
        <v>44</v>
      </c>
      <c r="N3859" s="5" t="s">
        <v>34</v>
      </c>
      <c r="R3859" s="6"/>
      <c r="S3859" s="6"/>
      <c r="U3859" t="s">
        <v>321</v>
      </c>
    </row>
    <row r="3860" spans="1:21" x14ac:dyDescent="0.2">
      <c r="A3860" s="5">
        <v>80</v>
      </c>
      <c r="B3860" s="8" t="s">
        <v>8987</v>
      </c>
      <c r="C3860" s="34"/>
      <c r="H3860" s="8" t="s">
        <v>6326</v>
      </c>
      <c r="I3860" s="8" t="s">
        <v>6326</v>
      </c>
      <c r="J3860" s="5">
        <f>118-8-8</f>
        <v>102</v>
      </c>
      <c r="K3860" s="5" t="s">
        <v>21</v>
      </c>
      <c r="L3860" s="5" t="s">
        <v>8895</v>
      </c>
      <c r="M3860" s="5">
        <v>45</v>
      </c>
      <c r="N3860" s="5" t="s">
        <v>34</v>
      </c>
      <c r="R3860" s="6"/>
      <c r="S3860" s="6"/>
      <c r="U3860" t="s">
        <v>321</v>
      </c>
    </row>
    <row r="3861" spans="1:21" x14ac:dyDescent="0.2">
      <c r="A3861" s="5">
        <v>81</v>
      </c>
      <c r="B3861" s="8" t="s">
        <v>8988</v>
      </c>
      <c r="C3861" s="34"/>
      <c r="H3861" s="8" t="s">
        <v>6326</v>
      </c>
      <c r="I3861" s="8" t="s">
        <v>6326</v>
      </c>
      <c r="J3861" s="5">
        <f>100</f>
        <v>100</v>
      </c>
      <c r="K3861" s="5" t="s">
        <v>21</v>
      </c>
      <c r="L3861" s="5" t="s">
        <v>8895</v>
      </c>
      <c r="M3861" s="5">
        <v>47</v>
      </c>
      <c r="N3861" s="5" t="s">
        <v>34</v>
      </c>
      <c r="R3861" s="6"/>
      <c r="S3861" s="6"/>
      <c r="U3861" t="s">
        <v>321</v>
      </c>
    </row>
    <row r="3862" spans="1:21" x14ac:dyDescent="0.2">
      <c r="A3862" s="5">
        <v>82</v>
      </c>
      <c r="B3862" s="8" t="s">
        <v>8989</v>
      </c>
      <c r="C3862" s="34"/>
      <c r="H3862" s="8" t="s">
        <v>6326</v>
      </c>
      <c r="I3862" s="8" t="s">
        <v>6326</v>
      </c>
      <c r="J3862" s="5">
        <v>163</v>
      </c>
      <c r="K3862" s="5" t="s">
        <v>21</v>
      </c>
      <c r="L3862" s="5" t="s">
        <v>8895</v>
      </c>
      <c r="M3862" s="5">
        <v>52</v>
      </c>
      <c r="N3862" s="5" t="s">
        <v>34</v>
      </c>
      <c r="R3862" s="6"/>
      <c r="S3862" s="6"/>
      <c r="U3862" t="s">
        <v>321</v>
      </c>
    </row>
    <row r="3863" spans="1:21" x14ac:dyDescent="0.2">
      <c r="A3863" s="5">
        <v>83</v>
      </c>
      <c r="B3863" s="8" t="s">
        <v>8990</v>
      </c>
      <c r="C3863" s="34"/>
      <c r="H3863" s="8" t="s">
        <v>6326</v>
      </c>
      <c r="I3863" s="8" t="s">
        <v>6326</v>
      </c>
      <c r="J3863" s="5">
        <v>0</v>
      </c>
      <c r="K3863" s="5" t="s">
        <v>21</v>
      </c>
      <c r="L3863" s="5" t="s">
        <v>8895</v>
      </c>
      <c r="M3863" s="5">
        <v>53</v>
      </c>
      <c r="N3863" s="5" t="s">
        <v>34</v>
      </c>
      <c r="R3863" s="6"/>
      <c r="S3863" s="6"/>
      <c r="U3863" t="s">
        <v>321</v>
      </c>
    </row>
    <row r="3864" spans="1:21" x14ac:dyDescent="0.2">
      <c r="A3864" s="5">
        <v>84</v>
      </c>
      <c r="B3864" s="8" t="s">
        <v>8991</v>
      </c>
      <c r="C3864" s="34"/>
      <c r="H3864" s="8" t="s">
        <v>6326</v>
      </c>
      <c r="I3864" s="8" t="s">
        <v>6326</v>
      </c>
      <c r="J3864" s="5">
        <v>221</v>
      </c>
      <c r="K3864" s="5" t="s">
        <v>21</v>
      </c>
      <c r="L3864" s="5" t="s">
        <v>8895</v>
      </c>
      <c r="M3864" s="5">
        <v>54</v>
      </c>
      <c r="N3864" s="5" t="s">
        <v>34</v>
      </c>
      <c r="R3864" s="6"/>
      <c r="S3864" s="6"/>
      <c r="U3864" t="s">
        <v>321</v>
      </c>
    </row>
    <row r="3865" spans="1:21" x14ac:dyDescent="0.2">
      <c r="A3865" s="5">
        <v>85</v>
      </c>
      <c r="B3865" s="8" t="s">
        <v>8992</v>
      </c>
      <c r="C3865" s="34"/>
      <c r="H3865" s="8" t="s">
        <v>6326</v>
      </c>
      <c r="I3865" s="8" t="s">
        <v>6326</v>
      </c>
      <c r="J3865" s="5">
        <v>100</v>
      </c>
      <c r="K3865" s="5" t="s">
        <v>21</v>
      </c>
      <c r="L3865" s="5" t="s">
        <v>8895</v>
      </c>
      <c r="M3865" s="5">
        <v>55</v>
      </c>
      <c r="N3865" s="5" t="s">
        <v>34</v>
      </c>
      <c r="R3865" s="6"/>
      <c r="S3865" s="6"/>
      <c r="U3865" t="s">
        <v>321</v>
      </c>
    </row>
    <row r="3866" spans="1:21" x14ac:dyDescent="0.2">
      <c r="A3866" s="5">
        <v>86</v>
      </c>
      <c r="B3866" s="8" t="s">
        <v>8993</v>
      </c>
      <c r="C3866" s="34"/>
      <c r="H3866" s="8" t="s">
        <v>6326</v>
      </c>
      <c r="I3866" s="8" t="s">
        <v>6326</v>
      </c>
      <c r="J3866" s="5">
        <v>113</v>
      </c>
      <c r="K3866" s="5" t="s">
        <v>21</v>
      </c>
      <c r="L3866" s="5" t="s">
        <v>8895</v>
      </c>
      <c r="M3866" s="5">
        <v>56</v>
      </c>
      <c r="N3866" s="5" t="s">
        <v>34</v>
      </c>
      <c r="R3866" s="6"/>
      <c r="S3866" s="6"/>
      <c r="U3866" t="s">
        <v>321</v>
      </c>
    </row>
    <row r="3867" spans="1:21" x14ac:dyDescent="0.2">
      <c r="A3867" s="5">
        <v>87</v>
      </c>
      <c r="B3867" s="8" t="s">
        <v>8994</v>
      </c>
      <c r="C3867" s="34"/>
      <c r="H3867" s="8" t="s">
        <v>6326</v>
      </c>
      <c r="I3867" s="8" t="s">
        <v>6326</v>
      </c>
      <c r="J3867" s="5">
        <v>95</v>
      </c>
      <c r="K3867" s="5" t="s">
        <v>21</v>
      </c>
      <c r="L3867" s="5" t="s">
        <v>8895</v>
      </c>
      <c r="M3867" s="5">
        <v>57</v>
      </c>
      <c r="N3867" s="5" t="s">
        <v>34</v>
      </c>
      <c r="R3867" s="6"/>
      <c r="S3867" s="6"/>
      <c r="U3867" t="s">
        <v>321</v>
      </c>
    </row>
    <row r="3868" spans="1:21" x14ac:dyDescent="0.2">
      <c r="A3868" s="5">
        <v>88</v>
      </c>
      <c r="B3868" s="8" t="s">
        <v>8995</v>
      </c>
      <c r="C3868" s="34"/>
      <c r="H3868" s="8" t="s">
        <v>6326</v>
      </c>
      <c r="I3868" s="8" t="s">
        <v>6326</v>
      </c>
      <c r="J3868" s="5">
        <f>97</f>
        <v>97</v>
      </c>
      <c r="K3868" s="5" t="s">
        <v>21</v>
      </c>
      <c r="L3868" s="5" t="s">
        <v>8895</v>
      </c>
      <c r="M3868" s="5">
        <v>58</v>
      </c>
      <c r="N3868" s="5" t="s">
        <v>34</v>
      </c>
      <c r="R3868" s="6"/>
      <c r="S3868" s="6"/>
      <c r="U3868" t="s">
        <v>321</v>
      </c>
    </row>
    <row r="3869" spans="1:21" x14ac:dyDescent="0.2">
      <c r="A3869" s="5">
        <v>89</v>
      </c>
      <c r="B3869" s="8" t="s">
        <v>8996</v>
      </c>
      <c r="C3869" s="34"/>
      <c r="H3869" s="8" t="s">
        <v>6326</v>
      </c>
      <c r="I3869" s="8" t="s">
        <v>6326</v>
      </c>
      <c r="J3869" s="5">
        <f>97</f>
        <v>97</v>
      </c>
      <c r="K3869" s="5" t="s">
        <v>21</v>
      </c>
      <c r="L3869" s="5" t="s">
        <v>8895</v>
      </c>
      <c r="M3869" s="5">
        <v>59</v>
      </c>
      <c r="N3869" s="5" t="s">
        <v>34</v>
      </c>
      <c r="R3869" s="6"/>
      <c r="S3869" s="6"/>
      <c r="U3869" t="s">
        <v>321</v>
      </c>
    </row>
    <row r="3870" spans="1:21" x14ac:dyDescent="0.2">
      <c r="A3870" s="5">
        <v>90</v>
      </c>
      <c r="B3870" s="8" t="s">
        <v>8997</v>
      </c>
      <c r="C3870" s="34"/>
      <c r="H3870" s="8" t="s">
        <v>6326</v>
      </c>
      <c r="I3870" s="8" t="s">
        <v>6326</v>
      </c>
      <c r="J3870" s="5">
        <f>100</f>
        <v>100</v>
      </c>
      <c r="K3870" s="5" t="s">
        <v>21</v>
      </c>
      <c r="L3870" s="5" t="s">
        <v>8895</v>
      </c>
      <c r="M3870" s="5">
        <v>60</v>
      </c>
      <c r="N3870" s="5" t="s">
        <v>34</v>
      </c>
      <c r="R3870" s="6"/>
      <c r="S3870" s="6"/>
      <c r="U3870" t="s">
        <v>321</v>
      </c>
    </row>
    <row r="3871" spans="1:21" x14ac:dyDescent="0.2">
      <c r="A3871" s="5">
        <v>91</v>
      </c>
      <c r="B3871" s="8" t="s">
        <v>8998</v>
      </c>
      <c r="C3871" s="34"/>
      <c r="H3871" s="8" t="s">
        <v>6326</v>
      </c>
      <c r="I3871" s="8" t="s">
        <v>6326</v>
      </c>
      <c r="J3871" s="5">
        <f>99</f>
        <v>99</v>
      </c>
      <c r="K3871" s="5" t="s">
        <v>21</v>
      </c>
      <c r="L3871" s="5" t="s">
        <v>8895</v>
      </c>
      <c r="M3871" s="5">
        <v>61</v>
      </c>
      <c r="N3871" s="5" t="s">
        <v>34</v>
      </c>
      <c r="R3871" s="6"/>
      <c r="S3871" s="6"/>
      <c r="U3871" t="s">
        <v>321</v>
      </c>
    </row>
    <row r="3872" spans="1:21" x14ac:dyDescent="0.2">
      <c r="A3872" s="5">
        <v>92</v>
      </c>
      <c r="B3872" s="8" t="s">
        <v>8999</v>
      </c>
      <c r="C3872" s="34"/>
      <c r="H3872" s="8" t="s">
        <v>6326</v>
      </c>
      <c r="I3872" s="8" t="s">
        <v>6326</v>
      </c>
      <c r="J3872" s="5">
        <f>101</f>
        <v>101</v>
      </c>
      <c r="K3872" s="5" t="s">
        <v>21</v>
      </c>
      <c r="L3872" s="5" t="s">
        <v>8895</v>
      </c>
      <c r="M3872" s="5">
        <v>62</v>
      </c>
      <c r="N3872" s="5" t="s">
        <v>34</v>
      </c>
      <c r="R3872" s="6"/>
      <c r="S3872" s="6"/>
      <c r="U3872" t="s">
        <v>321</v>
      </c>
    </row>
    <row r="3873" spans="1:21" x14ac:dyDescent="0.2">
      <c r="A3873" s="5">
        <v>93</v>
      </c>
      <c r="B3873" s="8" t="s">
        <v>9000</v>
      </c>
      <c r="C3873" s="34"/>
      <c r="H3873" s="8" t="s">
        <v>6326</v>
      </c>
      <c r="I3873" s="8" t="s">
        <v>6326</v>
      </c>
      <c r="J3873" s="5">
        <f>98</f>
        <v>98</v>
      </c>
      <c r="K3873" s="5" t="s">
        <v>21</v>
      </c>
      <c r="L3873" s="5" t="s">
        <v>8895</v>
      </c>
      <c r="M3873" s="5">
        <v>63</v>
      </c>
      <c r="N3873" s="5" t="s">
        <v>34</v>
      </c>
      <c r="R3873" s="6"/>
      <c r="S3873" s="6"/>
      <c r="U3873" t="s">
        <v>321</v>
      </c>
    </row>
    <row r="3874" spans="1:21" x14ac:dyDescent="0.2">
      <c r="A3874" s="5">
        <v>94</v>
      </c>
      <c r="B3874" s="8" t="s">
        <v>9001</v>
      </c>
      <c r="C3874" s="34"/>
      <c r="H3874" s="8" t="s">
        <v>6326</v>
      </c>
      <c r="I3874" s="8" t="s">
        <v>6326</v>
      </c>
      <c r="J3874" s="5">
        <f>100</f>
        <v>100</v>
      </c>
      <c r="K3874" s="5" t="s">
        <v>21</v>
      </c>
      <c r="L3874" s="5" t="s">
        <v>8895</v>
      </c>
      <c r="M3874" s="5">
        <v>64</v>
      </c>
      <c r="N3874" s="5" t="s">
        <v>34</v>
      </c>
      <c r="R3874" s="6"/>
      <c r="S3874" s="6"/>
      <c r="U3874" t="s">
        <v>321</v>
      </c>
    </row>
    <row r="3875" spans="1:21" x14ac:dyDescent="0.2">
      <c r="A3875" s="5">
        <v>95</v>
      </c>
      <c r="B3875" s="8" t="s">
        <v>9002</v>
      </c>
      <c r="C3875" s="34"/>
      <c r="H3875" s="8" t="s">
        <v>6326</v>
      </c>
      <c r="I3875" s="8" t="s">
        <v>6326</v>
      </c>
      <c r="J3875" s="5">
        <f>180</f>
        <v>180</v>
      </c>
      <c r="K3875" s="5" t="s">
        <v>21</v>
      </c>
      <c r="L3875" s="5" t="s">
        <v>8895</v>
      </c>
      <c r="M3875" s="5">
        <v>67</v>
      </c>
      <c r="N3875" s="5" t="s">
        <v>34</v>
      </c>
      <c r="R3875" s="6"/>
      <c r="S3875" s="6"/>
      <c r="U3875" t="s">
        <v>321</v>
      </c>
    </row>
    <row r="3876" spans="1:21" x14ac:dyDescent="0.2">
      <c r="A3876" s="5">
        <v>96</v>
      </c>
      <c r="B3876" s="8" t="s">
        <v>9003</v>
      </c>
      <c r="C3876" s="34"/>
      <c r="H3876" s="8" t="s">
        <v>6326</v>
      </c>
      <c r="I3876" s="8" t="s">
        <v>6326</v>
      </c>
      <c r="J3876" s="5">
        <v>191</v>
      </c>
      <c r="K3876" s="5" t="s">
        <v>21</v>
      </c>
      <c r="L3876" s="5" t="s">
        <v>8895</v>
      </c>
      <c r="M3876" s="5">
        <v>69</v>
      </c>
      <c r="N3876" s="5" t="s">
        <v>34</v>
      </c>
      <c r="R3876" s="6"/>
      <c r="S3876" s="6"/>
      <c r="U3876" t="s">
        <v>321</v>
      </c>
    </row>
    <row r="3877" spans="1:21" x14ac:dyDescent="0.2">
      <c r="A3877" s="5">
        <v>97</v>
      </c>
      <c r="B3877" s="8" t="s">
        <v>9004</v>
      </c>
      <c r="C3877" s="34"/>
      <c r="H3877" s="8" t="s">
        <v>6326</v>
      </c>
      <c r="I3877" s="8" t="s">
        <v>6326</v>
      </c>
      <c r="J3877" s="5">
        <v>191</v>
      </c>
      <c r="K3877" s="5" t="s">
        <v>21</v>
      </c>
      <c r="L3877" s="5" t="s">
        <v>8895</v>
      </c>
      <c r="M3877" s="5">
        <v>70</v>
      </c>
      <c r="N3877" s="5" t="s">
        <v>34</v>
      </c>
      <c r="R3877" s="6"/>
      <c r="S3877" s="6"/>
      <c r="U3877" t="s">
        <v>321</v>
      </c>
    </row>
    <row r="3878" spans="1:21" x14ac:dyDescent="0.2">
      <c r="A3878" s="5">
        <v>98</v>
      </c>
      <c r="B3878" s="8" t="s">
        <v>9005</v>
      </c>
      <c r="C3878" s="34"/>
      <c r="H3878" s="8" t="s">
        <v>6326</v>
      </c>
      <c r="I3878" s="8" t="s">
        <v>6326</v>
      </c>
      <c r="J3878" s="5">
        <f>100</f>
        <v>100</v>
      </c>
      <c r="K3878" s="5" t="s">
        <v>21</v>
      </c>
      <c r="L3878" s="5" t="s">
        <v>8895</v>
      </c>
      <c r="M3878" s="5">
        <v>71</v>
      </c>
      <c r="N3878" s="5" t="s">
        <v>34</v>
      </c>
      <c r="R3878" s="6"/>
      <c r="S3878" s="6"/>
      <c r="U3878" t="s">
        <v>321</v>
      </c>
    </row>
    <row r="3879" spans="1:21" x14ac:dyDescent="0.2">
      <c r="A3879" s="5">
        <v>99</v>
      </c>
      <c r="B3879" s="8" t="s">
        <v>9006</v>
      </c>
      <c r="C3879" s="34"/>
      <c r="H3879" s="8" t="s">
        <v>6326</v>
      </c>
      <c r="I3879" s="8" t="s">
        <v>6326</v>
      </c>
      <c r="J3879" s="5">
        <f>100</f>
        <v>100</v>
      </c>
      <c r="K3879" s="5" t="s">
        <v>21</v>
      </c>
      <c r="L3879" s="5" t="s">
        <v>8895</v>
      </c>
      <c r="M3879" s="5">
        <v>72</v>
      </c>
      <c r="N3879" s="5" t="s">
        <v>34</v>
      </c>
      <c r="R3879" s="6"/>
      <c r="S3879" s="6"/>
      <c r="U3879" t="s">
        <v>321</v>
      </c>
    </row>
    <row r="3880" spans="1:21" x14ac:dyDescent="0.2">
      <c r="A3880" s="5">
        <v>100</v>
      </c>
      <c r="B3880" s="8" t="s">
        <v>9007</v>
      </c>
      <c r="C3880" s="34"/>
      <c r="H3880" s="8" t="s">
        <v>6326</v>
      </c>
      <c r="I3880" s="8" t="s">
        <v>6326</v>
      </c>
      <c r="J3880" s="5">
        <f>10</f>
        <v>10</v>
      </c>
      <c r="K3880" s="5" t="s">
        <v>21</v>
      </c>
      <c r="L3880" s="5" t="s">
        <v>8895</v>
      </c>
      <c r="M3880" s="5">
        <v>73</v>
      </c>
      <c r="N3880" s="5" t="s">
        <v>34</v>
      </c>
      <c r="R3880" s="6"/>
      <c r="S3880" s="6"/>
      <c r="U3880" t="s">
        <v>321</v>
      </c>
    </row>
    <row r="3881" spans="1:21" x14ac:dyDescent="0.2">
      <c r="A3881" s="5">
        <v>101</v>
      </c>
      <c r="B3881" s="8" t="s">
        <v>9008</v>
      </c>
      <c r="C3881" s="34"/>
      <c r="H3881" s="8" t="s">
        <v>6326</v>
      </c>
      <c r="I3881" s="8" t="s">
        <v>6326</v>
      </c>
      <c r="J3881" s="5">
        <f>75</f>
        <v>75</v>
      </c>
      <c r="K3881" s="5" t="s">
        <v>21</v>
      </c>
      <c r="L3881" s="5" t="s">
        <v>8895</v>
      </c>
      <c r="M3881" s="5">
        <v>74</v>
      </c>
      <c r="N3881" s="5" t="s">
        <v>34</v>
      </c>
      <c r="R3881" s="6"/>
      <c r="S3881" s="6"/>
      <c r="U3881" t="s">
        <v>321</v>
      </c>
    </row>
    <row r="3882" spans="1:21" x14ac:dyDescent="0.2">
      <c r="A3882" s="5">
        <v>102</v>
      </c>
      <c r="B3882" s="8" t="s">
        <v>9009</v>
      </c>
      <c r="C3882" s="34"/>
      <c r="H3882" s="8" t="s">
        <v>6326</v>
      </c>
      <c r="I3882" s="8" t="s">
        <v>6326</v>
      </c>
      <c r="J3882" s="5">
        <f>187</f>
        <v>187</v>
      </c>
      <c r="K3882" s="5" t="s">
        <v>21</v>
      </c>
      <c r="L3882" s="5" t="s">
        <v>8895</v>
      </c>
      <c r="M3882" s="5">
        <v>75</v>
      </c>
      <c r="N3882" s="5" t="s">
        <v>34</v>
      </c>
      <c r="R3882" s="6"/>
      <c r="S3882" s="6"/>
      <c r="U3882" t="s">
        <v>321</v>
      </c>
    </row>
    <row r="3883" spans="1:21" x14ac:dyDescent="0.2">
      <c r="A3883" s="5"/>
      <c r="B3883" s="155" t="s">
        <v>6424</v>
      </c>
      <c r="C3883" s="34"/>
      <c r="R3883" s="6"/>
      <c r="S3883" s="6"/>
    </row>
    <row r="3884" spans="1:21" x14ac:dyDescent="0.2">
      <c r="A3884" s="5">
        <v>1</v>
      </c>
      <c r="B3884" s="8" t="s">
        <v>9010</v>
      </c>
      <c r="H3884" s="8" t="s">
        <v>9011</v>
      </c>
      <c r="I3884" s="8" t="s">
        <v>9012</v>
      </c>
      <c r="J3884" s="5">
        <v>8</v>
      </c>
      <c r="K3884" s="5" t="s">
        <v>21</v>
      </c>
      <c r="L3884" s="5" t="s">
        <v>8895</v>
      </c>
      <c r="M3884" s="5">
        <v>78</v>
      </c>
      <c r="N3884" s="5" t="s">
        <v>81</v>
      </c>
    </row>
    <row r="3885" spans="1:21" x14ac:dyDescent="0.2">
      <c r="A3885" s="5">
        <v>2</v>
      </c>
      <c r="B3885" s="8" t="s">
        <v>9013</v>
      </c>
      <c r="H3885" s="8" t="s">
        <v>6453</v>
      </c>
      <c r="I3885" s="8" t="s">
        <v>9014</v>
      </c>
      <c r="J3885" s="5">
        <v>696</v>
      </c>
      <c r="K3885" s="5" t="s">
        <v>21</v>
      </c>
      <c r="L3885" s="5" t="s">
        <v>8895</v>
      </c>
      <c r="M3885" s="5">
        <v>78</v>
      </c>
      <c r="N3885" s="5" t="s">
        <v>81</v>
      </c>
    </row>
    <row r="3886" spans="1:21" x14ac:dyDescent="0.2">
      <c r="A3886" s="5">
        <v>3</v>
      </c>
      <c r="B3886" s="8" t="s">
        <v>9015</v>
      </c>
      <c r="H3886" s="8" t="s">
        <v>9016</v>
      </c>
      <c r="I3886" s="8" t="s">
        <v>9017</v>
      </c>
      <c r="J3886" s="5">
        <v>96</v>
      </c>
      <c r="K3886" s="5" t="s">
        <v>21</v>
      </c>
      <c r="L3886" s="5" t="s">
        <v>8895</v>
      </c>
      <c r="M3886" s="5">
        <v>78</v>
      </c>
      <c r="N3886" s="5" t="s">
        <v>81</v>
      </c>
      <c r="U3886" t="s">
        <v>321</v>
      </c>
    </row>
    <row r="3887" spans="1:21" x14ac:dyDescent="0.2">
      <c r="A3887" s="5">
        <v>4</v>
      </c>
      <c r="B3887" s="8" t="s">
        <v>9018</v>
      </c>
      <c r="H3887" s="8" t="s">
        <v>9019</v>
      </c>
      <c r="I3887" s="8" t="s">
        <v>9020</v>
      </c>
      <c r="J3887" s="5">
        <f>92-6-6-60-20+1207-16-16-6</f>
        <v>1169</v>
      </c>
      <c r="K3887" s="5" t="s">
        <v>21</v>
      </c>
      <c r="L3887" s="5" t="s">
        <v>8895</v>
      </c>
      <c r="M3887" s="5">
        <v>78</v>
      </c>
      <c r="N3887" s="5" t="s">
        <v>81</v>
      </c>
    </row>
    <row r="3888" spans="1:21" x14ac:dyDescent="0.2">
      <c r="A3888" s="5">
        <v>5</v>
      </c>
      <c r="B3888" s="8" t="s">
        <v>9021</v>
      </c>
      <c r="H3888" s="8" t="s">
        <v>9022</v>
      </c>
      <c r="I3888" s="8" t="s">
        <v>9023</v>
      </c>
      <c r="J3888" s="5">
        <f>29</f>
        <v>29</v>
      </c>
      <c r="K3888" s="5" t="s">
        <v>21</v>
      </c>
      <c r="L3888" s="5" t="s">
        <v>8895</v>
      </c>
      <c r="M3888" s="5">
        <v>78</v>
      </c>
      <c r="N3888" s="5" t="s">
        <v>81</v>
      </c>
      <c r="Q3888" s="107" t="s">
        <v>9024</v>
      </c>
    </row>
    <row r="3889" spans="1:21" x14ac:dyDescent="0.2">
      <c r="A3889" s="5">
        <v>6</v>
      </c>
      <c r="B3889" s="8" t="s">
        <v>9025</v>
      </c>
      <c r="H3889" s="8" t="s">
        <v>6468</v>
      </c>
      <c r="I3889" s="8" t="s">
        <v>9026</v>
      </c>
      <c r="J3889" s="5">
        <v>278</v>
      </c>
      <c r="K3889" s="5" t="s">
        <v>21</v>
      </c>
      <c r="L3889" s="5" t="s">
        <v>8895</v>
      </c>
      <c r="M3889" s="5">
        <v>78</v>
      </c>
      <c r="N3889" s="5" t="s">
        <v>81</v>
      </c>
    </row>
    <row r="3890" spans="1:21" x14ac:dyDescent="0.2">
      <c r="A3890" s="5">
        <v>7</v>
      </c>
      <c r="B3890" s="8" t="s">
        <v>9027</v>
      </c>
      <c r="H3890" s="8" t="s">
        <v>6470</v>
      </c>
      <c r="I3890" s="8" t="s">
        <v>9028</v>
      </c>
      <c r="J3890" s="5">
        <f>20-8+191-2-2-8</f>
        <v>191</v>
      </c>
      <c r="K3890" s="5" t="s">
        <v>21</v>
      </c>
      <c r="L3890" s="5" t="s">
        <v>8895</v>
      </c>
      <c r="M3890" s="5">
        <v>78</v>
      </c>
      <c r="N3890" s="5" t="s">
        <v>81</v>
      </c>
      <c r="Q3890" s="107" t="s">
        <v>6763</v>
      </c>
    </row>
    <row r="3891" spans="1:21" x14ac:dyDescent="0.2">
      <c r="A3891" s="5">
        <v>8</v>
      </c>
      <c r="B3891" s="8" t="s">
        <v>9029</v>
      </c>
      <c r="H3891" s="8" t="s">
        <v>6472</v>
      </c>
      <c r="I3891" s="8" t="s">
        <v>9030</v>
      </c>
      <c r="J3891" s="5">
        <f>47</f>
        <v>47</v>
      </c>
      <c r="K3891" s="5" t="s">
        <v>21</v>
      </c>
      <c r="L3891" s="5" t="s">
        <v>8895</v>
      </c>
      <c r="M3891" s="5">
        <v>78</v>
      </c>
      <c r="N3891" s="5" t="s">
        <v>81</v>
      </c>
      <c r="Q3891" s="107" t="s">
        <v>6329</v>
      </c>
    </row>
    <row r="3892" spans="1:21" x14ac:dyDescent="0.2">
      <c r="A3892" s="5">
        <v>9</v>
      </c>
      <c r="B3892" s="8" t="s">
        <v>9031</v>
      </c>
      <c r="H3892" s="8" t="s">
        <v>9032</v>
      </c>
      <c r="I3892" s="8" t="s">
        <v>9033</v>
      </c>
      <c r="J3892" s="5">
        <f>100-48-1</f>
        <v>51</v>
      </c>
      <c r="K3892" s="5" t="s">
        <v>21</v>
      </c>
      <c r="L3892" s="5" t="s">
        <v>8895</v>
      </c>
      <c r="M3892" s="5">
        <v>78</v>
      </c>
      <c r="N3892" s="5" t="s">
        <v>81</v>
      </c>
      <c r="Q3892" s="107" t="s">
        <v>9034</v>
      </c>
    </row>
    <row r="3893" spans="1:21" x14ac:dyDescent="0.2">
      <c r="A3893" s="5">
        <v>10</v>
      </c>
      <c r="B3893" s="8" t="s">
        <v>9035</v>
      </c>
      <c r="H3893" s="8" t="s">
        <v>6424</v>
      </c>
      <c r="I3893" s="8" t="s">
        <v>9036</v>
      </c>
      <c r="J3893" s="5">
        <f>293-4-2+160-40-2-2-4-2-2-4-2-2-4-2-2-80-2-2-42-40-60-60</f>
        <v>93</v>
      </c>
      <c r="K3893" s="5" t="s">
        <v>21</v>
      </c>
      <c r="L3893" s="5" t="s">
        <v>8895</v>
      </c>
      <c r="M3893" s="5">
        <v>78</v>
      </c>
      <c r="N3893" s="5" t="s">
        <v>81</v>
      </c>
      <c r="Q3893" s="107" t="s">
        <v>6783</v>
      </c>
    </row>
    <row r="3894" spans="1:21" x14ac:dyDescent="0.2">
      <c r="A3894" s="5">
        <v>11</v>
      </c>
      <c r="B3894" s="8" t="s">
        <v>9037</v>
      </c>
      <c r="H3894" s="8" t="s">
        <v>6424</v>
      </c>
      <c r="I3894" s="8" t="s">
        <v>9038</v>
      </c>
      <c r="J3894" s="5">
        <f>584+200-24-8-2-10-20+6-14</f>
        <v>712</v>
      </c>
      <c r="K3894" s="5" t="s">
        <v>21</v>
      </c>
      <c r="L3894" s="5" t="s">
        <v>8895</v>
      </c>
      <c r="M3894" s="5">
        <v>78</v>
      </c>
      <c r="N3894" s="5" t="s">
        <v>81</v>
      </c>
      <c r="U3894" t="s">
        <v>321</v>
      </c>
    </row>
    <row r="3895" spans="1:21" x14ac:dyDescent="0.2">
      <c r="A3895" s="5">
        <v>12</v>
      </c>
      <c r="B3895" s="8" t="s">
        <v>9039</v>
      </c>
      <c r="H3895" s="8" t="s">
        <v>6424</v>
      </c>
      <c r="I3895" s="8" t="s">
        <v>9040</v>
      </c>
      <c r="J3895" s="5">
        <f>419-2-40</f>
        <v>377</v>
      </c>
      <c r="K3895" s="5" t="s">
        <v>21</v>
      </c>
      <c r="L3895" s="5" t="s">
        <v>8895</v>
      </c>
      <c r="M3895" s="5">
        <v>78</v>
      </c>
      <c r="N3895" s="5" t="s">
        <v>81</v>
      </c>
      <c r="U3895" t="s">
        <v>321</v>
      </c>
    </row>
    <row r="3896" spans="1:21" x14ac:dyDescent="0.2">
      <c r="A3896" s="5">
        <v>13</v>
      </c>
      <c r="B3896" s="8" t="s">
        <v>9041</v>
      </c>
      <c r="H3896" s="8" t="s">
        <v>6424</v>
      </c>
      <c r="I3896" s="8" t="s">
        <v>9042</v>
      </c>
      <c r="J3896" s="5">
        <f>113+12</f>
        <v>125</v>
      </c>
      <c r="K3896" s="5" t="s">
        <v>21</v>
      </c>
      <c r="L3896" s="5" t="s">
        <v>8895</v>
      </c>
      <c r="M3896" s="5">
        <v>78</v>
      </c>
      <c r="N3896" s="5" t="s">
        <v>81</v>
      </c>
    </row>
    <row r="3897" spans="1:21" x14ac:dyDescent="0.2">
      <c r="A3897" s="5">
        <v>14</v>
      </c>
      <c r="B3897" s="8" t="s">
        <v>9043</v>
      </c>
      <c r="H3897" s="8" t="s">
        <v>6424</v>
      </c>
      <c r="I3897" s="8" t="s">
        <v>9044</v>
      </c>
      <c r="J3897" s="5">
        <f>48</f>
        <v>48</v>
      </c>
      <c r="K3897" s="5" t="s">
        <v>21</v>
      </c>
      <c r="L3897" s="5" t="s">
        <v>8895</v>
      </c>
      <c r="M3897" s="5">
        <v>78</v>
      </c>
      <c r="N3897" s="5" t="s">
        <v>81</v>
      </c>
      <c r="Q3897" s="107" t="s">
        <v>9045</v>
      </c>
    </row>
    <row r="3898" spans="1:21" x14ac:dyDescent="0.2">
      <c r="A3898" s="5">
        <v>15</v>
      </c>
      <c r="B3898" s="8" t="s">
        <v>9046</v>
      </c>
      <c r="H3898" s="8" t="s">
        <v>6477</v>
      </c>
      <c r="I3898" s="8" t="s">
        <v>9047</v>
      </c>
      <c r="J3898" s="5">
        <v>9</v>
      </c>
      <c r="K3898" s="5" t="s">
        <v>21</v>
      </c>
      <c r="L3898" s="5" t="s">
        <v>8895</v>
      </c>
      <c r="M3898" s="5">
        <v>78</v>
      </c>
      <c r="N3898" s="5" t="s">
        <v>81</v>
      </c>
      <c r="U3898" t="s">
        <v>321</v>
      </c>
    </row>
    <row r="3899" spans="1:21" x14ac:dyDescent="0.2">
      <c r="A3899" s="5">
        <v>16</v>
      </c>
      <c r="B3899" s="8" t="s">
        <v>9048</v>
      </c>
      <c r="H3899" s="8" t="s">
        <v>6482</v>
      </c>
      <c r="I3899" s="8" t="s">
        <v>9049</v>
      </c>
      <c r="J3899" s="5">
        <f>30-4+1+14+22</f>
        <v>63</v>
      </c>
      <c r="K3899" s="5" t="s">
        <v>21</v>
      </c>
      <c r="L3899" s="5" t="s">
        <v>8895</v>
      </c>
      <c r="M3899" s="5">
        <v>78</v>
      </c>
      <c r="N3899" s="5" t="s">
        <v>81</v>
      </c>
      <c r="Q3899" s="107" t="s">
        <v>6763</v>
      </c>
    </row>
    <row r="3900" spans="1:21" x14ac:dyDescent="0.2">
      <c r="A3900" s="5">
        <v>17</v>
      </c>
      <c r="B3900" s="8" t="s">
        <v>9050</v>
      </c>
      <c r="H3900" s="8" t="s">
        <v>6484</v>
      </c>
      <c r="I3900" s="8" t="s">
        <v>9051</v>
      </c>
      <c r="J3900" s="5">
        <f>259+19</f>
        <v>278</v>
      </c>
      <c r="K3900" s="5" t="s">
        <v>21</v>
      </c>
      <c r="L3900" s="5" t="s">
        <v>8895</v>
      </c>
      <c r="M3900" s="5">
        <v>78</v>
      </c>
      <c r="N3900" s="5" t="s">
        <v>81</v>
      </c>
      <c r="U3900" t="s">
        <v>321</v>
      </c>
    </row>
    <row r="3901" spans="1:21" x14ac:dyDescent="0.2">
      <c r="A3901" s="5">
        <v>1</v>
      </c>
      <c r="B3901" s="8" t="s">
        <v>9052</v>
      </c>
      <c r="H3901" s="8" t="s">
        <v>9053</v>
      </c>
      <c r="I3901" s="8" t="s">
        <v>9054</v>
      </c>
      <c r="J3901" s="5">
        <f>200-32-32-32-40-32+8-1-4-20</f>
        <v>15</v>
      </c>
      <c r="K3901" s="5" t="s">
        <v>21</v>
      </c>
      <c r="L3901" s="5" t="s">
        <v>8895</v>
      </c>
      <c r="M3901" s="5">
        <v>79</v>
      </c>
      <c r="N3901" s="5" t="s">
        <v>81</v>
      </c>
    </row>
    <row r="3902" spans="1:21" x14ac:dyDescent="0.2">
      <c r="A3902" s="5">
        <v>2</v>
      </c>
      <c r="B3902" s="8" t="s">
        <v>6626</v>
      </c>
      <c r="H3902" s="8" t="s">
        <v>9055</v>
      </c>
      <c r="I3902" s="8" t="s">
        <v>9056</v>
      </c>
      <c r="J3902" s="5">
        <f>76-36-32+150</f>
        <v>158</v>
      </c>
      <c r="K3902" s="5" t="s">
        <v>21</v>
      </c>
      <c r="L3902" s="5" t="s">
        <v>8895</v>
      </c>
      <c r="M3902" s="5">
        <v>79</v>
      </c>
      <c r="N3902" s="5" t="s">
        <v>81</v>
      </c>
    </row>
    <row r="3903" spans="1:21" x14ac:dyDescent="0.2">
      <c r="A3903" s="5">
        <v>3</v>
      </c>
      <c r="B3903" s="8" t="s">
        <v>6628</v>
      </c>
      <c r="H3903" s="8" t="s">
        <v>9057</v>
      </c>
      <c r="I3903" s="8" t="s">
        <v>9058</v>
      </c>
      <c r="J3903" s="5">
        <f>489-8-6-4+434-3-36-48-9-3-4-9+1-64-32-2-4-32-24-6-24-63-4-8-8+1-32-16-40-8-4-4-2-4-12-8-6+41-32-48-8-2-8-40-80-12-88-8-66-32+500-56-21-48-27-16-186-8-8-16-45-52+200-72-64</f>
        <v>86</v>
      </c>
      <c r="K3903" s="5" t="s">
        <v>21</v>
      </c>
      <c r="L3903" s="5" t="s">
        <v>8895</v>
      </c>
      <c r="M3903" s="5">
        <v>79</v>
      </c>
      <c r="N3903" s="5" t="s">
        <v>81</v>
      </c>
    </row>
    <row r="3904" spans="1:21" x14ac:dyDescent="0.2">
      <c r="A3904" s="5">
        <v>4</v>
      </c>
      <c r="B3904" s="8" t="s">
        <v>8912</v>
      </c>
      <c r="H3904" s="8" t="s">
        <v>9059</v>
      </c>
      <c r="I3904" s="8" t="s">
        <v>9060</v>
      </c>
      <c r="J3904" s="5">
        <f>198-2-4-24-20-16-2</f>
        <v>130</v>
      </c>
      <c r="K3904" s="5" t="s">
        <v>21</v>
      </c>
      <c r="L3904" s="5" t="s">
        <v>8895</v>
      </c>
      <c r="M3904" s="5">
        <v>79</v>
      </c>
      <c r="N3904" s="5" t="s">
        <v>81</v>
      </c>
    </row>
    <row r="3905" spans="1:21" x14ac:dyDescent="0.2">
      <c r="A3905" s="5"/>
      <c r="B3905" s="8" t="s">
        <v>6630</v>
      </c>
      <c r="H3905" s="8" t="s">
        <v>9061</v>
      </c>
      <c r="I3905" s="8" t="s">
        <v>9012</v>
      </c>
      <c r="J3905" s="5">
        <f>50</f>
        <v>50</v>
      </c>
      <c r="K3905" s="5" t="s">
        <v>21</v>
      </c>
      <c r="L3905" s="5" t="s">
        <v>8895</v>
      </c>
      <c r="M3905" s="5">
        <v>79</v>
      </c>
      <c r="N3905" s="5" t="s">
        <v>81</v>
      </c>
      <c r="Q3905" s="107" t="s">
        <v>6776</v>
      </c>
    </row>
    <row r="3906" spans="1:21" x14ac:dyDescent="0.2">
      <c r="A3906" s="5">
        <v>5</v>
      </c>
      <c r="B3906" s="8" t="s">
        <v>6632</v>
      </c>
      <c r="H3906" s="8" t="s">
        <v>9062</v>
      </c>
      <c r="I3906" s="8" t="s">
        <v>9063</v>
      </c>
      <c r="J3906" s="5">
        <f>380-1-12-30-1-1-1-4-16-1-4-8-48-1-24-24-2-6+50-32-4-48-8-16+34-8-4-4-2-48-32-48-12+48-48+500-42+8-8-10-8-12-12+8-48-6-32-12-14-16-2-1-80-8-44-44-16+256</f>
        <v>371</v>
      </c>
      <c r="K3906" s="5" t="s">
        <v>21</v>
      </c>
      <c r="L3906" s="5" t="s">
        <v>8895</v>
      </c>
      <c r="M3906" s="5">
        <v>79</v>
      </c>
      <c r="N3906" s="5" t="s">
        <v>81</v>
      </c>
    </row>
    <row r="3907" spans="1:21" x14ac:dyDescent="0.2">
      <c r="A3907" s="5">
        <v>6</v>
      </c>
      <c r="B3907" s="8" t="s">
        <v>9064</v>
      </c>
      <c r="H3907" s="8" t="s">
        <v>9065</v>
      </c>
      <c r="I3907" s="8" t="s">
        <v>9066</v>
      </c>
      <c r="J3907" s="5">
        <v>50</v>
      </c>
      <c r="K3907" s="5" t="s">
        <v>21</v>
      </c>
      <c r="L3907" s="5" t="s">
        <v>8895</v>
      </c>
      <c r="M3907" s="5">
        <v>79</v>
      </c>
      <c r="N3907" s="5" t="s">
        <v>81</v>
      </c>
      <c r="Q3907" s="5" t="s">
        <v>9067</v>
      </c>
    </row>
    <row r="3908" spans="1:21" x14ac:dyDescent="0.2">
      <c r="A3908" s="5">
        <v>1</v>
      </c>
      <c r="B3908" s="8" t="s">
        <v>8896</v>
      </c>
      <c r="H3908" s="8" t="s">
        <v>6492</v>
      </c>
      <c r="I3908" s="8" t="s">
        <v>9012</v>
      </c>
      <c r="J3908" s="5">
        <f>232-30</f>
        <v>202</v>
      </c>
      <c r="K3908" s="5" t="s">
        <v>21</v>
      </c>
      <c r="L3908" s="5" t="s">
        <v>8895</v>
      </c>
      <c r="M3908" s="5">
        <v>80</v>
      </c>
      <c r="N3908" s="5" t="s">
        <v>81</v>
      </c>
      <c r="U3908" t="s">
        <v>321</v>
      </c>
    </row>
    <row r="3909" spans="1:21" x14ac:dyDescent="0.2">
      <c r="A3909" s="5">
        <v>2</v>
      </c>
      <c r="B3909" s="8" t="s">
        <v>6707</v>
      </c>
      <c r="H3909" s="8" t="s">
        <v>9068</v>
      </c>
      <c r="I3909" s="8" t="s">
        <v>9014</v>
      </c>
      <c r="J3909" s="5">
        <f>430</f>
        <v>430</v>
      </c>
      <c r="K3909" s="5" t="s">
        <v>21</v>
      </c>
      <c r="L3909" s="5" t="s">
        <v>8895</v>
      </c>
      <c r="M3909" s="5">
        <v>80</v>
      </c>
      <c r="N3909" s="5" t="s">
        <v>81</v>
      </c>
    </row>
    <row r="3910" spans="1:21" x14ac:dyDescent="0.2">
      <c r="A3910" s="5">
        <v>3</v>
      </c>
      <c r="B3910" s="8" t="s">
        <v>6499</v>
      </c>
      <c r="H3910" s="8" t="s">
        <v>9069</v>
      </c>
      <c r="I3910" s="8" t="s">
        <v>9017</v>
      </c>
      <c r="J3910" s="5">
        <f>507-24+4-2-1-2-2-12-4-8-8-4-20-14</f>
        <v>410</v>
      </c>
      <c r="K3910" s="5" t="s">
        <v>21</v>
      </c>
      <c r="L3910" s="5" t="s">
        <v>8895</v>
      </c>
      <c r="M3910" s="5">
        <v>80</v>
      </c>
      <c r="N3910" s="5" t="s">
        <v>81</v>
      </c>
    </row>
    <row r="3911" spans="1:21" x14ac:dyDescent="0.2">
      <c r="A3911" s="5">
        <v>4</v>
      </c>
      <c r="B3911" s="8" t="s">
        <v>9070</v>
      </c>
      <c r="H3911" s="8" t="s">
        <v>6424</v>
      </c>
      <c r="I3911" s="8" t="s">
        <v>9071</v>
      </c>
      <c r="J3911" s="5">
        <f>2620-2-2+90-2-2-2-10-2-4-4-4-2-2-6-2-6-12-6-8-4-4-2-24-1-24-32-100-10-12-24-176-108-8-12-4-6-4-16-16-16-16-2-16</f>
        <v>1995</v>
      </c>
      <c r="K3911" s="5" t="s">
        <v>21</v>
      </c>
      <c r="L3911" s="5" t="s">
        <v>8895</v>
      </c>
      <c r="M3911" s="5">
        <v>80</v>
      </c>
      <c r="N3911" s="5" t="s">
        <v>81</v>
      </c>
    </row>
    <row r="3912" spans="1:21" x14ac:dyDescent="0.2">
      <c r="A3912" s="5">
        <v>5</v>
      </c>
      <c r="B3912" s="8" t="s">
        <v>6624</v>
      </c>
      <c r="H3912" s="8" t="s">
        <v>6424</v>
      </c>
      <c r="I3912" s="8" t="s">
        <v>9023</v>
      </c>
      <c r="J3912" s="5">
        <f>8598-2-16+115-4-4-2-4-2-2-120-6-4-1-40+303-12-16-12-6-72-524</f>
        <v>8167</v>
      </c>
      <c r="K3912" s="5" t="s">
        <v>21</v>
      </c>
      <c r="L3912" s="5" t="s">
        <v>8895</v>
      </c>
      <c r="M3912" s="5">
        <v>80</v>
      </c>
      <c r="N3912" s="5" t="s">
        <v>81</v>
      </c>
    </row>
    <row r="3913" spans="1:21" x14ac:dyDescent="0.2">
      <c r="A3913" s="5">
        <v>1</v>
      </c>
      <c r="B3913" s="8" t="s">
        <v>6552</v>
      </c>
      <c r="H3913" s="8" t="s">
        <v>6424</v>
      </c>
      <c r="I3913" s="8" t="s">
        <v>9026</v>
      </c>
      <c r="J3913" s="5">
        <f>4133-48-20-1-2+100-1-2+60-2-2-2-2-2-2-2-6-2-2-2-6-48-2-24-2-20-48-40</f>
        <v>4003</v>
      </c>
      <c r="K3913" s="5" t="s">
        <v>21</v>
      </c>
      <c r="L3913" s="5" t="s">
        <v>8895</v>
      </c>
      <c r="M3913" s="5">
        <v>81</v>
      </c>
      <c r="N3913" s="5" t="s">
        <v>81</v>
      </c>
    </row>
    <row r="3914" spans="1:21" x14ac:dyDescent="0.2">
      <c r="A3914" s="5">
        <v>2</v>
      </c>
      <c r="B3914" s="8" t="s">
        <v>9072</v>
      </c>
      <c r="H3914" s="8" t="s">
        <v>6424</v>
      </c>
      <c r="I3914" s="8" t="s">
        <v>9028</v>
      </c>
      <c r="J3914" s="5">
        <f>838-18-18-16</f>
        <v>786</v>
      </c>
      <c r="K3914" s="5" t="s">
        <v>21</v>
      </c>
      <c r="L3914" s="5" t="s">
        <v>8895</v>
      </c>
      <c r="M3914" s="5">
        <v>81</v>
      </c>
      <c r="N3914" s="5" t="s">
        <v>81</v>
      </c>
    </row>
    <row r="3915" spans="1:21" x14ac:dyDescent="0.2">
      <c r="A3915" s="5">
        <v>1</v>
      </c>
      <c r="B3915" s="8" t="s">
        <v>9073</v>
      </c>
      <c r="H3915" s="8" t="s">
        <v>6424</v>
      </c>
      <c r="I3915" s="8" t="s">
        <v>9030</v>
      </c>
      <c r="J3915" s="5">
        <f>3566+1-8-10-8-5</f>
        <v>3536</v>
      </c>
      <c r="K3915" s="5" t="s">
        <v>21</v>
      </c>
      <c r="L3915" s="5" t="s">
        <v>8895</v>
      </c>
      <c r="M3915" s="5">
        <v>82</v>
      </c>
      <c r="N3915" s="5" t="s">
        <v>81</v>
      </c>
    </row>
    <row r="3916" spans="1:21" x14ac:dyDescent="0.2">
      <c r="A3916" s="5">
        <v>2</v>
      </c>
      <c r="B3916" s="8" t="s">
        <v>9074</v>
      </c>
      <c r="H3916" s="8" t="s">
        <v>6424</v>
      </c>
      <c r="I3916" s="8" t="s">
        <v>9033</v>
      </c>
      <c r="J3916" s="5">
        <v>893</v>
      </c>
      <c r="K3916" s="5" t="s">
        <v>21</v>
      </c>
      <c r="L3916" s="5" t="s">
        <v>8895</v>
      </c>
      <c r="M3916" s="5">
        <v>82</v>
      </c>
      <c r="N3916" s="5" t="s">
        <v>81</v>
      </c>
    </row>
    <row r="3917" spans="1:21" x14ac:dyDescent="0.2">
      <c r="A3917" s="5">
        <v>3</v>
      </c>
      <c r="B3917" s="8" t="s">
        <v>9075</v>
      </c>
      <c r="H3917" s="8" t="s">
        <v>9076</v>
      </c>
      <c r="I3917" s="8" t="s">
        <v>9036</v>
      </c>
      <c r="J3917" s="5">
        <v>94</v>
      </c>
      <c r="K3917" s="5" t="s">
        <v>21</v>
      </c>
      <c r="L3917" s="5" t="s">
        <v>8895</v>
      </c>
      <c r="M3917" s="5">
        <v>82</v>
      </c>
      <c r="N3917" s="5" t="s">
        <v>81</v>
      </c>
    </row>
    <row r="3918" spans="1:21" x14ac:dyDescent="0.2">
      <c r="A3918" s="5">
        <v>4</v>
      </c>
      <c r="B3918" s="8" t="s">
        <v>9077</v>
      </c>
      <c r="H3918" s="8" t="s">
        <v>9078</v>
      </c>
      <c r="I3918" s="8" t="s">
        <v>9038</v>
      </c>
      <c r="J3918" s="5">
        <f>9</f>
        <v>9</v>
      </c>
      <c r="K3918" s="5" t="s">
        <v>21</v>
      </c>
      <c r="L3918" s="5" t="s">
        <v>8895</v>
      </c>
      <c r="M3918" s="5">
        <v>82</v>
      </c>
      <c r="N3918" s="5" t="s">
        <v>81</v>
      </c>
      <c r="Q3918" s="131" t="s">
        <v>8981</v>
      </c>
    </row>
    <row r="3919" spans="1:21" x14ac:dyDescent="0.2">
      <c r="A3919" s="5">
        <v>1</v>
      </c>
      <c r="B3919" s="8" t="s">
        <v>8922</v>
      </c>
      <c r="H3919" s="8" t="s">
        <v>6424</v>
      </c>
      <c r="I3919" s="8" t="s">
        <v>9012</v>
      </c>
      <c r="J3919" s="5">
        <f>3115-12-3-12-6-4-4-12-606</f>
        <v>2456</v>
      </c>
      <c r="K3919" s="5" t="s">
        <v>21</v>
      </c>
      <c r="L3919" s="5" t="s">
        <v>8895</v>
      </c>
      <c r="M3919" s="5">
        <v>83</v>
      </c>
      <c r="N3919" s="5" t="s">
        <v>81</v>
      </c>
    </row>
    <row r="3920" spans="1:21" x14ac:dyDescent="0.2">
      <c r="A3920" s="5">
        <v>2</v>
      </c>
      <c r="B3920" s="8" t="s">
        <v>6504</v>
      </c>
      <c r="H3920" s="8" t="s">
        <v>6424</v>
      </c>
      <c r="I3920" s="8" t="s">
        <v>9014</v>
      </c>
      <c r="J3920" s="5">
        <f>2902-4-48-12-64-1-32-5+1000-32+1000-96-48-33-64-28+52-32-27-8+8-16-16-88+51-2-88-1-12</f>
        <v>4256</v>
      </c>
      <c r="K3920" s="5" t="s">
        <v>21</v>
      </c>
      <c r="L3920" s="5" t="s">
        <v>8895</v>
      </c>
      <c r="M3920" s="5">
        <v>84</v>
      </c>
      <c r="N3920" s="5" t="s">
        <v>81</v>
      </c>
      <c r="Q3920" s="131" t="s">
        <v>6457</v>
      </c>
    </row>
    <row r="3921" spans="1:17" x14ac:dyDescent="0.2">
      <c r="A3921" s="5">
        <v>1</v>
      </c>
      <c r="B3921" s="8" t="s">
        <v>6679</v>
      </c>
      <c r="H3921" s="8" t="s">
        <v>6451</v>
      </c>
      <c r="I3921" s="8" t="s">
        <v>9012</v>
      </c>
      <c r="J3921" s="5">
        <f>95</f>
        <v>95</v>
      </c>
      <c r="K3921" s="5" t="s">
        <v>21</v>
      </c>
      <c r="L3921" s="5" t="s">
        <v>8895</v>
      </c>
      <c r="M3921" s="5">
        <v>85</v>
      </c>
      <c r="N3921" s="5" t="s">
        <v>81</v>
      </c>
    </row>
    <row r="3922" spans="1:17" x14ac:dyDescent="0.2">
      <c r="A3922" s="5">
        <v>2</v>
      </c>
      <c r="B3922" s="8" t="s">
        <v>6509</v>
      </c>
      <c r="H3922" s="8" t="s">
        <v>6424</v>
      </c>
      <c r="I3922" s="8" t="s">
        <v>9014</v>
      </c>
      <c r="J3922" s="5">
        <f>181+9-2-2</f>
        <v>186</v>
      </c>
      <c r="K3922" s="5" t="s">
        <v>21</v>
      </c>
      <c r="L3922" s="5" t="s">
        <v>8895</v>
      </c>
      <c r="M3922" s="5">
        <v>85</v>
      </c>
      <c r="N3922" s="5" t="s">
        <v>81</v>
      </c>
    </row>
    <row r="3923" spans="1:17" x14ac:dyDescent="0.2">
      <c r="A3923" s="5">
        <v>1</v>
      </c>
      <c r="B3923" s="8" t="s">
        <v>7903</v>
      </c>
      <c r="H3923" s="8" t="s">
        <v>6424</v>
      </c>
      <c r="I3923" s="8" t="s">
        <v>9017</v>
      </c>
      <c r="J3923" s="5">
        <f>168-8-8+18-16-4-2</f>
        <v>148</v>
      </c>
      <c r="K3923" s="5" t="s">
        <v>21</v>
      </c>
      <c r="L3923" s="5" t="s">
        <v>8895</v>
      </c>
      <c r="M3923" s="5">
        <v>85</v>
      </c>
      <c r="N3923" s="5" t="s">
        <v>81</v>
      </c>
    </row>
    <row r="3924" spans="1:17" x14ac:dyDescent="0.2">
      <c r="A3924" s="5">
        <v>2</v>
      </c>
      <c r="B3924" s="8" t="s">
        <v>8965</v>
      </c>
      <c r="H3924" s="8" t="s">
        <v>6424</v>
      </c>
      <c r="I3924" s="8" t="s">
        <v>9020</v>
      </c>
      <c r="J3924" s="5">
        <f>72+16-2-2-2-8-2-2-2-6-6-2-2-4-18-16</f>
        <v>14</v>
      </c>
      <c r="K3924" s="5" t="s">
        <v>21</v>
      </c>
      <c r="L3924" s="5" t="s">
        <v>8895</v>
      </c>
      <c r="M3924" s="5">
        <v>85</v>
      </c>
      <c r="N3924" s="5" t="s">
        <v>81</v>
      </c>
    </row>
    <row r="3925" spans="1:17" x14ac:dyDescent="0.2">
      <c r="A3925" s="5">
        <v>3</v>
      </c>
      <c r="B3925" s="8" t="s">
        <v>6513</v>
      </c>
      <c r="H3925" s="8" t="s">
        <v>6424</v>
      </c>
      <c r="I3925" s="8" t="s">
        <v>9023</v>
      </c>
      <c r="J3925" s="5">
        <f>440+100+4+26-10-2-27+19-108-11-8-23-10-10-10-55</f>
        <v>315</v>
      </c>
      <c r="K3925" s="5" t="s">
        <v>21</v>
      </c>
      <c r="L3925" s="5" t="s">
        <v>8895</v>
      </c>
      <c r="M3925" s="5">
        <v>85</v>
      </c>
      <c r="N3925" s="5" t="s">
        <v>81</v>
      </c>
    </row>
    <row r="3926" spans="1:17" x14ac:dyDescent="0.2">
      <c r="A3926" s="5">
        <v>4</v>
      </c>
      <c r="B3926" s="8" t="s">
        <v>6514</v>
      </c>
      <c r="H3926" s="8" t="s">
        <v>6453</v>
      </c>
      <c r="I3926" s="8" t="s">
        <v>9026</v>
      </c>
      <c r="J3926" s="5">
        <f>12+50-8-32-19+184</f>
        <v>187</v>
      </c>
      <c r="K3926" s="5" t="s">
        <v>21</v>
      </c>
      <c r="L3926" s="5" t="s">
        <v>8895</v>
      </c>
      <c r="M3926" s="5">
        <v>85</v>
      </c>
      <c r="N3926" s="5" t="s">
        <v>81</v>
      </c>
      <c r="Q3926" s="107" t="s">
        <v>6486</v>
      </c>
    </row>
    <row r="3927" spans="1:17" x14ac:dyDescent="0.2">
      <c r="A3927" s="5">
        <v>5</v>
      </c>
      <c r="B3927" s="8" t="s">
        <v>6517</v>
      </c>
      <c r="H3927" s="8" t="s">
        <v>6424</v>
      </c>
      <c r="I3927" s="8" t="s">
        <v>9028</v>
      </c>
      <c r="J3927" s="5">
        <f>243-2-16-2+7-5-10-2</f>
        <v>213</v>
      </c>
      <c r="K3927" s="5" t="s">
        <v>21</v>
      </c>
      <c r="L3927" s="5" t="s">
        <v>8895</v>
      </c>
      <c r="M3927" s="5">
        <v>85</v>
      </c>
      <c r="N3927" s="5" t="s">
        <v>81</v>
      </c>
    </row>
    <row r="3928" spans="1:17" x14ac:dyDescent="0.2">
      <c r="A3928" s="5">
        <v>1</v>
      </c>
      <c r="B3928" s="8" t="s">
        <v>8968</v>
      </c>
      <c r="H3928" s="8" t="s">
        <v>6424</v>
      </c>
      <c r="I3928" s="8" t="s">
        <v>9030</v>
      </c>
      <c r="J3928" s="5">
        <f>180-24-24-4-2</f>
        <v>126</v>
      </c>
      <c r="K3928" s="5" t="s">
        <v>21</v>
      </c>
      <c r="L3928" s="5" t="s">
        <v>8895</v>
      </c>
      <c r="M3928" s="5">
        <v>86</v>
      </c>
      <c r="N3928" s="5" t="s">
        <v>81</v>
      </c>
    </row>
    <row r="3929" spans="1:17" x14ac:dyDescent="0.2">
      <c r="A3929" s="5">
        <v>2</v>
      </c>
      <c r="B3929" s="8" t="s">
        <v>6829</v>
      </c>
      <c r="H3929" s="8" t="s">
        <v>6424</v>
      </c>
      <c r="I3929" s="8" t="s">
        <v>9033</v>
      </c>
      <c r="J3929" s="5">
        <f>124-24-24+2-3-3-3-2-6-50-4-7+50</f>
        <v>50</v>
      </c>
      <c r="K3929" s="5" t="s">
        <v>21</v>
      </c>
      <c r="L3929" s="5" t="s">
        <v>8895</v>
      </c>
      <c r="M3929" s="5">
        <v>86</v>
      </c>
      <c r="N3929" s="5" t="s">
        <v>81</v>
      </c>
    </row>
    <row r="3930" spans="1:17" x14ac:dyDescent="0.2">
      <c r="A3930" s="5">
        <v>3</v>
      </c>
      <c r="B3930" s="8" t="s">
        <v>6683</v>
      </c>
      <c r="H3930" s="8" t="s">
        <v>6424</v>
      </c>
      <c r="I3930" s="8" t="s">
        <v>9036</v>
      </c>
      <c r="J3930" s="5">
        <v>20</v>
      </c>
      <c r="K3930" s="5" t="s">
        <v>21</v>
      </c>
      <c r="L3930" s="5" t="s">
        <v>8895</v>
      </c>
      <c r="M3930" s="5">
        <v>86</v>
      </c>
      <c r="N3930" s="5" t="s">
        <v>81</v>
      </c>
      <c r="Q3930" s="33"/>
    </row>
    <row r="3931" spans="1:17" x14ac:dyDescent="0.2">
      <c r="A3931" s="5">
        <v>4</v>
      </c>
      <c r="B3931" s="8" t="s">
        <v>9079</v>
      </c>
      <c r="H3931" s="8" t="s">
        <v>6459</v>
      </c>
      <c r="I3931" s="8" t="s">
        <v>9038</v>
      </c>
      <c r="J3931" s="5">
        <f>4</f>
        <v>4</v>
      </c>
      <c r="K3931" s="5" t="s">
        <v>21</v>
      </c>
      <c r="L3931" s="5" t="s">
        <v>8895</v>
      </c>
      <c r="M3931" s="5">
        <v>86</v>
      </c>
      <c r="N3931" s="5" t="s">
        <v>81</v>
      </c>
      <c r="Q3931" s="107" t="s">
        <v>6486</v>
      </c>
    </row>
    <row r="3932" spans="1:17" x14ac:dyDescent="0.2">
      <c r="A3932" s="5">
        <v>5</v>
      </c>
      <c r="B3932" s="8" t="s">
        <v>6684</v>
      </c>
      <c r="H3932" s="8" t="s">
        <v>6461</v>
      </c>
      <c r="I3932" s="8" t="s">
        <v>9040</v>
      </c>
      <c r="J3932" s="5">
        <f>47-3-3-3-3-2</f>
        <v>33</v>
      </c>
      <c r="K3932" s="5" t="s">
        <v>21</v>
      </c>
      <c r="L3932" s="5" t="s">
        <v>8895</v>
      </c>
      <c r="M3932" s="5">
        <v>86</v>
      </c>
      <c r="N3932" s="5" t="s">
        <v>81</v>
      </c>
    </row>
    <row r="3933" spans="1:17" x14ac:dyDescent="0.2">
      <c r="A3933" s="5"/>
      <c r="B3933" s="8" t="s">
        <v>8974</v>
      </c>
      <c r="I3933" s="8" t="s">
        <v>6424</v>
      </c>
      <c r="J3933" s="5">
        <f>100-16-6</f>
        <v>78</v>
      </c>
      <c r="K3933" s="5" t="s">
        <v>21</v>
      </c>
      <c r="L3933" s="5" t="s">
        <v>8895</v>
      </c>
      <c r="M3933" s="5">
        <v>87</v>
      </c>
    </row>
    <row r="3934" spans="1:17" x14ac:dyDescent="0.2">
      <c r="A3934" s="5">
        <v>1</v>
      </c>
      <c r="B3934" s="8" t="s">
        <v>6523</v>
      </c>
      <c r="H3934" s="8" t="s">
        <v>9080</v>
      </c>
      <c r="I3934" s="8" t="s">
        <v>9012</v>
      </c>
      <c r="J3934" s="5">
        <f>10</f>
        <v>10</v>
      </c>
      <c r="K3934" s="5" t="s">
        <v>21</v>
      </c>
      <c r="L3934" s="5" t="s">
        <v>8895</v>
      </c>
      <c r="M3934" s="5">
        <v>87</v>
      </c>
      <c r="N3934" s="5" t="s">
        <v>81</v>
      </c>
    </row>
    <row r="3935" spans="1:17" x14ac:dyDescent="0.2">
      <c r="A3935" s="5">
        <v>2</v>
      </c>
      <c r="B3935" s="8" t="s">
        <v>6405</v>
      </c>
      <c r="H3935" s="8" t="s">
        <v>6424</v>
      </c>
      <c r="I3935" s="8" t="s">
        <v>9014</v>
      </c>
      <c r="J3935" s="5">
        <f>90+1+1-34-5</f>
        <v>53</v>
      </c>
      <c r="K3935" s="5" t="s">
        <v>21</v>
      </c>
      <c r="L3935" s="5" t="s">
        <v>8895</v>
      </c>
      <c r="M3935" s="5">
        <v>87</v>
      </c>
      <c r="N3935" s="5" t="s">
        <v>81</v>
      </c>
    </row>
    <row r="3936" spans="1:17" x14ac:dyDescent="0.2">
      <c r="A3936" s="5">
        <v>3</v>
      </c>
      <c r="B3936" s="8" t="s">
        <v>6407</v>
      </c>
      <c r="H3936" s="8" t="s">
        <v>6424</v>
      </c>
      <c r="I3936" s="8" t="s">
        <v>9017</v>
      </c>
      <c r="J3936" s="5">
        <f>108-9-9-2+5+500-207-207-69</f>
        <v>110</v>
      </c>
      <c r="K3936" s="5" t="s">
        <v>21</v>
      </c>
      <c r="L3936" s="5" t="s">
        <v>8895</v>
      </c>
      <c r="M3936" s="5">
        <v>87</v>
      </c>
      <c r="N3936" s="5" t="s">
        <v>81</v>
      </c>
    </row>
    <row r="3937" spans="1:21" x14ac:dyDescent="0.2">
      <c r="A3937" s="5">
        <v>1</v>
      </c>
      <c r="B3937" s="8" t="s">
        <v>6408</v>
      </c>
      <c r="H3937" s="8" t="s">
        <v>6424</v>
      </c>
      <c r="I3937" s="8" t="s">
        <v>9020</v>
      </c>
      <c r="J3937" s="5">
        <f>200-24+1-8-4</f>
        <v>165</v>
      </c>
      <c r="K3937" s="5" t="s">
        <v>21</v>
      </c>
      <c r="L3937" s="5" t="s">
        <v>8895</v>
      </c>
      <c r="M3937" s="5">
        <v>88</v>
      </c>
      <c r="N3937" s="5" t="s">
        <v>81</v>
      </c>
      <c r="Q3937" s="107" t="s">
        <v>6409</v>
      </c>
    </row>
    <row r="3938" spans="1:21" x14ac:dyDescent="0.2">
      <c r="A3938" s="5"/>
      <c r="B3938" s="8" t="s">
        <v>6408</v>
      </c>
      <c r="H3938" s="8" t="s">
        <v>6464</v>
      </c>
      <c r="I3938" s="8" t="s">
        <v>9023</v>
      </c>
      <c r="J3938" s="5">
        <v>7</v>
      </c>
      <c r="K3938" s="5" t="s">
        <v>21</v>
      </c>
      <c r="L3938" s="5" t="s">
        <v>8895</v>
      </c>
      <c r="M3938" s="5">
        <v>88</v>
      </c>
      <c r="N3938" s="5" t="s">
        <v>81</v>
      </c>
    </row>
    <row r="3939" spans="1:21" x14ac:dyDescent="0.2">
      <c r="A3939" s="5">
        <v>1</v>
      </c>
      <c r="B3939" s="8" t="s">
        <v>6413</v>
      </c>
      <c r="H3939" s="8" t="s">
        <v>6424</v>
      </c>
      <c r="I3939" s="8" t="s">
        <v>9026</v>
      </c>
      <c r="J3939" s="5">
        <v>128</v>
      </c>
      <c r="K3939" s="5" t="s">
        <v>21</v>
      </c>
      <c r="L3939" s="5" t="s">
        <v>8895</v>
      </c>
      <c r="M3939" s="5">
        <v>89</v>
      </c>
      <c r="N3939" s="5" t="s">
        <v>81</v>
      </c>
    </row>
    <row r="3940" spans="1:21" x14ac:dyDescent="0.2">
      <c r="A3940" s="5">
        <v>1</v>
      </c>
      <c r="B3940" s="8" t="s">
        <v>6524</v>
      </c>
      <c r="H3940" s="8" t="s">
        <v>6424</v>
      </c>
      <c r="I3940" s="8" t="s">
        <v>9012</v>
      </c>
      <c r="J3940" s="5">
        <f>50-3</f>
        <v>47</v>
      </c>
      <c r="K3940" s="5" t="s">
        <v>21</v>
      </c>
      <c r="L3940" s="5" t="s">
        <v>8895</v>
      </c>
      <c r="M3940" s="5">
        <v>90</v>
      </c>
      <c r="N3940" s="5" t="s">
        <v>81</v>
      </c>
      <c r="Q3940" s="107" t="s">
        <v>9081</v>
      </c>
    </row>
    <row r="3941" spans="1:21" x14ac:dyDescent="0.2">
      <c r="A3941" s="5">
        <v>2</v>
      </c>
      <c r="B3941" s="8" t="s">
        <v>9082</v>
      </c>
      <c r="H3941" s="8" t="s">
        <v>6424</v>
      </c>
      <c r="I3941" s="8" t="s">
        <v>9014</v>
      </c>
      <c r="J3941" s="5">
        <f>115+3</f>
        <v>118</v>
      </c>
      <c r="K3941" s="5" t="s">
        <v>21</v>
      </c>
      <c r="L3941" s="5" t="s">
        <v>8895</v>
      </c>
      <c r="M3941" s="5">
        <v>91</v>
      </c>
      <c r="N3941" s="5" t="s">
        <v>81</v>
      </c>
    </row>
    <row r="3942" spans="1:21" x14ac:dyDescent="0.2">
      <c r="A3942" s="5">
        <v>1</v>
      </c>
      <c r="B3942" s="8" t="s">
        <v>9083</v>
      </c>
      <c r="H3942" s="8" t="s">
        <v>6424</v>
      </c>
      <c r="I3942" s="8" t="s">
        <v>9017</v>
      </c>
      <c r="J3942" s="5">
        <f>43+1</f>
        <v>44</v>
      </c>
      <c r="K3942" s="5" t="s">
        <v>21</v>
      </c>
      <c r="L3942" s="5" t="s">
        <v>8895</v>
      </c>
      <c r="M3942" s="5">
        <v>92</v>
      </c>
      <c r="N3942" s="5" t="s">
        <v>81</v>
      </c>
    </row>
    <row r="3943" spans="1:21" x14ac:dyDescent="0.2">
      <c r="A3943" s="5">
        <v>1</v>
      </c>
      <c r="B3943" s="8" t="s">
        <v>9084</v>
      </c>
      <c r="H3943" s="8" t="s">
        <v>6424</v>
      </c>
      <c r="I3943" s="8" t="s">
        <v>9020</v>
      </c>
      <c r="J3943" s="5">
        <f>6</f>
        <v>6</v>
      </c>
      <c r="K3943" s="5" t="s">
        <v>21</v>
      </c>
      <c r="L3943" s="5" t="s">
        <v>8895</v>
      </c>
      <c r="M3943" s="5">
        <v>93</v>
      </c>
      <c r="N3943" s="5" t="s">
        <v>81</v>
      </c>
      <c r="Q3943" s="107" t="s">
        <v>9085</v>
      </c>
    </row>
    <row r="3944" spans="1:21" x14ac:dyDescent="0.2">
      <c r="A3944" s="5">
        <v>1</v>
      </c>
      <c r="B3944" s="8" t="s">
        <v>6781</v>
      </c>
      <c r="H3944" s="8" t="s">
        <v>6468</v>
      </c>
      <c r="I3944" s="8" t="s">
        <v>9012</v>
      </c>
      <c r="J3944" s="5">
        <f>16+12</f>
        <v>28</v>
      </c>
      <c r="K3944" s="5" t="s">
        <v>21</v>
      </c>
      <c r="L3944" s="5" t="s">
        <v>8895</v>
      </c>
      <c r="M3944" s="5">
        <v>94</v>
      </c>
      <c r="N3944" s="5" t="s">
        <v>81</v>
      </c>
    </row>
    <row r="3945" spans="1:21" x14ac:dyDescent="0.2">
      <c r="A3945" s="5">
        <v>1</v>
      </c>
      <c r="B3945" s="8" t="s">
        <v>9006</v>
      </c>
      <c r="H3945" s="8" t="s">
        <v>6424</v>
      </c>
      <c r="I3945" s="8" t="s">
        <v>9014</v>
      </c>
      <c r="J3945" s="5">
        <v>53</v>
      </c>
      <c r="K3945" s="5" t="s">
        <v>21</v>
      </c>
      <c r="L3945" s="5" t="s">
        <v>8895</v>
      </c>
      <c r="M3945" s="5">
        <v>95</v>
      </c>
      <c r="N3945" s="5" t="s">
        <v>81</v>
      </c>
    </row>
    <row r="3946" spans="1:21" x14ac:dyDescent="0.2">
      <c r="A3946" s="5">
        <v>1</v>
      </c>
      <c r="B3946" s="8" t="s">
        <v>7928</v>
      </c>
      <c r="H3946" s="8" t="s">
        <v>6424</v>
      </c>
      <c r="I3946" s="8" t="s">
        <v>9017</v>
      </c>
      <c r="J3946" s="5">
        <v>99</v>
      </c>
      <c r="K3946" s="5" t="s">
        <v>21</v>
      </c>
      <c r="L3946" s="5" t="s">
        <v>8895</v>
      </c>
      <c r="M3946" s="5">
        <v>96</v>
      </c>
      <c r="N3946" s="5" t="s">
        <v>81</v>
      </c>
      <c r="U3946" t="s">
        <v>321</v>
      </c>
    </row>
    <row r="3947" spans="1:21" x14ac:dyDescent="0.2">
      <c r="A3947" s="5"/>
      <c r="B3947" s="155" t="s">
        <v>9086</v>
      </c>
    </row>
    <row r="3948" spans="1:21" x14ac:dyDescent="0.2">
      <c r="A3948" s="152" t="s">
        <v>2668</v>
      </c>
      <c r="B3948" s="155"/>
    </row>
    <row r="3949" spans="1:21" x14ac:dyDescent="0.2">
      <c r="A3949" s="5">
        <v>1</v>
      </c>
      <c r="B3949" s="8" t="s">
        <v>6422</v>
      </c>
      <c r="H3949" s="8" t="s">
        <v>9086</v>
      </c>
      <c r="I3949" s="8" t="s">
        <v>9086</v>
      </c>
      <c r="J3949" s="5">
        <f>287-4-4-5-15-8+3-8+1</f>
        <v>247</v>
      </c>
      <c r="K3949" s="5" t="s">
        <v>21</v>
      </c>
      <c r="L3949" s="5" t="s">
        <v>8895</v>
      </c>
      <c r="M3949" s="5">
        <v>97</v>
      </c>
      <c r="N3949" s="5" t="s">
        <v>6401</v>
      </c>
      <c r="Q3949" s="5" t="s">
        <v>553</v>
      </c>
    </row>
    <row r="3950" spans="1:21" x14ac:dyDescent="0.2">
      <c r="A3950" s="5">
        <v>28</v>
      </c>
      <c r="B3950" s="8" t="s">
        <v>6724</v>
      </c>
      <c r="H3950" s="8" t="s">
        <v>9086</v>
      </c>
      <c r="I3950" s="8" t="s">
        <v>9086</v>
      </c>
      <c r="J3950" s="5">
        <f>165-2-8-4-16-8-8-2-2-8-8-8-12-8-4-58+500-8-16+4</f>
        <v>489</v>
      </c>
      <c r="K3950" s="5" t="s">
        <v>21</v>
      </c>
      <c r="L3950" s="5" t="s">
        <v>8895</v>
      </c>
      <c r="M3950" s="5">
        <v>97</v>
      </c>
      <c r="N3950" s="5" t="s">
        <v>6401</v>
      </c>
    </row>
    <row r="3951" spans="1:21" x14ac:dyDescent="0.2">
      <c r="A3951" s="5">
        <v>27</v>
      </c>
      <c r="B3951" s="8" t="s">
        <v>6427</v>
      </c>
      <c r="H3951" s="8" t="s">
        <v>9086</v>
      </c>
      <c r="I3951" s="8" t="s">
        <v>9086</v>
      </c>
      <c r="J3951" s="5">
        <f>315-6-96+3-192-9+488-128-192-48-64-12+1000-336-6-6-2-64-4+1000+1000-64-128+18-8-8+74-30-24-12-192-64+10-192-8-9-3-30-32-3-4-112-64-128-4-24-5-32-12-8-48+32-32-6-8-2-6+1+581-20-16-4-20-8+100-32-2-64-354-132-176-4-4-96+18-224-2+5-2-12-8-6-192-12-128-18-24+20-16-32-16-8+249-40-4-15-66-128-32-32-32-8-16-12-34-8-2-208-86-8-16+156-72-54-48</f>
        <v>50</v>
      </c>
      <c r="K3951" s="5" t="s">
        <v>21</v>
      </c>
      <c r="L3951" s="5" t="s">
        <v>8895</v>
      </c>
      <c r="M3951" s="5">
        <v>97</v>
      </c>
      <c r="N3951" s="5" t="s">
        <v>6401</v>
      </c>
      <c r="Q3951" s="107" t="s">
        <v>9087</v>
      </c>
    </row>
    <row r="3952" spans="1:21" x14ac:dyDescent="0.2">
      <c r="A3952" s="152" t="s">
        <v>6307</v>
      </c>
    </row>
    <row r="3953" spans="1:21" x14ac:dyDescent="0.2">
      <c r="A3953" s="5">
        <v>2</v>
      </c>
      <c r="B3953" s="8" t="s">
        <v>6630</v>
      </c>
      <c r="H3953" s="8" t="s">
        <v>9086</v>
      </c>
      <c r="I3953" s="8" t="s">
        <v>9086</v>
      </c>
      <c r="J3953" s="5">
        <f>866+13</f>
        <v>879</v>
      </c>
      <c r="K3953" s="5" t="s">
        <v>21</v>
      </c>
      <c r="L3953" s="5" t="s">
        <v>8895</v>
      </c>
      <c r="M3953" s="5">
        <v>100</v>
      </c>
      <c r="N3953" s="5" t="s">
        <v>6401</v>
      </c>
    </row>
    <row r="3954" spans="1:21" x14ac:dyDescent="0.2">
      <c r="A3954" s="5">
        <v>3</v>
      </c>
      <c r="B3954" s="8" t="s">
        <v>9088</v>
      </c>
      <c r="H3954" s="8" t="s">
        <v>9086</v>
      </c>
      <c r="I3954" s="8" t="s">
        <v>9086</v>
      </c>
      <c r="J3954" s="5">
        <f>316</f>
        <v>316</v>
      </c>
      <c r="K3954" s="5" t="s">
        <v>21</v>
      </c>
      <c r="L3954" s="5" t="s">
        <v>8895</v>
      </c>
      <c r="M3954" s="5">
        <v>100</v>
      </c>
      <c r="N3954" s="5" t="s">
        <v>6401</v>
      </c>
    </row>
    <row r="3955" spans="1:21" x14ac:dyDescent="0.2">
      <c r="A3955" s="5">
        <v>4</v>
      </c>
      <c r="B3955" s="8" t="s">
        <v>6626</v>
      </c>
      <c r="H3955" s="8" t="s">
        <v>9086</v>
      </c>
      <c r="I3955" s="8" t="s">
        <v>9086</v>
      </c>
      <c r="J3955" s="5">
        <f>185-12-54-96</f>
        <v>23</v>
      </c>
      <c r="K3955" s="5" t="s">
        <v>21</v>
      </c>
      <c r="L3955" s="5" t="s">
        <v>8895</v>
      </c>
      <c r="M3955" s="5">
        <v>101</v>
      </c>
      <c r="N3955" s="5" t="s">
        <v>6401</v>
      </c>
    </row>
    <row r="3956" spans="1:21" x14ac:dyDescent="0.2">
      <c r="A3956" s="5">
        <v>5</v>
      </c>
      <c r="B3956" s="8" t="s">
        <v>6628</v>
      </c>
      <c r="H3956" s="8" t="s">
        <v>9086</v>
      </c>
      <c r="I3956" s="8" t="s">
        <v>9086</v>
      </c>
      <c r="J3956" s="5">
        <f>463</f>
        <v>463</v>
      </c>
      <c r="K3956" s="5" t="s">
        <v>21</v>
      </c>
      <c r="L3956" s="5" t="s">
        <v>8895</v>
      </c>
      <c r="M3956" s="5">
        <v>101</v>
      </c>
      <c r="N3956" s="5" t="s">
        <v>6401</v>
      </c>
      <c r="U3956" t="s">
        <v>321</v>
      </c>
    </row>
    <row r="3957" spans="1:21" x14ac:dyDescent="0.2">
      <c r="A3957" s="5">
        <v>6</v>
      </c>
      <c r="B3957" s="8" t="s">
        <v>9089</v>
      </c>
      <c r="H3957" s="8" t="s">
        <v>9086</v>
      </c>
      <c r="I3957" s="8" t="s">
        <v>9086</v>
      </c>
      <c r="J3957" s="5">
        <f>398-90</f>
        <v>308</v>
      </c>
      <c r="K3957" s="5" t="s">
        <v>21</v>
      </c>
      <c r="L3957" s="5" t="s">
        <v>8895</v>
      </c>
      <c r="M3957" s="5">
        <v>102</v>
      </c>
      <c r="N3957" s="5" t="s">
        <v>6401</v>
      </c>
    </row>
    <row r="3958" spans="1:21" x14ac:dyDescent="0.2">
      <c r="A3958" s="5">
        <v>7</v>
      </c>
      <c r="B3958" s="8" t="s">
        <v>9090</v>
      </c>
      <c r="H3958" s="8" t="s">
        <v>9086</v>
      </c>
      <c r="I3958" s="8" t="s">
        <v>9086</v>
      </c>
      <c r="J3958" s="5">
        <f>2880-3</f>
        <v>2877</v>
      </c>
      <c r="K3958" s="5" t="s">
        <v>21</v>
      </c>
      <c r="L3958" s="5" t="s">
        <v>8895</v>
      </c>
      <c r="M3958" s="5">
        <v>102</v>
      </c>
      <c r="N3958" s="5" t="s">
        <v>6401</v>
      </c>
    </row>
    <row r="3959" spans="1:21" x14ac:dyDescent="0.2">
      <c r="A3959" s="5"/>
      <c r="B3959" s="8" t="s">
        <v>9091</v>
      </c>
      <c r="H3959" s="8" t="s">
        <v>9092</v>
      </c>
      <c r="I3959" s="8" t="s">
        <v>9092</v>
      </c>
      <c r="J3959" s="5">
        <f>200</f>
        <v>200</v>
      </c>
      <c r="K3959" s="5" t="s">
        <v>21</v>
      </c>
      <c r="L3959" s="5" t="s">
        <v>8895</v>
      </c>
      <c r="M3959" s="5">
        <v>104</v>
      </c>
      <c r="N3959" s="5" t="s">
        <v>6401</v>
      </c>
      <c r="Q3959" s="5" t="s">
        <v>9093</v>
      </c>
    </row>
    <row r="3960" spans="1:21" x14ac:dyDescent="0.2">
      <c r="A3960" s="5"/>
      <c r="B3960" s="8" t="s">
        <v>6624</v>
      </c>
      <c r="H3960" s="8" t="s">
        <v>9086</v>
      </c>
      <c r="I3960" s="8" t="s">
        <v>9086</v>
      </c>
      <c r="J3960" s="5">
        <f>200+10+44-32</f>
        <v>222</v>
      </c>
      <c r="K3960" s="5" t="s">
        <v>21</v>
      </c>
      <c r="L3960" s="5" t="s">
        <v>8895</v>
      </c>
      <c r="M3960" s="5">
        <v>105</v>
      </c>
      <c r="N3960" s="5" t="s">
        <v>6401</v>
      </c>
      <c r="Q3960" s="107" t="s">
        <v>9094</v>
      </c>
    </row>
    <row r="3961" spans="1:21" x14ac:dyDescent="0.2">
      <c r="A3961" s="5">
        <v>10</v>
      </c>
      <c r="B3961" s="8" t="s">
        <v>9095</v>
      </c>
      <c r="H3961" s="8" t="s">
        <v>9086</v>
      </c>
      <c r="I3961" s="8" t="s">
        <v>9086</v>
      </c>
      <c r="J3961" s="5">
        <f>81-4</f>
        <v>77</v>
      </c>
      <c r="K3961" s="5" t="s">
        <v>21</v>
      </c>
      <c r="L3961" s="5" t="s">
        <v>8895</v>
      </c>
      <c r="M3961" s="5">
        <v>106</v>
      </c>
      <c r="N3961" s="5" t="s">
        <v>6401</v>
      </c>
    </row>
    <row r="3962" spans="1:21" x14ac:dyDescent="0.2">
      <c r="A3962" s="5"/>
      <c r="B3962" s="8" t="s">
        <v>6622</v>
      </c>
      <c r="H3962" s="8" t="s">
        <v>9086</v>
      </c>
      <c r="I3962" s="8" t="s">
        <v>9086</v>
      </c>
      <c r="J3962" s="5">
        <f>200</f>
        <v>200</v>
      </c>
      <c r="K3962" s="5" t="s">
        <v>21</v>
      </c>
      <c r="L3962" s="5" t="s">
        <v>8895</v>
      </c>
      <c r="M3962" s="5">
        <v>106</v>
      </c>
      <c r="N3962" s="5" t="s">
        <v>6401</v>
      </c>
      <c r="Q3962" s="107" t="s">
        <v>9094</v>
      </c>
    </row>
    <row r="3963" spans="1:21" x14ac:dyDescent="0.2">
      <c r="A3963" s="5"/>
      <c r="B3963" s="8" t="s">
        <v>9096</v>
      </c>
      <c r="H3963" s="8" t="s">
        <v>9086</v>
      </c>
      <c r="I3963" s="8" t="s">
        <v>9086</v>
      </c>
      <c r="J3963" s="5">
        <v>0</v>
      </c>
      <c r="K3963" s="5" t="s">
        <v>21</v>
      </c>
      <c r="L3963" s="5" t="s">
        <v>8895</v>
      </c>
      <c r="M3963" s="5">
        <v>106</v>
      </c>
      <c r="N3963" s="5" t="s">
        <v>6401</v>
      </c>
    </row>
    <row r="3964" spans="1:21" x14ac:dyDescent="0.2">
      <c r="A3964" s="5">
        <v>11</v>
      </c>
      <c r="B3964" s="8" t="s">
        <v>9097</v>
      </c>
      <c r="H3964" s="8" t="s">
        <v>9086</v>
      </c>
      <c r="I3964" s="8" t="s">
        <v>9086</v>
      </c>
      <c r="J3964" s="5">
        <f>440-2-8-40-32</f>
        <v>358</v>
      </c>
      <c r="K3964" s="5" t="s">
        <v>21</v>
      </c>
      <c r="L3964" s="5" t="s">
        <v>8895</v>
      </c>
      <c r="M3964" s="5">
        <v>106</v>
      </c>
      <c r="N3964" s="5" t="s">
        <v>6401</v>
      </c>
      <c r="Q3964" s="107" t="s">
        <v>6409</v>
      </c>
    </row>
    <row r="3965" spans="1:21" x14ac:dyDescent="0.2">
      <c r="A3965" s="5">
        <v>12</v>
      </c>
      <c r="B3965" s="8" t="s">
        <v>9098</v>
      </c>
      <c r="H3965" s="8" t="s">
        <v>9086</v>
      </c>
      <c r="I3965" s="8" t="s">
        <v>9086</v>
      </c>
      <c r="J3965" s="5">
        <f>342+200+6-80-1+79-2</f>
        <v>544</v>
      </c>
      <c r="K3965" s="5" t="s">
        <v>21</v>
      </c>
      <c r="L3965" s="5" t="s">
        <v>8895</v>
      </c>
      <c r="M3965" s="5">
        <v>107</v>
      </c>
      <c r="N3965" s="5" t="s">
        <v>6401</v>
      </c>
    </row>
    <row r="3966" spans="1:21" x14ac:dyDescent="0.2">
      <c r="A3966" s="5">
        <v>13</v>
      </c>
      <c r="B3966" s="8" t="s">
        <v>8896</v>
      </c>
      <c r="H3966" s="8" t="s">
        <v>9086</v>
      </c>
      <c r="I3966" s="8" t="s">
        <v>9086</v>
      </c>
      <c r="J3966" s="5">
        <f>75+150-96-48-16-48-5+500-24-131-48-42-4+30-100</f>
        <v>193</v>
      </c>
      <c r="K3966" s="5" t="s">
        <v>21</v>
      </c>
      <c r="L3966" s="5" t="s">
        <v>8895</v>
      </c>
      <c r="M3966" s="5">
        <v>107</v>
      </c>
      <c r="N3966" s="5" t="s">
        <v>6401</v>
      </c>
      <c r="Q3966" s="107" t="s">
        <v>6457</v>
      </c>
    </row>
    <row r="3967" spans="1:21" x14ac:dyDescent="0.2">
      <c r="A3967" s="152" t="s">
        <v>2668</v>
      </c>
      <c r="Q3967" s="107"/>
    </row>
    <row r="3968" spans="1:21" x14ac:dyDescent="0.2">
      <c r="A3968" s="5">
        <v>22</v>
      </c>
      <c r="B3968" s="8" t="s">
        <v>9099</v>
      </c>
      <c r="H3968" s="8" t="s">
        <v>9086</v>
      </c>
      <c r="I3968" s="8" t="s">
        <v>9086</v>
      </c>
      <c r="J3968" s="5">
        <f>5312-4+300-4-21-48-16-24+29-24-2-1-2-16-2-4-4+4-6-10-4-4-33-24-6-4-6-8-16-16-24-2-4-16-8-4-4-2-2+8-70+8-8-16-22-4-36-18-16-32</f>
        <v>5064</v>
      </c>
      <c r="K3968" s="5" t="s">
        <v>21</v>
      </c>
      <c r="L3968" s="5" t="s">
        <v>8895</v>
      </c>
      <c r="M3968" s="5">
        <v>108</v>
      </c>
      <c r="N3968" s="5" t="s">
        <v>6401</v>
      </c>
    </row>
    <row r="3969" spans="1:21" x14ac:dyDescent="0.2">
      <c r="A3969" s="5">
        <v>23</v>
      </c>
      <c r="B3969" s="8" t="s">
        <v>8922</v>
      </c>
      <c r="H3969" s="8" t="s">
        <v>9086</v>
      </c>
      <c r="I3969" s="8" t="s">
        <v>9100</v>
      </c>
      <c r="J3969" s="5">
        <v>188</v>
      </c>
      <c r="K3969" s="5" t="s">
        <v>21</v>
      </c>
      <c r="L3969" s="5" t="s">
        <v>8895</v>
      </c>
      <c r="M3969" s="5">
        <v>108</v>
      </c>
      <c r="N3969" s="5" t="s">
        <v>6401</v>
      </c>
      <c r="Q3969" s="107" t="s">
        <v>6332</v>
      </c>
    </row>
    <row r="3970" spans="1:21" x14ac:dyDescent="0.2">
      <c r="A3970" s="5"/>
      <c r="B3970" s="8" t="s">
        <v>8922</v>
      </c>
      <c r="H3970" s="8" t="s">
        <v>9086</v>
      </c>
      <c r="I3970" s="8" t="s">
        <v>9092</v>
      </c>
      <c r="J3970" s="5">
        <f>60</f>
        <v>60</v>
      </c>
      <c r="K3970" s="5" t="s">
        <v>21</v>
      </c>
      <c r="L3970" s="5" t="s">
        <v>8895</v>
      </c>
      <c r="M3970" s="5">
        <v>108</v>
      </c>
      <c r="N3970" s="5" t="s">
        <v>6401</v>
      </c>
      <c r="Q3970" s="107" t="s">
        <v>9093</v>
      </c>
    </row>
    <row r="3971" spans="1:21" x14ac:dyDescent="0.2">
      <c r="A3971" s="5">
        <v>24</v>
      </c>
      <c r="B3971" s="8" t="s">
        <v>8924</v>
      </c>
      <c r="H3971" s="8" t="s">
        <v>9086</v>
      </c>
      <c r="I3971" s="8" t="s">
        <v>9086</v>
      </c>
      <c r="J3971" s="5">
        <f>1549-24-15-4-10-6-2-20-66-30</f>
        <v>1372</v>
      </c>
      <c r="K3971" s="5" t="s">
        <v>21</v>
      </c>
      <c r="L3971" s="5" t="s">
        <v>8895</v>
      </c>
      <c r="M3971" s="5">
        <v>108</v>
      </c>
      <c r="N3971" s="5" t="s">
        <v>6401</v>
      </c>
    </row>
    <row r="3972" spans="1:21" x14ac:dyDescent="0.2">
      <c r="A3972" s="5">
        <v>21</v>
      </c>
      <c r="B3972" s="8" t="s">
        <v>6436</v>
      </c>
      <c r="H3972" s="8" t="s">
        <v>9086</v>
      </c>
      <c r="I3972" s="8" t="s">
        <v>9086</v>
      </c>
      <c r="J3972" s="5">
        <f>1000-2</f>
        <v>998</v>
      </c>
      <c r="K3972" s="5" t="s">
        <v>21</v>
      </c>
      <c r="L3972" s="5" t="s">
        <v>8895</v>
      </c>
      <c r="M3972" s="5">
        <v>109</v>
      </c>
      <c r="N3972" s="5" t="s">
        <v>6401</v>
      </c>
      <c r="Q3972" s="107" t="s">
        <v>9101</v>
      </c>
    </row>
    <row r="3973" spans="1:21" x14ac:dyDescent="0.2">
      <c r="A3973" s="5">
        <v>26</v>
      </c>
      <c r="B3973" s="8" t="s">
        <v>6502</v>
      </c>
      <c r="H3973" s="8" t="s">
        <v>9086</v>
      </c>
      <c r="I3973" s="8" t="s">
        <v>9086</v>
      </c>
      <c r="J3973" s="5">
        <f>47-4-8-35</f>
        <v>0</v>
      </c>
      <c r="K3973" s="5" t="s">
        <v>21</v>
      </c>
      <c r="L3973" s="5" t="s">
        <v>8895</v>
      </c>
      <c r="M3973" s="5">
        <v>117</v>
      </c>
      <c r="N3973" s="5" t="s">
        <v>6401</v>
      </c>
      <c r="Q3973" s="107" t="s">
        <v>6712</v>
      </c>
    </row>
    <row r="3974" spans="1:21" x14ac:dyDescent="0.2">
      <c r="A3974" s="5"/>
      <c r="B3974" s="8" t="s">
        <v>9102</v>
      </c>
      <c r="H3974" s="8" t="s">
        <v>9086</v>
      </c>
      <c r="I3974" s="8" t="s">
        <v>9086</v>
      </c>
      <c r="J3974" s="5">
        <f>332-64-4-2-224-4-4-28-2+1014-4+47+5-8-12-20-4-1-4-6-16-4-17-8-4-8-22-45-16-42-10-128-36-36-32-32</f>
        <v>551</v>
      </c>
      <c r="K3974" s="5" t="s">
        <v>21</v>
      </c>
      <c r="L3974" s="5" t="s">
        <v>8895</v>
      </c>
      <c r="M3974" s="5">
        <v>97</v>
      </c>
      <c r="N3974" s="5" t="s">
        <v>6401</v>
      </c>
    </row>
    <row r="3975" spans="1:21" x14ac:dyDescent="0.2">
      <c r="A3975" s="5">
        <v>25</v>
      </c>
      <c r="B3975" s="8" t="s">
        <v>9103</v>
      </c>
      <c r="H3975" s="8" t="s">
        <v>9086</v>
      </c>
      <c r="I3975" s="8" t="s">
        <v>9086</v>
      </c>
      <c r="J3975" s="5">
        <f>110+386-105-1-128-33-8-3-72</f>
        <v>146</v>
      </c>
      <c r="K3975" s="5" t="s">
        <v>21</v>
      </c>
      <c r="L3975" s="5" t="s">
        <v>8895</v>
      </c>
      <c r="M3975" s="5">
        <v>117</v>
      </c>
      <c r="N3975" s="5" t="s">
        <v>6401</v>
      </c>
    </row>
    <row r="3976" spans="1:21" x14ac:dyDescent="0.2">
      <c r="A3976" s="5">
        <v>20</v>
      </c>
      <c r="B3976" s="8" t="s">
        <v>6438</v>
      </c>
      <c r="H3976" s="8" t="s">
        <v>9086</v>
      </c>
      <c r="I3976" s="8" t="s">
        <v>9086</v>
      </c>
      <c r="J3976" s="5">
        <f>300-1-24-34</f>
        <v>241</v>
      </c>
      <c r="K3976" s="5" t="s">
        <v>21</v>
      </c>
      <c r="L3976" s="5" t="s">
        <v>8895</v>
      </c>
      <c r="M3976" s="5">
        <v>120</v>
      </c>
      <c r="N3976" s="5" t="s">
        <v>6401</v>
      </c>
      <c r="Q3976" s="107" t="s">
        <v>9094</v>
      </c>
    </row>
    <row r="3977" spans="1:21" x14ac:dyDescent="0.2">
      <c r="A3977" s="5"/>
      <c r="B3977" s="8" t="s">
        <v>9104</v>
      </c>
      <c r="H3977" s="8" t="s">
        <v>9086</v>
      </c>
      <c r="I3977" s="8" t="s">
        <v>9086</v>
      </c>
      <c r="J3977" s="5">
        <v>0</v>
      </c>
      <c r="K3977" s="5" t="s">
        <v>21</v>
      </c>
      <c r="L3977" s="5" t="s">
        <v>8895</v>
      </c>
      <c r="M3977" s="5">
        <v>120</v>
      </c>
      <c r="N3977" s="5" t="s">
        <v>6401</v>
      </c>
    </row>
    <row r="3978" spans="1:21" x14ac:dyDescent="0.2">
      <c r="A3978" s="5">
        <v>19</v>
      </c>
      <c r="B3978" s="8" t="s">
        <v>9105</v>
      </c>
      <c r="H3978" s="8" t="s">
        <v>9086</v>
      </c>
      <c r="I3978" s="8" t="s">
        <v>9086</v>
      </c>
      <c r="J3978" s="5">
        <f>235</f>
        <v>235</v>
      </c>
      <c r="K3978" s="5" t="s">
        <v>21</v>
      </c>
      <c r="L3978" s="5" t="s">
        <v>8895</v>
      </c>
      <c r="M3978" s="5">
        <v>120</v>
      </c>
      <c r="N3978" s="5" t="s">
        <v>6401</v>
      </c>
    </row>
    <row r="3979" spans="1:21" x14ac:dyDescent="0.2">
      <c r="A3979" s="5">
        <v>18</v>
      </c>
      <c r="B3979" s="8" t="s">
        <v>9106</v>
      </c>
      <c r="H3979" s="8" t="s">
        <v>9086</v>
      </c>
      <c r="I3979" s="8" t="s">
        <v>9086</v>
      </c>
      <c r="J3979" s="5">
        <f>99</f>
        <v>99</v>
      </c>
      <c r="K3979" s="5" t="s">
        <v>21</v>
      </c>
      <c r="L3979" s="5" t="s">
        <v>8895</v>
      </c>
      <c r="M3979" s="5">
        <v>121</v>
      </c>
      <c r="N3979" s="5" t="s">
        <v>6401</v>
      </c>
    </row>
    <row r="3980" spans="1:21" x14ac:dyDescent="0.2">
      <c r="A3980" s="5">
        <v>17</v>
      </c>
      <c r="B3980" s="8" t="s">
        <v>9107</v>
      </c>
      <c r="H3980" s="8" t="s">
        <v>9086</v>
      </c>
      <c r="I3980" s="8" t="s">
        <v>9086</v>
      </c>
      <c r="J3980" s="5">
        <f>199</f>
        <v>199</v>
      </c>
      <c r="K3980" s="5" t="s">
        <v>21</v>
      </c>
      <c r="L3980" s="5" t="s">
        <v>8895</v>
      </c>
      <c r="M3980" s="5">
        <v>121</v>
      </c>
      <c r="N3980" s="5" t="s">
        <v>6401</v>
      </c>
    </row>
    <row r="3981" spans="1:21" x14ac:dyDescent="0.2">
      <c r="A3981" s="5">
        <v>16</v>
      </c>
      <c r="B3981" s="8" t="s">
        <v>9108</v>
      </c>
      <c r="H3981" s="8" t="s">
        <v>9086</v>
      </c>
      <c r="I3981" s="8" t="s">
        <v>9086</v>
      </c>
      <c r="J3981" s="5">
        <f>89-2</f>
        <v>87</v>
      </c>
      <c r="K3981" s="5" t="s">
        <v>21</v>
      </c>
      <c r="L3981" s="5" t="s">
        <v>8895</v>
      </c>
      <c r="M3981" s="5">
        <v>122</v>
      </c>
      <c r="N3981" s="5" t="s">
        <v>6401</v>
      </c>
    </row>
    <row r="3982" spans="1:21" x14ac:dyDescent="0.2">
      <c r="A3982" s="5">
        <v>15</v>
      </c>
      <c r="B3982" s="8" t="s">
        <v>9109</v>
      </c>
      <c r="H3982" s="8" t="s">
        <v>9086</v>
      </c>
      <c r="I3982" s="8" t="s">
        <v>9086</v>
      </c>
      <c r="J3982" s="5">
        <f>56</f>
        <v>56</v>
      </c>
      <c r="K3982" s="5" t="s">
        <v>21</v>
      </c>
      <c r="L3982" s="5" t="s">
        <v>8895</v>
      </c>
      <c r="M3982" s="5">
        <v>122</v>
      </c>
      <c r="N3982" s="5" t="s">
        <v>6401</v>
      </c>
    </row>
    <row r="3983" spans="1:21" x14ac:dyDescent="0.2">
      <c r="A3983" s="152" t="s">
        <v>6211</v>
      </c>
    </row>
    <row r="3984" spans="1:21" x14ac:dyDescent="0.2">
      <c r="A3984" s="5"/>
      <c r="B3984" s="8" t="s">
        <v>6668</v>
      </c>
      <c r="H3984" s="8" t="s">
        <v>9086</v>
      </c>
      <c r="I3984" s="8" t="s">
        <v>9086</v>
      </c>
      <c r="J3984" s="5">
        <v>0</v>
      </c>
      <c r="K3984" s="5" t="s">
        <v>21</v>
      </c>
      <c r="L3984" s="5" t="s">
        <v>8895</v>
      </c>
      <c r="M3984" s="5">
        <v>119</v>
      </c>
      <c r="N3984" s="5" t="s">
        <v>6401</v>
      </c>
      <c r="U3984" t="s">
        <v>321</v>
      </c>
    </row>
    <row r="3985" spans="1:21" x14ac:dyDescent="0.2">
      <c r="A3985" s="5">
        <v>29</v>
      </c>
      <c r="B3985" s="8" t="s">
        <v>6487</v>
      </c>
      <c r="H3985" s="8" t="s">
        <v>9086</v>
      </c>
      <c r="I3985" s="8" t="s">
        <v>9086</v>
      </c>
      <c r="J3985" s="5">
        <f>500-178+3+12-6-4-6-24-6-2-4-2-12-132-6-42-2-4-4-21</f>
        <v>60</v>
      </c>
      <c r="K3985" s="5" t="s">
        <v>21</v>
      </c>
      <c r="L3985" s="5" t="s">
        <v>8895</v>
      </c>
      <c r="M3985" s="5">
        <v>119</v>
      </c>
      <c r="N3985" s="5" t="s">
        <v>6401</v>
      </c>
      <c r="Q3985" s="107" t="s">
        <v>6409</v>
      </c>
    </row>
    <row r="3986" spans="1:21" x14ac:dyDescent="0.2">
      <c r="A3986" s="5"/>
      <c r="B3986" s="8" t="s">
        <v>6507</v>
      </c>
      <c r="H3986" s="8" t="s">
        <v>9086</v>
      </c>
      <c r="I3986" s="8" t="s">
        <v>9086</v>
      </c>
      <c r="J3986" s="5">
        <f>300-10-8-32</f>
        <v>250</v>
      </c>
      <c r="K3986" s="5" t="s">
        <v>21</v>
      </c>
      <c r="L3986" s="5" t="s">
        <v>8895</v>
      </c>
      <c r="M3986" s="5">
        <v>119</v>
      </c>
      <c r="N3986" s="5" t="s">
        <v>6401</v>
      </c>
      <c r="Q3986" s="107" t="s">
        <v>8923</v>
      </c>
    </row>
    <row r="3987" spans="1:21" x14ac:dyDescent="0.2">
      <c r="A3987" s="5">
        <v>30</v>
      </c>
      <c r="B3987" s="8" t="s">
        <v>9110</v>
      </c>
      <c r="H3987" s="8" t="s">
        <v>9086</v>
      </c>
      <c r="I3987" s="8" t="s">
        <v>9086</v>
      </c>
      <c r="J3987" s="5">
        <f>806+1-6-5-18-3-2-44-2-14-96-6-16-10-16-48-16-4-32-16-16-30-5</f>
        <v>402</v>
      </c>
      <c r="K3987" s="5" t="s">
        <v>21</v>
      </c>
      <c r="L3987" s="5" t="s">
        <v>8895</v>
      </c>
      <c r="M3987" s="5">
        <v>120</v>
      </c>
      <c r="N3987" s="5" t="s">
        <v>6401</v>
      </c>
    </row>
    <row r="3988" spans="1:21" x14ac:dyDescent="0.2">
      <c r="A3988" s="5">
        <v>31</v>
      </c>
      <c r="B3988" s="8" t="s">
        <v>8945</v>
      </c>
      <c r="H3988" s="8" t="s">
        <v>9086</v>
      </c>
      <c r="I3988" s="8" t="s">
        <v>9086</v>
      </c>
      <c r="J3988" s="5">
        <f>82-12-9-1</f>
        <v>60</v>
      </c>
      <c r="K3988" s="5" t="s">
        <v>21</v>
      </c>
      <c r="L3988" s="5" t="s">
        <v>8895</v>
      </c>
      <c r="M3988" s="5">
        <v>120</v>
      </c>
      <c r="N3988" s="5" t="s">
        <v>6401</v>
      </c>
    </row>
    <row r="3989" spans="1:21" x14ac:dyDescent="0.2">
      <c r="A3989" s="5">
        <v>32</v>
      </c>
      <c r="B3989" s="8" t="s">
        <v>6476</v>
      </c>
      <c r="H3989" s="8" t="s">
        <v>9086</v>
      </c>
      <c r="I3989" s="8" t="s">
        <v>9086</v>
      </c>
      <c r="J3989" s="5">
        <f>140-8+300-4-4</f>
        <v>424</v>
      </c>
      <c r="K3989" s="5" t="s">
        <v>21</v>
      </c>
      <c r="L3989" s="5" t="s">
        <v>8895</v>
      </c>
      <c r="M3989" s="5">
        <v>121</v>
      </c>
      <c r="N3989" s="5" t="s">
        <v>6401</v>
      </c>
      <c r="Q3989" s="5" t="s">
        <v>553</v>
      </c>
    </row>
    <row r="3990" spans="1:21" x14ac:dyDescent="0.2">
      <c r="A3990" s="5">
        <v>33</v>
      </c>
      <c r="B3990" s="8" t="s">
        <v>9111</v>
      </c>
      <c r="H3990" s="8" t="s">
        <v>9086</v>
      </c>
      <c r="I3990" s="8" t="s">
        <v>9086</v>
      </c>
      <c r="J3990" s="5">
        <f>45+96</f>
        <v>141</v>
      </c>
      <c r="K3990" s="5" t="s">
        <v>21</v>
      </c>
      <c r="L3990" s="5" t="s">
        <v>8895</v>
      </c>
      <c r="M3990" s="5">
        <v>121</v>
      </c>
      <c r="N3990" s="5" t="s">
        <v>6401</v>
      </c>
      <c r="Q3990" s="107" t="s">
        <v>553</v>
      </c>
    </row>
    <row r="3991" spans="1:21" x14ac:dyDescent="0.2">
      <c r="A3991" s="5">
        <v>8</v>
      </c>
      <c r="B3991" s="8" t="s">
        <v>6487</v>
      </c>
      <c r="H3991" s="8" t="s">
        <v>9086</v>
      </c>
      <c r="I3991" s="8" t="s">
        <v>9086</v>
      </c>
      <c r="J3991" s="5">
        <f>200</f>
        <v>200</v>
      </c>
      <c r="K3991" s="5" t="s">
        <v>21</v>
      </c>
      <c r="L3991" s="5" t="s">
        <v>8895</v>
      </c>
      <c r="M3991" s="5">
        <v>104</v>
      </c>
      <c r="N3991" s="5" t="s">
        <v>6401</v>
      </c>
    </row>
    <row r="3992" spans="1:21" x14ac:dyDescent="0.2">
      <c r="A3992" s="152" t="s">
        <v>6209</v>
      </c>
    </row>
    <row r="3993" spans="1:21" x14ac:dyDescent="0.2">
      <c r="A3993" s="5">
        <v>34</v>
      </c>
      <c r="B3993" s="8" t="s">
        <v>9112</v>
      </c>
      <c r="H3993" s="8" t="s">
        <v>9086</v>
      </c>
      <c r="I3993" s="8" t="s">
        <v>9086</v>
      </c>
      <c r="J3993" s="5">
        <f>61</f>
        <v>61</v>
      </c>
      <c r="K3993" s="5" t="s">
        <v>21</v>
      </c>
      <c r="L3993" s="5" t="s">
        <v>8895</v>
      </c>
      <c r="M3993" s="5">
        <v>123</v>
      </c>
      <c r="N3993" s="5" t="s">
        <v>6401</v>
      </c>
      <c r="Q3993" s="107"/>
    </row>
    <row r="3994" spans="1:21" x14ac:dyDescent="0.2">
      <c r="A3994" s="5">
        <v>35</v>
      </c>
      <c r="B3994" s="8" t="s">
        <v>9113</v>
      </c>
      <c r="H3994" s="8" t="s">
        <v>9086</v>
      </c>
      <c r="I3994" s="8" t="s">
        <v>9086</v>
      </c>
      <c r="J3994" s="5">
        <v>102</v>
      </c>
      <c r="K3994" s="5" t="s">
        <v>21</v>
      </c>
      <c r="L3994" s="5" t="s">
        <v>8895</v>
      </c>
      <c r="M3994" s="5">
        <v>123</v>
      </c>
      <c r="N3994" s="5" t="s">
        <v>6401</v>
      </c>
      <c r="Q3994" s="107"/>
      <c r="U3994" t="s">
        <v>321</v>
      </c>
    </row>
    <row r="3995" spans="1:21" x14ac:dyDescent="0.2">
      <c r="A3995" s="5">
        <v>36</v>
      </c>
      <c r="B3995" s="8" t="s">
        <v>7922</v>
      </c>
      <c r="H3995" s="8" t="s">
        <v>9086</v>
      </c>
      <c r="I3995" s="8" t="s">
        <v>9086</v>
      </c>
      <c r="J3995" s="5">
        <f>34-4</f>
        <v>30</v>
      </c>
      <c r="K3995" s="5" t="s">
        <v>21</v>
      </c>
      <c r="L3995" s="5" t="s">
        <v>8895</v>
      </c>
      <c r="M3995" s="5">
        <v>123</v>
      </c>
      <c r="N3995" s="5" t="s">
        <v>6401</v>
      </c>
      <c r="Q3995" s="107"/>
    </row>
    <row r="3996" spans="1:21" x14ac:dyDescent="0.2">
      <c r="A3996" s="5">
        <v>37</v>
      </c>
      <c r="B3996" s="8" t="s">
        <v>9114</v>
      </c>
      <c r="H3996" s="8" t="s">
        <v>9086</v>
      </c>
      <c r="I3996" s="8" t="s">
        <v>9086</v>
      </c>
      <c r="J3996" s="5">
        <f>96-8-32</f>
        <v>56</v>
      </c>
      <c r="K3996" s="5" t="s">
        <v>21</v>
      </c>
      <c r="L3996" s="5" t="s">
        <v>8895</v>
      </c>
      <c r="M3996" s="5">
        <v>123</v>
      </c>
      <c r="N3996" s="5" t="s">
        <v>6401</v>
      </c>
      <c r="Q3996" s="107"/>
    </row>
    <row r="3997" spans="1:21" x14ac:dyDescent="0.2">
      <c r="A3997" s="5"/>
      <c r="B3997" s="8" t="s">
        <v>6467</v>
      </c>
      <c r="H3997" s="8" t="s">
        <v>9086</v>
      </c>
      <c r="I3997" s="8" t="s">
        <v>9086</v>
      </c>
      <c r="J3997" s="5">
        <f>200</f>
        <v>200</v>
      </c>
      <c r="K3997" s="5" t="s">
        <v>21</v>
      </c>
      <c r="L3997" s="5" t="s">
        <v>8895</v>
      </c>
      <c r="M3997" s="5">
        <v>123</v>
      </c>
      <c r="N3997" s="5" t="s">
        <v>6401</v>
      </c>
      <c r="Q3997" s="107" t="s">
        <v>6406</v>
      </c>
    </row>
    <row r="3998" spans="1:21" x14ac:dyDescent="0.2">
      <c r="A3998" s="5"/>
      <c r="B3998" s="8" t="s">
        <v>9115</v>
      </c>
      <c r="H3998" s="8" t="s">
        <v>9086</v>
      </c>
      <c r="I3998" s="8" t="s">
        <v>9086</v>
      </c>
      <c r="J3998" s="5">
        <f>49-49</f>
        <v>0</v>
      </c>
      <c r="K3998" s="5" t="s">
        <v>21</v>
      </c>
      <c r="L3998" s="5" t="s">
        <v>8895</v>
      </c>
      <c r="M3998" s="5">
        <v>124</v>
      </c>
      <c r="N3998" s="5" t="s">
        <v>6401</v>
      </c>
      <c r="Q3998" s="107"/>
    </row>
    <row r="3999" spans="1:21" x14ac:dyDescent="0.2">
      <c r="A3999" s="5">
        <v>38</v>
      </c>
      <c r="B3999" s="8" t="s">
        <v>6659</v>
      </c>
      <c r="H3999" s="8" t="s">
        <v>9086</v>
      </c>
      <c r="I3999" s="8" t="s">
        <v>9086</v>
      </c>
      <c r="J3999" s="5">
        <f>200-15</f>
        <v>185</v>
      </c>
      <c r="K3999" s="5" t="s">
        <v>21</v>
      </c>
      <c r="L3999" s="5" t="s">
        <v>8895</v>
      </c>
      <c r="M3999" s="5">
        <v>124</v>
      </c>
      <c r="N3999" s="5" t="s">
        <v>6401</v>
      </c>
      <c r="Q3999" s="107" t="s">
        <v>6457</v>
      </c>
    </row>
    <row r="4000" spans="1:21" x14ac:dyDescent="0.2">
      <c r="A4000" s="5">
        <v>39</v>
      </c>
      <c r="B4000" s="8" t="s">
        <v>9116</v>
      </c>
      <c r="H4000" s="8" t="s">
        <v>9086</v>
      </c>
      <c r="I4000" s="8" t="s">
        <v>9086</v>
      </c>
      <c r="J4000" s="5">
        <f>262</f>
        <v>262</v>
      </c>
      <c r="K4000" s="5" t="s">
        <v>21</v>
      </c>
      <c r="L4000" s="5" t="s">
        <v>8895</v>
      </c>
      <c r="M4000" s="5">
        <v>124</v>
      </c>
      <c r="N4000" s="5" t="s">
        <v>6401</v>
      </c>
      <c r="Q4000" s="107"/>
    </row>
    <row r="4001" spans="1:21" x14ac:dyDescent="0.2">
      <c r="A4001" s="5">
        <v>40</v>
      </c>
      <c r="B4001" s="8" t="s">
        <v>9117</v>
      </c>
      <c r="H4001" s="8" t="s">
        <v>9086</v>
      </c>
      <c r="I4001" s="8" t="s">
        <v>9086</v>
      </c>
      <c r="J4001" s="5">
        <f>267-2-2-2-2-6</f>
        <v>253</v>
      </c>
      <c r="K4001" s="5" t="s">
        <v>21</v>
      </c>
      <c r="L4001" s="5" t="s">
        <v>8895</v>
      </c>
      <c r="M4001" s="5">
        <v>125</v>
      </c>
      <c r="N4001" s="5" t="s">
        <v>6401</v>
      </c>
      <c r="Q4001" s="107"/>
    </row>
    <row r="4002" spans="1:21" x14ac:dyDescent="0.2">
      <c r="A4002" s="5">
        <v>41</v>
      </c>
      <c r="B4002" s="8" t="s">
        <v>6656</v>
      </c>
      <c r="H4002" s="8" t="s">
        <v>9086</v>
      </c>
      <c r="I4002" s="8" t="s">
        <v>9086</v>
      </c>
      <c r="J4002" s="5">
        <f>100</f>
        <v>100</v>
      </c>
      <c r="K4002" s="5" t="s">
        <v>21</v>
      </c>
      <c r="L4002" s="5" t="s">
        <v>8895</v>
      </c>
      <c r="M4002" s="5">
        <v>126</v>
      </c>
      <c r="N4002" s="5" t="s">
        <v>6401</v>
      </c>
      <c r="Q4002" s="107" t="s">
        <v>6329</v>
      </c>
    </row>
    <row r="4003" spans="1:21" x14ac:dyDescent="0.2">
      <c r="A4003" s="5"/>
      <c r="B4003" s="8" t="s">
        <v>6656</v>
      </c>
      <c r="H4003" s="8" t="s">
        <v>9086</v>
      </c>
      <c r="I4003" s="8" t="s">
        <v>9092</v>
      </c>
      <c r="J4003" s="5">
        <f>138</f>
        <v>138</v>
      </c>
      <c r="K4003" s="5" t="s">
        <v>21</v>
      </c>
      <c r="L4003" s="5" t="s">
        <v>8895</v>
      </c>
      <c r="M4003" s="5">
        <v>126</v>
      </c>
      <c r="N4003" s="5" t="s">
        <v>6401</v>
      </c>
      <c r="Q4003" s="107"/>
    </row>
    <row r="4004" spans="1:21" x14ac:dyDescent="0.2">
      <c r="A4004" s="5">
        <v>42</v>
      </c>
      <c r="B4004" s="8" t="s">
        <v>9118</v>
      </c>
      <c r="H4004" s="8" t="s">
        <v>9086</v>
      </c>
      <c r="I4004" s="8" t="s">
        <v>9086</v>
      </c>
      <c r="J4004" s="5">
        <f>8255-48-4-4-20-4-4-16-4-1+81-4+24-20-36-36-32</f>
        <v>8127</v>
      </c>
      <c r="K4004" s="5" t="s">
        <v>21</v>
      </c>
      <c r="L4004" s="5" t="s">
        <v>8895</v>
      </c>
      <c r="M4004" s="5" t="s">
        <v>9119</v>
      </c>
      <c r="N4004" s="5" t="s">
        <v>6401</v>
      </c>
      <c r="Q4004" s="107"/>
    </row>
    <row r="4005" spans="1:21" x14ac:dyDescent="0.2">
      <c r="A4005" s="5">
        <v>43</v>
      </c>
      <c r="B4005" s="8" t="s">
        <v>6364</v>
      </c>
      <c r="H4005" s="8" t="s">
        <v>9086</v>
      </c>
      <c r="I4005" s="8" t="s">
        <v>9086</v>
      </c>
      <c r="J4005" s="5">
        <f>163-10-17+2-16-32-32-12-1-24-16-5</f>
        <v>0</v>
      </c>
      <c r="K4005" s="5" t="s">
        <v>21</v>
      </c>
      <c r="L4005" s="5" t="s">
        <v>8895</v>
      </c>
      <c r="M4005" s="5">
        <v>127</v>
      </c>
      <c r="N4005" s="5" t="s">
        <v>6401</v>
      </c>
      <c r="Q4005" s="5" t="s">
        <v>6332</v>
      </c>
    </row>
    <row r="4006" spans="1:21" x14ac:dyDescent="0.2">
      <c r="A4006" s="5"/>
      <c r="B4006" s="8" t="s">
        <v>6456</v>
      </c>
      <c r="H4006" s="8" t="s">
        <v>9086</v>
      </c>
      <c r="I4006" s="8" t="s">
        <v>9086</v>
      </c>
      <c r="J4006" s="5">
        <f>425-12-84-48-32-32-32-12-2-12-18-2-16-2-12-10-10-10-4-18-12-8-4-6-2-25+222+4-35-28-4</f>
        <v>159</v>
      </c>
      <c r="K4006" s="5" t="s">
        <v>21</v>
      </c>
      <c r="L4006" s="5" t="s">
        <v>8895</v>
      </c>
      <c r="M4006" s="5">
        <v>127</v>
      </c>
      <c r="N4006" s="5" t="s">
        <v>6401</v>
      </c>
      <c r="Q4006" s="107" t="s">
        <v>6409</v>
      </c>
    </row>
    <row r="4007" spans="1:21" x14ac:dyDescent="0.2">
      <c r="A4007" s="5">
        <v>44</v>
      </c>
      <c r="B4007" s="8" t="s">
        <v>6654</v>
      </c>
      <c r="H4007" s="8" t="s">
        <v>9086</v>
      </c>
      <c r="I4007" s="8" t="s">
        <v>9086</v>
      </c>
      <c r="J4007" s="5">
        <f>739</f>
        <v>739</v>
      </c>
      <c r="K4007" s="5" t="s">
        <v>21</v>
      </c>
      <c r="L4007" s="5" t="s">
        <v>8895</v>
      </c>
      <c r="M4007" s="5">
        <v>127</v>
      </c>
      <c r="N4007" s="5" t="s">
        <v>6401</v>
      </c>
    </row>
    <row r="4008" spans="1:21" x14ac:dyDescent="0.2">
      <c r="A4008" s="5"/>
      <c r="B4008" s="8" t="s">
        <v>6454</v>
      </c>
      <c r="H4008" s="8" t="s">
        <v>9086</v>
      </c>
      <c r="I4008" s="8" t="s">
        <v>9086</v>
      </c>
      <c r="J4008" s="5">
        <v>0</v>
      </c>
      <c r="K4008" s="5" t="s">
        <v>21</v>
      </c>
      <c r="L4008" s="5" t="s">
        <v>8895</v>
      </c>
      <c r="M4008" s="5">
        <v>127</v>
      </c>
      <c r="N4008" s="5" t="s">
        <v>6401</v>
      </c>
      <c r="Q4008" s="107" t="s">
        <v>6409</v>
      </c>
    </row>
    <row r="4009" spans="1:21" x14ac:dyDescent="0.2">
      <c r="A4009" s="5">
        <v>45</v>
      </c>
      <c r="B4009" s="8" t="s">
        <v>6652</v>
      </c>
      <c r="H4009" s="8" t="s">
        <v>9086</v>
      </c>
      <c r="I4009" s="8" t="s">
        <v>9086</v>
      </c>
      <c r="J4009" s="5">
        <f>2320-32+2-84+6-6-16-16-32-16-88-16-210+182-107-8-48-2-5-10</f>
        <v>1814</v>
      </c>
      <c r="K4009" s="5" t="s">
        <v>21</v>
      </c>
      <c r="L4009" s="5" t="s">
        <v>8895</v>
      </c>
      <c r="M4009" s="5">
        <v>128</v>
      </c>
      <c r="N4009" s="5" t="s">
        <v>6401</v>
      </c>
    </row>
    <row r="4010" spans="1:21" x14ac:dyDescent="0.2">
      <c r="A4010" s="5">
        <v>46</v>
      </c>
      <c r="B4010" s="8" t="s">
        <v>6564</v>
      </c>
      <c r="H4010" s="8" t="s">
        <v>9086</v>
      </c>
      <c r="I4010" s="8" t="s">
        <v>9086</v>
      </c>
      <c r="J4010" s="5">
        <f>239-4-4-2</f>
        <v>229</v>
      </c>
      <c r="K4010" s="5" t="s">
        <v>21</v>
      </c>
      <c r="L4010" s="5" t="s">
        <v>8895</v>
      </c>
      <c r="M4010" s="5">
        <v>128</v>
      </c>
      <c r="N4010" s="5" t="s">
        <v>6401</v>
      </c>
    </row>
    <row r="4011" spans="1:21" x14ac:dyDescent="0.2">
      <c r="A4011" s="5"/>
      <c r="B4011" s="8" t="s">
        <v>6647</v>
      </c>
      <c r="H4011" s="8" t="s">
        <v>9086</v>
      </c>
      <c r="I4011" s="8" t="s">
        <v>9086</v>
      </c>
      <c r="J4011" s="5">
        <f>81-2</f>
        <v>79</v>
      </c>
      <c r="K4011" s="5" t="s">
        <v>21</v>
      </c>
      <c r="L4011" s="5" t="s">
        <v>8895</v>
      </c>
      <c r="M4011" s="5">
        <v>129</v>
      </c>
      <c r="N4011" s="5" t="s">
        <v>6401</v>
      </c>
      <c r="U4011" t="s">
        <v>321</v>
      </c>
    </row>
    <row r="4012" spans="1:21" x14ac:dyDescent="0.2">
      <c r="A4012" s="152" t="s">
        <v>6212</v>
      </c>
    </row>
    <row r="4013" spans="1:21" x14ac:dyDescent="0.2">
      <c r="A4013" s="5">
        <v>47</v>
      </c>
      <c r="B4013" s="8" t="s">
        <v>9120</v>
      </c>
      <c r="H4013" s="8" t="s">
        <v>9086</v>
      </c>
      <c r="I4013" s="8" t="s">
        <v>9086</v>
      </c>
      <c r="J4013" s="5">
        <f>230+50-6-4-12</f>
        <v>258</v>
      </c>
      <c r="K4013" s="5" t="s">
        <v>21</v>
      </c>
      <c r="L4013" s="5" t="s">
        <v>8895</v>
      </c>
      <c r="M4013" s="5">
        <v>130</v>
      </c>
      <c r="N4013" s="5" t="s">
        <v>6401</v>
      </c>
    </row>
    <row r="4014" spans="1:21" x14ac:dyDescent="0.2">
      <c r="A4014" s="5"/>
      <c r="B4014" s="8" t="s">
        <v>6683</v>
      </c>
      <c r="H4014" s="8" t="s">
        <v>9086</v>
      </c>
      <c r="I4014" s="8" t="s">
        <v>9092</v>
      </c>
      <c r="J4014" s="5">
        <f>100</f>
        <v>100</v>
      </c>
      <c r="K4014" s="5" t="s">
        <v>21</v>
      </c>
      <c r="L4014" s="5" t="s">
        <v>8895</v>
      </c>
      <c r="M4014" s="5">
        <v>130</v>
      </c>
      <c r="N4014" s="5" t="s">
        <v>6401</v>
      </c>
      <c r="Q4014" s="5" t="s">
        <v>6210</v>
      </c>
    </row>
    <row r="4015" spans="1:21" x14ac:dyDescent="0.2">
      <c r="A4015" s="5">
        <v>48</v>
      </c>
      <c r="B4015" s="8" t="s">
        <v>6829</v>
      </c>
      <c r="H4015" s="8" t="s">
        <v>9086</v>
      </c>
      <c r="I4015" s="8" t="s">
        <v>9086</v>
      </c>
      <c r="J4015" s="5">
        <f>63-2</f>
        <v>61</v>
      </c>
      <c r="K4015" s="5" t="s">
        <v>21</v>
      </c>
      <c r="L4015" s="5" t="s">
        <v>8895</v>
      </c>
      <c r="M4015" s="5">
        <v>131</v>
      </c>
      <c r="N4015" s="5" t="s">
        <v>6401</v>
      </c>
      <c r="U4015" t="s">
        <v>321</v>
      </c>
    </row>
    <row r="4016" spans="1:21" x14ac:dyDescent="0.2">
      <c r="A4016" s="5">
        <v>49</v>
      </c>
      <c r="B4016" s="8" t="s">
        <v>8968</v>
      </c>
      <c r="H4016" s="8" t="s">
        <v>9086</v>
      </c>
      <c r="I4016" s="8" t="s">
        <v>9086</v>
      </c>
      <c r="J4016" s="5">
        <f>171</f>
        <v>171</v>
      </c>
      <c r="K4016" s="5" t="s">
        <v>21</v>
      </c>
      <c r="L4016" s="5" t="s">
        <v>8895</v>
      </c>
      <c r="M4016" s="5">
        <v>131</v>
      </c>
      <c r="N4016" s="5" t="s">
        <v>6401</v>
      </c>
    </row>
    <row r="4017" spans="1:21" x14ac:dyDescent="0.2">
      <c r="A4017" s="5">
        <v>50</v>
      </c>
      <c r="B4017" s="8" t="s">
        <v>9121</v>
      </c>
      <c r="H4017" s="8" t="s">
        <v>9086</v>
      </c>
      <c r="I4017" s="8" t="s">
        <v>9086</v>
      </c>
      <c r="J4017" s="5">
        <f>80-16-10</f>
        <v>54</v>
      </c>
      <c r="K4017" s="5" t="s">
        <v>21</v>
      </c>
      <c r="L4017" s="5" t="s">
        <v>8895</v>
      </c>
      <c r="M4017" s="5">
        <v>132</v>
      </c>
      <c r="N4017" s="5" t="s">
        <v>6401</v>
      </c>
    </row>
    <row r="4018" spans="1:21" x14ac:dyDescent="0.2">
      <c r="A4018" s="5">
        <v>51</v>
      </c>
      <c r="B4018" s="8" t="s">
        <v>8966</v>
      </c>
      <c r="H4018" s="8" t="s">
        <v>9086</v>
      </c>
      <c r="I4018" s="8" t="s">
        <v>9086</v>
      </c>
      <c r="J4018" s="5">
        <f>281-16-12-12-32-50-20-40-16-30+16</f>
        <v>69</v>
      </c>
      <c r="K4018" s="5" t="s">
        <v>21</v>
      </c>
      <c r="L4018" s="5" t="s">
        <v>8895</v>
      </c>
      <c r="M4018" s="5">
        <v>133</v>
      </c>
      <c r="N4018" s="5" t="s">
        <v>6401</v>
      </c>
    </row>
    <row r="4019" spans="1:21" x14ac:dyDescent="0.2">
      <c r="A4019" s="5"/>
      <c r="B4019" s="8" t="s">
        <v>6513</v>
      </c>
      <c r="H4019" s="8" t="s">
        <v>9086</v>
      </c>
      <c r="I4019" s="8" t="s">
        <v>9086</v>
      </c>
      <c r="J4019" s="5">
        <f>100-16+20-1-14-20-8-8-20-20-13</f>
        <v>0</v>
      </c>
      <c r="K4019" s="5" t="s">
        <v>21</v>
      </c>
      <c r="L4019" s="5" t="s">
        <v>8895</v>
      </c>
      <c r="M4019" s="5">
        <v>133</v>
      </c>
      <c r="N4019" s="5" t="s">
        <v>6401</v>
      </c>
      <c r="Q4019" s="5" t="s">
        <v>6406</v>
      </c>
    </row>
    <row r="4020" spans="1:21" x14ac:dyDescent="0.2">
      <c r="A4020" s="5">
        <v>52</v>
      </c>
      <c r="B4020" s="8" t="s">
        <v>8965</v>
      </c>
      <c r="H4020" s="8" t="s">
        <v>9086</v>
      </c>
      <c r="I4020" s="8" t="s">
        <v>9086</v>
      </c>
      <c r="J4020" s="5">
        <f>300-13</f>
        <v>287</v>
      </c>
      <c r="K4020" s="5" t="s">
        <v>21</v>
      </c>
      <c r="L4020" s="5" t="s">
        <v>8895</v>
      </c>
      <c r="M4020" s="5">
        <v>133</v>
      </c>
      <c r="N4020" s="5" t="s">
        <v>6401</v>
      </c>
    </row>
    <row r="4021" spans="1:21" x14ac:dyDescent="0.2">
      <c r="A4021" s="5">
        <v>53</v>
      </c>
      <c r="B4021" s="8" t="s">
        <v>8963</v>
      </c>
      <c r="H4021" s="8" t="s">
        <v>9086</v>
      </c>
      <c r="I4021" s="8" t="s">
        <v>9086</v>
      </c>
      <c r="J4021" s="5">
        <f>138-12-12-32-50-20+100-20-20-20-20-20</f>
        <v>12</v>
      </c>
      <c r="K4021" s="5" t="s">
        <v>21</v>
      </c>
      <c r="L4021" s="5" t="s">
        <v>8895</v>
      </c>
      <c r="M4021" s="5">
        <v>133</v>
      </c>
      <c r="N4021" s="5" t="s">
        <v>6401</v>
      </c>
    </row>
    <row r="4022" spans="1:21" x14ac:dyDescent="0.2">
      <c r="A4022" s="5">
        <v>54</v>
      </c>
      <c r="B4022" s="8" t="s">
        <v>9122</v>
      </c>
      <c r="H4022" s="8" t="s">
        <v>9086</v>
      </c>
      <c r="I4022" s="8" t="s">
        <v>9086</v>
      </c>
      <c r="J4022" s="5">
        <f>163-8</f>
        <v>155</v>
      </c>
      <c r="K4022" s="5" t="s">
        <v>21</v>
      </c>
      <c r="L4022" s="5" t="s">
        <v>8895</v>
      </c>
      <c r="M4022" s="5">
        <v>134</v>
      </c>
      <c r="N4022" s="5" t="s">
        <v>6401</v>
      </c>
    </row>
    <row r="4023" spans="1:21" x14ac:dyDescent="0.2">
      <c r="A4023" s="5">
        <v>55</v>
      </c>
      <c r="B4023" s="8" t="s">
        <v>9123</v>
      </c>
      <c r="H4023" s="8" t="s">
        <v>9086</v>
      </c>
      <c r="I4023" s="8" t="s">
        <v>9086</v>
      </c>
      <c r="J4023" s="5">
        <f>67</f>
        <v>67</v>
      </c>
      <c r="K4023" s="5" t="s">
        <v>21</v>
      </c>
      <c r="L4023" s="5" t="s">
        <v>8895</v>
      </c>
      <c r="M4023" s="5">
        <v>134</v>
      </c>
      <c r="N4023" s="5" t="s">
        <v>6401</v>
      </c>
    </row>
    <row r="4024" spans="1:21" x14ac:dyDescent="0.2">
      <c r="A4024" s="152" t="s">
        <v>6211</v>
      </c>
    </row>
    <row r="4025" spans="1:21" x14ac:dyDescent="0.2">
      <c r="A4025" s="5">
        <v>56</v>
      </c>
      <c r="B4025" s="8" t="s">
        <v>9124</v>
      </c>
      <c r="H4025" s="8" t="s">
        <v>9086</v>
      </c>
      <c r="I4025" s="8" t="s">
        <v>9086</v>
      </c>
      <c r="J4025" s="5">
        <f>35</f>
        <v>35</v>
      </c>
      <c r="K4025" s="5" t="s">
        <v>21</v>
      </c>
      <c r="L4025" s="5" t="s">
        <v>8895</v>
      </c>
      <c r="M4025" s="5">
        <v>138</v>
      </c>
      <c r="N4025" s="5" t="s">
        <v>6401</v>
      </c>
    </row>
    <row r="4026" spans="1:21" x14ac:dyDescent="0.2">
      <c r="A4026" s="5">
        <v>57</v>
      </c>
      <c r="B4026" s="8" t="s">
        <v>9125</v>
      </c>
      <c r="H4026" s="8" t="s">
        <v>9086</v>
      </c>
      <c r="I4026" s="8" t="s">
        <v>9086</v>
      </c>
      <c r="J4026" s="5">
        <f>478+531</f>
        <v>1009</v>
      </c>
      <c r="K4026" s="5" t="s">
        <v>21</v>
      </c>
      <c r="L4026" s="5" t="s">
        <v>8895</v>
      </c>
      <c r="M4026" s="5">
        <v>138</v>
      </c>
      <c r="N4026" s="5" t="s">
        <v>6401</v>
      </c>
    </row>
    <row r="4027" spans="1:21" x14ac:dyDescent="0.2">
      <c r="A4027" s="5">
        <v>58</v>
      </c>
      <c r="B4027" s="8" t="s">
        <v>9126</v>
      </c>
      <c r="H4027" s="8" t="s">
        <v>9086</v>
      </c>
      <c r="I4027" s="8" t="s">
        <v>9086</v>
      </c>
      <c r="J4027" s="5">
        <f>11-7</f>
        <v>4</v>
      </c>
      <c r="K4027" s="5" t="s">
        <v>21</v>
      </c>
      <c r="L4027" s="5" t="s">
        <v>8895</v>
      </c>
      <c r="M4027" s="5">
        <v>139</v>
      </c>
      <c r="N4027" s="5" t="s">
        <v>6401</v>
      </c>
    </row>
    <row r="4028" spans="1:21" x14ac:dyDescent="0.2">
      <c r="A4028" s="5">
        <v>59</v>
      </c>
      <c r="B4028" s="8" t="s">
        <v>8951</v>
      </c>
      <c r="H4028" s="8" t="s">
        <v>9086</v>
      </c>
      <c r="I4028" s="8" t="s">
        <v>9086</v>
      </c>
      <c r="J4028" s="5">
        <f>24</f>
        <v>24</v>
      </c>
      <c r="K4028" s="5" t="s">
        <v>21</v>
      </c>
      <c r="L4028" s="5" t="s">
        <v>8895</v>
      </c>
      <c r="M4028" s="5">
        <v>139</v>
      </c>
      <c r="N4028" s="5" t="s">
        <v>6401</v>
      </c>
      <c r="U4028" t="s">
        <v>321</v>
      </c>
    </row>
    <row r="4029" spans="1:21" x14ac:dyDescent="0.2">
      <c r="A4029" s="5"/>
      <c r="B4029" s="8" t="s">
        <v>9127</v>
      </c>
      <c r="H4029" s="8" t="s">
        <v>9086</v>
      </c>
      <c r="I4029" s="8" t="s">
        <v>9086</v>
      </c>
      <c r="J4029" s="5">
        <f>49-32-17</f>
        <v>0</v>
      </c>
      <c r="K4029" s="5" t="s">
        <v>21</v>
      </c>
      <c r="L4029" s="5" t="s">
        <v>8895</v>
      </c>
      <c r="M4029" s="5">
        <v>140</v>
      </c>
      <c r="N4029" s="5" t="s">
        <v>6401</v>
      </c>
    </row>
    <row r="4030" spans="1:21" x14ac:dyDescent="0.2">
      <c r="A4030" s="5">
        <v>60</v>
      </c>
      <c r="B4030" s="8" t="s">
        <v>6488</v>
      </c>
      <c r="H4030" s="8" t="s">
        <v>9086</v>
      </c>
      <c r="I4030" s="8" t="s">
        <v>9086</v>
      </c>
      <c r="J4030" s="5">
        <f>300-31-16-48</f>
        <v>205</v>
      </c>
      <c r="K4030" s="5" t="s">
        <v>21</v>
      </c>
      <c r="L4030" s="5" t="s">
        <v>8895</v>
      </c>
      <c r="M4030" s="5">
        <v>140</v>
      </c>
      <c r="N4030" s="5" t="s">
        <v>6401</v>
      </c>
      <c r="Q4030" s="107" t="s">
        <v>6409</v>
      </c>
    </row>
    <row r="4031" spans="1:21" x14ac:dyDescent="0.2">
      <c r="A4031" s="152" t="s">
        <v>6251</v>
      </c>
      <c r="Q4031" s="107"/>
    </row>
    <row r="4032" spans="1:21" x14ac:dyDescent="0.2">
      <c r="A4032" s="5">
        <v>61</v>
      </c>
      <c r="B4032" s="8" t="s">
        <v>6580</v>
      </c>
      <c r="H4032" s="8" t="s">
        <v>9086</v>
      </c>
      <c r="I4032" s="8" t="s">
        <v>9086</v>
      </c>
      <c r="J4032" s="5">
        <f>96</f>
        <v>96</v>
      </c>
      <c r="K4032" s="5" t="s">
        <v>21</v>
      </c>
      <c r="L4032" s="5" t="s">
        <v>8895</v>
      </c>
      <c r="M4032" s="5">
        <v>141</v>
      </c>
      <c r="N4032" s="5" t="s">
        <v>6401</v>
      </c>
    </row>
    <row r="4033" spans="1:21" x14ac:dyDescent="0.2">
      <c r="A4033" s="152" t="s">
        <v>6249</v>
      </c>
    </row>
    <row r="4034" spans="1:21" x14ac:dyDescent="0.2">
      <c r="A4034" s="5">
        <v>62</v>
      </c>
      <c r="B4034" s="8" t="s">
        <v>9128</v>
      </c>
      <c r="H4034" s="8" t="s">
        <v>9086</v>
      </c>
      <c r="I4034" s="8" t="s">
        <v>9086</v>
      </c>
      <c r="J4034" s="5">
        <f>4</f>
        <v>4</v>
      </c>
      <c r="K4034" s="5" t="s">
        <v>21</v>
      </c>
      <c r="L4034" s="5" t="s">
        <v>8895</v>
      </c>
      <c r="M4034" s="5">
        <v>143</v>
      </c>
      <c r="N4034" s="5" t="s">
        <v>6401</v>
      </c>
    </row>
    <row r="4035" spans="1:21" x14ac:dyDescent="0.2">
      <c r="A4035" s="5">
        <v>63</v>
      </c>
      <c r="B4035" s="8" t="s">
        <v>9129</v>
      </c>
      <c r="H4035" s="8" t="s">
        <v>9086</v>
      </c>
      <c r="I4035" s="8" t="s">
        <v>9086</v>
      </c>
      <c r="J4035" s="5">
        <f>94</f>
        <v>94</v>
      </c>
      <c r="K4035" s="5" t="s">
        <v>21</v>
      </c>
      <c r="L4035" s="5" t="s">
        <v>8895</v>
      </c>
      <c r="M4035" s="5">
        <v>144</v>
      </c>
      <c r="N4035" s="5" t="s">
        <v>6401</v>
      </c>
    </row>
    <row r="4036" spans="1:21" x14ac:dyDescent="0.2">
      <c r="A4036" s="5">
        <v>64</v>
      </c>
      <c r="B4036" s="8" t="s">
        <v>9130</v>
      </c>
      <c r="H4036" s="8" t="s">
        <v>9086</v>
      </c>
      <c r="I4036" s="8" t="s">
        <v>9086</v>
      </c>
      <c r="J4036" s="5">
        <f>55+2</f>
        <v>57</v>
      </c>
      <c r="K4036" s="5" t="s">
        <v>21</v>
      </c>
      <c r="L4036" s="5" t="s">
        <v>8895</v>
      </c>
      <c r="M4036" s="5">
        <v>145</v>
      </c>
      <c r="N4036" s="5" t="s">
        <v>6401</v>
      </c>
    </row>
    <row r="4037" spans="1:21" x14ac:dyDescent="0.2">
      <c r="A4037" s="5">
        <v>65</v>
      </c>
      <c r="B4037" s="8" t="s">
        <v>9131</v>
      </c>
      <c r="H4037" s="8" t="s">
        <v>9086</v>
      </c>
      <c r="I4037" s="8" t="s">
        <v>9086</v>
      </c>
      <c r="J4037" s="5">
        <f>103</f>
        <v>103</v>
      </c>
      <c r="K4037" s="5" t="s">
        <v>21</v>
      </c>
      <c r="L4037" s="5" t="s">
        <v>8895</v>
      </c>
      <c r="M4037" s="5">
        <v>145</v>
      </c>
      <c r="N4037" s="5" t="s">
        <v>6401</v>
      </c>
    </row>
    <row r="4038" spans="1:21" x14ac:dyDescent="0.2">
      <c r="A4038" s="5">
        <v>66</v>
      </c>
      <c r="B4038" s="8" t="s">
        <v>9132</v>
      </c>
      <c r="H4038" s="8" t="s">
        <v>9086</v>
      </c>
      <c r="I4038" s="8" t="s">
        <v>9086</v>
      </c>
      <c r="J4038" s="5">
        <f>195</f>
        <v>195</v>
      </c>
      <c r="K4038" s="5" t="s">
        <v>21</v>
      </c>
      <c r="L4038" s="5" t="s">
        <v>8895</v>
      </c>
      <c r="M4038" s="5">
        <v>146</v>
      </c>
      <c r="N4038" s="5" t="s">
        <v>6401</v>
      </c>
    </row>
    <row r="4039" spans="1:21" x14ac:dyDescent="0.2">
      <c r="A4039" s="5">
        <v>67</v>
      </c>
      <c r="B4039" s="8" t="s">
        <v>7915</v>
      </c>
      <c r="H4039" s="8" t="s">
        <v>9086</v>
      </c>
      <c r="I4039" s="8" t="s">
        <v>9086</v>
      </c>
      <c r="J4039" s="5">
        <f>217+8-20</f>
        <v>205</v>
      </c>
      <c r="K4039" s="5" t="s">
        <v>21</v>
      </c>
      <c r="L4039" s="5" t="s">
        <v>8895</v>
      </c>
      <c r="M4039" s="5">
        <v>146</v>
      </c>
      <c r="N4039" s="5" t="s">
        <v>6401</v>
      </c>
    </row>
    <row r="4040" spans="1:21" x14ac:dyDescent="0.2">
      <c r="A4040" s="5">
        <v>68</v>
      </c>
      <c r="B4040" s="8" t="s">
        <v>9133</v>
      </c>
      <c r="H4040" s="8" t="s">
        <v>9086</v>
      </c>
      <c r="I4040" s="8" t="s">
        <v>9086</v>
      </c>
      <c r="J4040" s="5">
        <f>101</f>
        <v>101</v>
      </c>
      <c r="K4040" s="5" t="s">
        <v>21</v>
      </c>
      <c r="L4040" s="5" t="s">
        <v>8895</v>
      </c>
      <c r="M4040" s="5">
        <v>147</v>
      </c>
      <c r="N4040" s="5" t="s">
        <v>6401</v>
      </c>
    </row>
    <row r="4041" spans="1:21" x14ac:dyDescent="0.2">
      <c r="A4041" s="5">
        <v>69</v>
      </c>
      <c r="B4041" s="8" t="s">
        <v>9134</v>
      </c>
      <c r="H4041" s="8" t="s">
        <v>9086</v>
      </c>
      <c r="I4041" s="8" t="s">
        <v>9086</v>
      </c>
      <c r="J4041" s="5">
        <f>162</f>
        <v>162</v>
      </c>
      <c r="K4041" s="5" t="s">
        <v>21</v>
      </c>
      <c r="L4041" s="5" t="s">
        <v>8895</v>
      </c>
      <c r="M4041" s="5">
        <v>148</v>
      </c>
      <c r="N4041" s="5" t="s">
        <v>6401</v>
      </c>
      <c r="U4041" t="s">
        <v>321</v>
      </c>
    </row>
    <row r="4042" spans="1:21" x14ac:dyDescent="0.2">
      <c r="A4042" s="5">
        <v>70</v>
      </c>
      <c r="B4042" s="8" t="s">
        <v>9135</v>
      </c>
      <c r="H4042" s="8" t="s">
        <v>9086</v>
      </c>
      <c r="I4042" s="8" t="s">
        <v>9086</v>
      </c>
      <c r="J4042" s="5">
        <f>49</f>
        <v>49</v>
      </c>
      <c r="K4042" s="5" t="s">
        <v>21</v>
      </c>
      <c r="L4042" s="5" t="s">
        <v>8895</v>
      </c>
      <c r="M4042" s="5">
        <v>148</v>
      </c>
      <c r="N4042" s="5" t="s">
        <v>6401</v>
      </c>
    </row>
    <row r="4043" spans="1:21" x14ac:dyDescent="0.2">
      <c r="A4043" s="5">
        <v>71</v>
      </c>
      <c r="B4043" s="8" t="s">
        <v>9136</v>
      </c>
      <c r="H4043" s="8" t="s">
        <v>9086</v>
      </c>
      <c r="I4043" s="8" t="s">
        <v>9086</v>
      </c>
      <c r="J4043" s="5">
        <f>224</f>
        <v>224</v>
      </c>
      <c r="K4043" s="5" t="s">
        <v>21</v>
      </c>
      <c r="L4043" s="5" t="s">
        <v>8895</v>
      </c>
      <c r="M4043" s="5">
        <v>148</v>
      </c>
      <c r="N4043" s="5" t="s">
        <v>6401</v>
      </c>
      <c r="U4043" t="s">
        <v>321</v>
      </c>
    </row>
    <row r="4044" spans="1:21" x14ac:dyDescent="0.2">
      <c r="A4044" s="5">
        <v>72</v>
      </c>
      <c r="B4044" s="8" t="s">
        <v>6398</v>
      </c>
      <c r="H4044" s="8" t="s">
        <v>9086</v>
      </c>
      <c r="I4044" s="8" t="s">
        <v>9086</v>
      </c>
      <c r="J4044" s="5">
        <f>98</f>
        <v>98</v>
      </c>
      <c r="K4044" s="5" t="s">
        <v>21</v>
      </c>
      <c r="L4044" s="5" t="s">
        <v>8895</v>
      </c>
      <c r="M4044" s="5">
        <v>149</v>
      </c>
      <c r="N4044" s="5" t="s">
        <v>6401</v>
      </c>
      <c r="U4044" t="s">
        <v>321</v>
      </c>
    </row>
    <row r="4045" spans="1:21" x14ac:dyDescent="0.2">
      <c r="A4045" s="152" t="s">
        <v>6212</v>
      </c>
    </row>
    <row r="4046" spans="1:21" x14ac:dyDescent="0.2">
      <c r="A4046" s="5">
        <v>73</v>
      </c>
      <c r="B4046" s="8" t="s">
        <v>9137</v>
      </c>
      <c r="H4046" s="8" t="s">
        <v>9086</v>
      </c>
      <c r="I4046" s="8" t="s">
        <v>9086</v>
      </c>
      <c r="J4046" s="5">
        <f>4+11</f>
        <v>15</v>
      </c>
      <c r="K4046" s="5" t="s">
        <v>21</v>
      </c>
      <c r="L4046" s="5" t="s">
        <v>8895</v>
      </c>
      <c r="M4046" s="5">
        <v>149</v>
      </c>
      <c r="N4046" s="5" t="s">
        <v>6401</v>
      </c>
    </row>
    <row r="4047" spans="1:21" x14ac:dyDescent="0.2">
      <c r="A4047" s="152" t="s">
        <v>6253</v>
      </c>
    </row>
    <row r="4048" spans="1:21" x14ac:dyDescent="0.2">
      <c r="A4048" s="5">
        <v>74</v>
      </c>
      <c r="B4048" s="8" t="s">
        <v>9007</v>
      </c>
      <c r="H4048" s="8" t="s">
        <v>9086</v>
      </c>
      <c r="I4048" s="8" t="s">
        <v>9086</v>
      </c>
      <c r="J4048" s="5">
        <f>53</f>
        <v>53</v>
      </c>
      <c r="K4048" s="5" t="s">
        <v>21</v>
      </c>
      <c r="L4048" s="5" t="s">
        <v>8895</v>
      </c>
      <c r="M4048" s="5">
        <v>152</v>
      </c>
      <c r="N4048" s="5" t="s">
        <v>6401</v>
      </c>
    </row>
    <row r="4049" spans="1:14" x14ac:dyDescent="0.2">
      <c r="A4049" s="5">
        <v>75</v>
      </c>
      <c r="B4049" s="8" t="s">
        <v>9138</v>
      </c>
      <c r="H4049" s="8" t="s">
        <v>9086</v>
      </c>
      <c r="I4049" s="8" t="s">
        <v>9086</v>
      </c>
      <c r="J4049" s="5">
        <f>127</f>
        <v>127</v>
      </c>
      <c r="K4049" s="5" t="s">
        <v>21</v>
      </c>
      <c r="L4049" s="5" t="s">
        <v>8895</v>
      </c>
      <c r="M4049" s="5">
        <v>152</v>
      </c>
      <c r="N4049" s="5" t="s">
        <v>6401</v>
      </c>
    </row>
    <row r="4050" spans="1:14" x14ac:dyDescent="0.2">
      <c r="A4050" s="5">
        <v>76</v>
      </c>
      <c r="B4050" s="8" t="s">
        <v>9139</v>
      </c>
      <c r="H4050" s="8" t="s">
        <v>9086</v>
      </c>
      <c r="I4050" s="8" t="s">
        <v>9086</v>
      </c>
      <c r="J4050" s="5">
        <f>204</f>
        <v>204</v>
      </c>
      <c r="K4050" s="5" t="s">
        <v>21</v>
      </c>
      <c r="L4050" s="5" t="s">
        <v>8895</v>
      </c>
      <c r="M4050" s="5">
        <v>153</v>
      </c>
      <c r="N4050" s="5" t="s">
        <v>6401</v>
      </c>
    </row>
    <row r="4051" spans="1:14" x14ac:dyDescent="0.2">
      <c r="A4051" s="5">
        <v>77</v>
      </c>
      <c r="B4051" s="8" t="s">
        <v>9140</v>
      </c>
      <c r="H4051" s="8" t="s">
        <v>9086</v>
      </c>
      <c r="I4051" s="8" t="s">
        <v>9086</v>
      </c>
      <c r="J4051" s="5">
        <f>98</f>
        <v>98</v>
      </c>
      <c r="K4051" s="5" t="s">
        <v>21</v>
      </c>
      <c r="L4051" s="5" t="s">
        <v>8895</v>
      </c>
      <c r="M4051" s="5">
        <v>154</v>
      </c>
      <c r="N4051" s="5" t="s">
        <v>6401</v>
      </c>
    </row>
    <row r="4052" spans="1:14" x14ac:dyDescent="0.2">
      <c r="A4052" s="152" t="s">
        <v>6251</v>
      </c>
    </row>
    <row r="4053" spans="1:14" x14ac:dyDescent="0.2">
      <c r="A4053" s="5">
        <v>78</v>
      </c>
      <c r="B4053" s="8" t="s">
        <v>6601</v>
      </c>
      <c r="H4053" s="8" t="s">
        <v>9086</v>
      </c>
      <c r="I4053" s="8" t="s">
        <v>9086</v>
      </c>
      <c r="J4053" s="5">
        <f>114</f>
        <v>114</v>
      </c>
      <c r="K4053" s="5" t="s">
        <v>21</v>
      </c>
      <c r="L4053" s="5" t="s">
        <v>8895</v>
      </c>
      <c r="M4053" s="5">
        <v>158</v>
      </c>
      <c r="N4053" s="5" t="s">
        <v>6401</v>
      </c>
    </row>
    <row r="4054" spans="1:14" x14ac:dyDescent="0.2">
      <c r="A4054" s="5">
        <v>79</v>
      </c>
      <c r="B4054" s="8" t="s">
        <v>8996</v>
      </c>
      <c r="H4054" s="8" t="s">
        <v>9086</v>
      </c>
      <c r="I4054" s="8" t="s">
        <v>9086</v>
      </c>
      <c r="J4054" s="5">
        <f>87</f>
        <v>87</v>
      </c>
      <c r="K4054" s="5" t="s">
        <v>21</v>
      </c>
      <c r="L4054" s="5" t="s">
        <v>8895</v>
      </c>
      <c r="M4054" s="5">
        <v>159</v>
      </c>
      <c r="N4054" s="5" t="s">
        <v>6401</v>
      </c>
    </row>
    <row r="4055" spans="1:14" x14ac:dyDescent="0.2">
      <c r="A4055" s="5">
        <v>80</v>
      </c>
      <c r="B4055" s="8" t="s">
        <v>9141</v>
      </c>
      <c r="H4055" s="8" t="s">
        <v>9086</v>
      </c>
      <c r="I4055" s="8" t="s">
        <v>9086</v>
      </c>
      <c r="J4055" s="5">
        <f>92</f>
        <v>92</v>
      </c>
      <c r="K4055" s="5" t="s">
        <v>21</v>
      </c>
      <c r="L4055" s="5" t="s">
        <v>8895</v>
      </c>
      <c r="M4055" s="5">
        <v>159</v>
      </c>
      <c r="N4055" s="5" t="s">
        <v>6401</v>
      </c>
    </row>
    <row r="4056" spans="1:14" x14ac:dyDescent="0.2">
      <c r="A4056" s="5">
        <v>81</v>
      </c>
      <c r="B4056" s="8" t="s">
        <v>9142</v>
      </c>
      <c r="H4056" s="8" t="s">
        <v>9086</v>
      </c>
      <c r="I4056" s="8" t="s">
        <v>9086</v>
      </c>
      <c r="J4056" s="5">
        <f>156</f>
        <v>156</v>
      </c>
      <c r="K4056" s="5" t="s">
        <v>21</v>
      </c>
      <c r="L4056" s="5" t="s">
        <v>8895</v>
      </c>
      <c r="M4056" s="5">
        <v>160</v>
      </c>
      <c r="N4056" s="5" t="s">
        <v>6401</v>
      </c>
    </row>
    <row r="4057" spans="1:14" x14ac:dyDescent="0.2">
      <c r="A4057" s="5">
        <v>82</v>
      </c>
      <c r="B4057" s="8" t="s">
        <v>9143</v>
      </c>
      <c r="H4057" s="8" t="s">
        <v>9086</v>
      </c>
      <c r="I4057" s="8" t="s">
        <v>9086</v>
      </c>
      <c r="J4057" s="5">
        <f>100</f>
        <v>100</v>
      </c>
      <c r="K4057" s="5" t="s">
        <v>21</v>
      </c>
      <c r="L4057" s="5" t="s">
        <v>8895</v>
      </c>
      <c r="M4057" s="5">
        <v>160</v>
      </c>
      <c r="N4057" s="5" t="s">
        <v>6401</v>
      </c>
    </row>
    <row r="4058" spans="1:14" x14ac:dyDescent="0.2">
      <c r="A4058" s="5">
        <v>83</v>
      </c>
      <c r="B4058" s="8" t="s">
        <v>9144</v>
      </c>
      <c r="H4058" s="8" t="s">
        <v>9086</v>
      </c>
      <c r="I4058" s="8" t="s">
        <v>9086</v>
      </c>
      <c r="J4058" s="5">
        <f>101-4</f>
        <v>97</v>
      </c>
      <c r="K4058" s="5" t="s">
        <v>21</v>
      </c>
      <c r="L4058" s="5" t="s">
        <v>8895</v>
      </c>
      <c r="M4058" s="5">
        <v>161</v>
      </c>
      <c r="N4058" s="5" t="s">
        <v>6401</v>
      </c>
    </row>
    <row r="4059" spans="1:14" x14ac:dyDescent="0.2">
      <c r="A4059" s="5">
        <v>84</v>
      </c>
      <c r="B4059" s="8" t="s">
        <v>9145</v>
      </c>
      <c r="H4059" s="8" t="s">
        <v>9086</v>
      </c>
      <c r="I4059" s="8" t="s">
        <v>9086</v>
      </c>
      <c r="J4059" s="5">
        <f>49</f>
        <v>49</v>
      </c>
      <c r="K4059" s="5" t="s">
        <v>21</v>
      </c>
      <c r="L4059" s="5" t="s">
        <v>8895</v>
      </c>
      <c r="M4059" s="5">
        <v>161</v>
      </c>
      <c r="N4059" s="5" t="s">
        <v>6401</v>
      </c>
    </row>
    <row r="4060" spans="1:14" x14ac:dyDescent="0.2">
      <c r="A4060" s="5"/>
      <c r="B4060" s="155" t="s">
        <v>9146</v>
      </c>
    </row>
    <row r="4061" spans="1:14" x14ac:dyDescent="0.2">
      <c r="A4061" s="5">
        <v>1</v>
      </c>
      <c r="B4061" s="8" t="s">
        <v>9147</v>
      </c>
      <c r="H4061" s="8" t="s">
        <v>9146</v>
      </c>
      <c r="I4061" s="8" t="s">
        <v>9146</v>
      </c>
      <c r="J4061" s="5">
        <f>80+26</f>
        <v>106</v>
      </c>
      <c r="K4061" s="5" t="s">
        <v>21</v>
      </c>
      <c r="L4061" s="5" t="s">
        <v>8895</v>
      </c>
      <c r="M4061" s="5">
        <v>163</v>
      </c>
      <c r="N4061" s="5" t="s">
        <v>6401</v>
      </c>
    </row>
    <row r="4062" spans="1:14" x14ac:dyDescent="0.2">
      <c r="A4062" s="5"/>
      <c r="B4062" s="8" t="s">
        <v>6518</v>
      </c>
      <c r="I4062" s="8" t="s">
        <v>9148</v>
      </c>
      <c r="J4062" s="5">
        <f>20-8</f>
        <v>12</v>
      </c>
      <c r="K4062" s="5" t="s">
        <v>21</v>
      </c>
      <c r="L4062" s="5" t="s">
        <v>8895</v>
      </c>
      <c r="M4062" s="5">
        <v>163</v>
      </c>
    </row>
    <row r="4063" spans="1:14" x14ac:dyDescent="0.2">
      <c r="A4063" s="5">
        <v>2</v>
      </c>
      <c r="B4063" s="8" t="s">
        <v>8960</v>
      </c>
      <c r="H4063" s="8" t="s">
        <v>9146</v>
      </c>
      <c r="I4063" s="8" t="s">
        <v>9146</v>
      </c>
      <c r="J4063" s="5">
        <f>53</f>
        <v>53</v>
      </c>
      <c r="K4063" s="5" t="s">
        <v>21</v>
      </c>
      <c r="L4063" s="5" t="s">
        <v>8895</v>
      </c>
      <c r="M4063" s="5">
        <v>164</v>
      </c>
      <c r="N4063" s="5" t="s">
        <v>6401</v>
      </c>
    </row>
    <row r="4064" spans="1:14" x14ac:dyDescent="0.2">
      <c r="A4064" s="5">
        <v>3</v>
      </c>
      <c r="B4064" s="8" t="s">
        <v>6491</v>
      </c>
      <c r="H4064" s="8" t="s">
        <v>9146</v>
      </c>
      <c r="I4064" s="8" t="s">
        <v>9146</v>
      </c>
      <c r="J4064" s="5">
        <f>20</f>
        <v>20</v>
      </c>
      <c r="K4064" s="5" t="s">
        <v>21</v>
      </c>
      <c r="L4064" s="5" t="s">
        <v>8895</v>
      </c>
      <c r="M4064" s="5">
        <v>164</v>
      </c>
      <c r="N4064" s="5" t="s">
        <v>6401</v>
      </c>
    </row>
    <row r="4065" spans="1:17" x14ac:dyDescent="0.2">
      <c r="A4065" s="5">
        <v>4</v>
      </c>
      <c r="B4065" s="8" t="s">
        <v>6672</v>
      </c>
      <c r="H4065" s="8" t="s">
        <v>9146</v>
      </c>
      <c r="I4065" s="8" t="s">
        <v>9146</v>
      </c>
      <c r="J4065" s="5">
        <f>51</f>
        <v>51</v>
      </c>
      <c r="K4065" s="5" t="s">
        <v>21</v>
      </c>
      <c r="L4065" s="5" t="s">
        <v>8895</v>
      </c>
      <c r="M4065" s="5">
        <v>164</v>
      </c>
      <c r="N4065" s="5" t="s">
        <v>6401</v>
      </c>
    </row>
    <row r="4066" spans="1:17" x14ac:dyDescent="0.2">
      <c r="A4066" s="5">
        <v>5</v>
      </c>
      <c r="B4066" s="8" t="s">
        <v>6489</v>
      </c>
      <c r="H4066" s="8" t="s">
        <v>9146</v>
      </c>
      <c r="I4066" s="8" t="s">
        <v>9146</v>
      </c>
      <c r="J4066" s="5">
        <f>8+5</f>
        <v>13</v>
      </c>
      <c r="K4066" s="5" t="s">
        <v>21</v>
      </c>
      <c r="L4066" s="5" t="s">
        <v>8895</v>
      </c>
      <c r="M4066" s="5">
        <v>165</v>
      </c>
      <c r="N4066" s="5" t="s">
        <v>6401</v>
      </c>
      <c r="Q4066" s="107" t="s">
        <v>6776</v>
      </c>
    </row>
    <row r="4067" spans="1:17" x14ac:dyDescent="0.2">
      <c r="A4067" s="5">
        <v>6</v>
      </c>
      <c r="B4067" s="8" t="s">
        <v>6488</v>
      </c>
      <c r="H4067" s="8" t="s">
        <v>9146</v>
      </c>
      <c r="I4067" s="8" t="s">
        <v>9146</v>
      </c>
      <c r="J4067" s="5">
        <f>87-3-1-2-1</f>
        <v>80</v>
      </c>
      <c r="K4067" s="5" t="s">
        <v>21</v>
      </c>
      <c r="L4067" s="5" t="s">
        <v>8895</v>
      </c>
      <c r="M4067" s="5">
        <v>165</v>
      </c>
      <c r="N4067" s="5" t="s">
        <v>6401</v>
      </c>
    </row>
    <row r="4068" spans="1:17" x14ac:dyDescent="0.2">
      <c r="A4068" s="5">
        <v>7</v>
      </c>
      <c r="B4068" s="8" t="s">
        <v>6487</v>
      </c>
      <c r="H4068" s="8" t="s">
        <v>9146</v>
      </c>
      <c r="I4068" s="8" t="s">
        <v>9146</v>
      </c>
      <c r="J4068" s="5">
        <f>89+3-8-4-3-12-8-1-20-33+1+43-2</f>
        <v>45</v>
      </c>
      <c r="K4068" s="5" t="s">
        <v>21</v>
      </c>
      <c r="L4068" s="5" t="s">
        <v>8895</v>
      </c>
      <c r="M4068" s="5">
        <v>166</v>
      </c>
      <c r="N4068" s="5" t="s">
        <v>6401</v>
      </c>
    </row>
    <row r="4069" spans="1:17" x14ac:dyDescent="0.2">
      <c r="A4069" s="5">
        <v>8</v>
      </c>
      <c r="B4069" s="8" t="s">
        <v>6507</v>
      </c>
      <c r="H4069" s="8" t="s">
        <v>9146</v>
      </c>
      <c r="I4069" s="8" t="s">
        <v>9146</v>
      </c>
      <c r="J4069" s="5">
        <f>6</f>
        <v>6</v>
      </c>
      <c r="K4069" s="5" t="s">
        <v>21</v>
      </c>
      <c r="L4069" s="5" t="s">
        <v>8895</v>
      </c>
      <c r="M4069" s="5">
        <v>166</v>
      </c>
      <c r="N4069" s="5" t="s">
        <v>6401</v>
      </c>
    </row>
    <row r="4070" spans="1:17" x14ac:dyDescent="0.2">
      <c r="A4070" s="5">
        <v>9</v>
      </c>
      <c r="B4070" s="8" t="s">
        <v>6481</v>
      </c>
      <c r="H4070" s="8" t="s">
        <v>9146</v>
      </c>
      <c r="I4070" s="8" t="s">
        <v>9146</v>
      </c>
      <c r="J4070" s="5">
        <f>44+1-2+3</f>
        <v>46</v>
      </c>
      <c r="K4070" s="5" t="s">
        <v>21</v>
      </c>
      <c r="L4070" s="5" t="s">
        <v>8895</v>
      </c>
      <c r="M4070" s="5">
        <v>166</v>
      </c>
      <c r="N4070" s="5" t="s">
        <v>6401</v>
      </c>
    </row>
    <row r="4071" spans="1:17" x14ac:dyDescent="0.2">
      <c r="A4071" s="5">
        <v>10</v>
      </c>
      <c r="B4071" s="8" t="s">
        <v>6456</v>
      </c>
      <c r="H4071" s="8" t="s">
        <v>9149</v>
      </c>
      <c r="I4071" s="8" t="s">
        <v>9150</v>
      </c>
      <c r="J4071" s="5">
        <f>630-12+110-2-4-2-4-14-1-8</f>
        <v>693</v>
      </c>
      <c r="K4071" s="5" t="s">
        <v>21</v>
      </c>
      <c r="L4071" s="5" t="s">
        <v>8895</v>
      </c>
      <c r="M4071" s="5">
        <v>167</v>
      </c>
      <c r="N4071" s="5" t="s">
        <v>6401</v>
      </c>
    </row>
    <row r="4072" spans="1:17" x14ac:dyDescent="0.2">
      <c r="A4072" s="5">
        <v>11</v>
      </c>
      <c r="B4072" s="8" t="s">
        <v>6509</v>
      </c>
      <c r="H4072" s="8" t="s">
        <v>9151</v>
      </c>
      <c r="I4072" s="8" t="s">
        <v>9151</v>
      </c>
      <c r="J4072" s="5">
        <f>21</f>
        <v>21</v>
      </c>
      <c r="K4072" s="5" t="s">
        <v>21</v>
      </c>
      <c r="L4072" s="5" t="s">
        <v>8895</v>
      </c>
      <c r="M4072" s="5">
        <v>167</v>
      </c>
      <c r="N4072" s="5" t="s">
        <v>6401</v>
      </c>
    </row>
    <row r="4073" spans="1:17" x14ac:dyDescent="0.2">
      <c r="A4073" s="5">
        <v>12</v>
      </c>
      <c r="B4073" s="8" t="s">
        <v>6454</v>
      </c>
      <c r="H4073" s="8" t="s">
        <v>9146</v>
      </c>
      <c r="I4073" s="8" t="s">
        <v>9146</v>
      </c>
      <c r="J4073" s="5">
        <f>107</f>
        <v>107</v>
      </c>
      <c r="K4073" s="5" t="s">
        <v>21</v>
      </c>
      <c r="L4073" s="5" t="s">
        <v>8895</v>
      </c>
      <c r="M4073" s="5">
        <v>167</v>
      </c>
      <c r="N4073" s="5" t="s">
        <v>6401</v>
      </c>
      <c r="Q4073" s="5" t="s">
        <v>9152</v>
      </c>
    </row>
    <row r="4074" spans="1:17" x14ac:dyDescent="0.2">
      <c r="A4074" s="5">
        <v>13</v>
      </c>
      <c r="B4074" s="8" t="s">
        <v>6454</v>
      </c>
      <c r="H4074" s="8" t="s">
        <v>9153</v>
      </c>
      <c r="I4074" s="8" t="s">
        <v>9153</v>
      </c>
      <c r="J4074" s="5">
        <f>3+20-1-20+23-1</f>
        <v>24</v>
      </c>
      <c r="K4074" s="5" t="s">
        <v>21</v>
      </c>
      <c r="L4074" s="5" t="s">
        <v>8895</v>
      </c>
      <c r="M4074" s="5">
        <v>167</v>
      </c>
      <c r="N4074" s="5" t="s">
        <v>6401</v>
      </c>
      <c r="Q4074" s="107" t="s">
        <v>9154</v>
      </c>
    </row>
    <row r="4075" spans="1:17" x14ac:dyDescent="0.2">
      <c r="A4075" s="5">
        <v>14</v>
      </c>
      <c r="B4075" s="8" t="s">
        <v>6460</v>
      </c>
      <c r="H4075" s="8" t="s">
        <v>9146</v>
      </c>
      <c r="I4075" s="8" t="s">
        <v>9146</v>
      </c>
      <c r="J4075" s="5">
        <f>100-96-2+20+12-8-2-4+4</f>
        <v>24</v>
      </c>
      <c r="K4075" s="5" t="s">
        <v>21</v>
      </c>
      <c r="L4075" s="5" t="s">
        <v>8895</v>
      </c>
      <c r="M4075" s="5">
        <v>168</v>
      </c>
      <c r="N4075" s="5" t="s">
        <v>6401</v>
      </c>
      <c r="Q4075" s="5" t="s">
        <v>6243</v>
      </c>
    </row>
    <row r="4076" spans="1:17" x14ac:dyDescent="0.2">
      <c r="A4076" s="5">
        <v>15</v>
      </c>
      <c r="B4076" s="8" t="s">
        <v>9155</v>
      </c>
      <c r="H4076" s="8" t="s">
        <v>9146</v>
      </c>
      <c r="I4076" s="8" t="s">
        <v>9146</v>
      </c>
      <c r="J4076" s="5">
        <f>6+6</f>
        <v>12</v>
      </c>
      <c r="K4076" s="5" t="s">
        <v>21</v>
      </c>
      <c r="L4076" s="5" t="s">
        <v>8895</v>
      </c>
      <c r="M4076" s="5">
        <v>168</v>
      </c>
      <c r="N4076" s="5" t="s">
        <v>6401</v>
      </c>
    </row>
    <row r="4077" spans="1:17" x14ac:dyDescent="0.2">
      <c r="A4077" s="5">
        <v>16</v>
      </c>
      <c r="B4077" s="8" t="s">
        <v>6466</v>
      </c>
      <c r="H4077" s="8" t="s">
        <v>9146</v>
      </c>
      <c r="I4077" s="8" t="s">
        <v>9146</v>
      </c>
      <c r="J4077" s="5">
        <f>12-1-2-1-1-4</f>
        <v>3</v>
      </c>
      <c r="K4077" s="5" t="s">
        <v>21</v>
      </c>
      <c r="L4077" s="5" t="s">
        <v>8895</v>
      </c>
      <c r="M4077" s="5">
        <v>169</v>
      </c>
      <c r="N4077" s="5" t="s">
        <v>6401</v>
      </c>
    </row>
    <row r="4078" spans="1:17" x14ac:dyDescent="0.2">
      <c r="A4078" s="5">
        <v>17</v>
      </c>
      <c r="B4078" s="8" t="s">
        <v>6450</v>
      </c>
      <c r="H4078" s="8" t="s">
        <v>9156</v>
      </c>
      <c r="I4078" s="8" t="s">
        <v>9157</v>
      </c>
      <c r="J4078" s="5">
        <f>349+6-4-2-2-4-6-4-12-3-4-8-16-25-12-12-50-30-2-15-40-104+30-4+20+10-8</f>
        <v>48</v>
      </c>
      <c r="K4078" s="5" t="s">
        <v>21</v>
      </c>
      <c r="L4078" s="5" t="s">
        <v>8895</v>
      </c>
      <c r="M4078" s="5">
        <v>169</v>
      </c>
      <c r="N4078" s="5" t="s">
        <v>6401</v>
      </c>
    </row>
    <row r="4079" spans="1:17" x14ac:dyDescent="0.2">
      <c r="A4079" s="5">
        <v>18</v>
      </c>
      <c r="B4079" s="8" t="s">
        <v>6450</v>
      </c>
      <c r="H4079" s="8" t="s">
        <v>9158</v>
      </c>
      <c r="I4079" s="8" t="s">
        <v>9158</v>
      </c>
      <c r="J4079" s="5">
        <f>95</f>
        <v>95</v>
      </c>
      <c r="K4079" s="5" t="s">
        <v>21</v>
      </c>
      <c r="L4079" s="5" t="s">
        <v>8895</v>
      </c>
      <c r="M4079" s="5">
        <v>169</v>
      </c>
      <c r="N4079" s="5" t="s">
        <v>6401</v>
      </c>
    </row>
    <row r="4080" spans="1:17" x14ac:dyDescent="0.2">
      <c r="A4080" s="5">
        <v>19</v>
      </c>
      <c r="B4080" s="8" t="s">
        <v>6452</v>
      </c>
      <c r="H4080" s="8" t="s">
        <v>9146</v>
      </c>
      <c r="I4080" s="8" t="s">
        <v>9146</v>
      </c>
      <c r="J4080" s="5">
        <f>749-4-4-4-1-6-4-4-24-56-2-56-10-2-16</f>
        <v>556</v>
      </c>
      <c r="K4080" s="5" t="s">
        <v>21</v>
      </c>
      <c r="L4080" s="5" t="s">
        <v>8895</v>
      </c>
      <c r="M4080" s="5">
        <v>170</v>
      </c>
      <c r="N4080" s="5" t="s">
        <v>6401</v>
      </c>
    </row>
    <row r="4081" spans="1:17" x14ac:dyDescent="0.2">
      <c r="A4081" s="5">
        <v>20</v>
      </c>
      <c r="B4081" s="8" t="s">
        <v>6649</v>
      </c>
      <c r="H4081" s="8" t="s">
        <v>9146</v>
      </c>
      <c r="I4081" s="8" t="s">
        <v>9146</v>
      </c>
      <c r="J4081" s="5">
        <f>57-4-4</f>
        <v>49</v>
      </c>
      <c r="K4081" s="5" t="s">
        <v>21</v>
      </c>
      <c r="L4081" s="5" t="s">
        <v>8895</v>
      </c>
      <c r="M4081" s="5">
        <v>170</v>
      </c>
      <c r="N4081" s="5" t="s">
        <v>6401</v>
      </c>
    </row>
    <row r="4082" spans="1:17" x14ac:dyDescent="0.2">
      <c r="A4082" s="5">
        <v>21</v>
      </c>
      <c r="B4082" s="8" t="s">
        <v>9159</v>
      </c>
      <c r="H4082" s="8" t="s">
        <v>9146</v>
      </c>
      <c r="I4082" s="8" t="s">
        <v>9146</v>
      </c>
      <c r="J4082" s="5">
        <f>69</f>
        <v>69</v>
      </c>
      <c r="K4082" s="5" t="s">
        <v>21</v>
      </c>
      <c r="L4082" s="5" t="s">
        <v>8895</v>
      </c>
      <c r="M4082" s="5">
        <v>173</v>
      </c>
      <c r="N4082" s="5" t="s">
        <v>6401</v>
      </c>
    </row>
    <row r="4083" spans="1:17" x14ac:dyDescent="0.2">
      <c r="A4083" s="5">
        <v>22</v>
      </c>
      <c r="B4083" s="8" t="s">
        <v>9009</v>
      </c>
      <c r="H4083" s="8" t="s">
        <v>9146</v>
      </c>
      <c r="I4083" s="8" t="s">
        <v>9146</v>
      </c>
      <c r="J4083" s="5">
        <f>237</f>
        <v>237</v>
      </c>
      <c r="K4083" s="5" t="s">
        <v>21</v>
      </c>
      <c r="L4083" s="5" t="s">
        <v>8895</v>
      </c>
      <c r="M4083" s="5">
        <v>173</v>
      </c>
      <c r="N4083" s="5" t="s">
        <v>6401</v>
      </c>
    </row>
    <row r="4084" spans="1:17" x14ac:dyDescent="0.2">
      <c r="A4084" s="5">
        <v>23</v>
      </c>
      <c r="B4084" s="8" t="s">
        <v>6478</v>
      </c>
      <c r="H4084" s="8" t="s">
        <v>9146</v>
      </c>
      <c r="I4084" s="8" t="s">
        <v>9146</v>
      </c>
      <c r="J4084" s="5">
        <f>240-6</f>
        <v>234</v>
      </c>
      <c r="K4084" s="5" t="s">
        <v>21</v>
      </c>
      <c r="L4084" s="5" t="s">
        <v>8895</v>
      </c>
      <c r="M4084" s="5">
        <v>178</v>
      </c>
      <c r="N4084" s="5" t="s">
        <v>6401</v>
      </c>
    </row>
    <row r="4085" spans="1:17" x14ac:dyDescent="0.2">
      <c r="A4085" s="5">
        <v>24</v>
      </c>
      <c r="B4085" s="8" t="s">
        <v>8943</v>
      </c>
      <c r="H4085" s="8" t="s">
        <v>9146</v>
      </c>
      <c r="I4085" s="8" t="s">
        <v>9146</v>
      </c>
      <c r="J4085" s="5">
        <f>136-3</f>
        <v>133</v>
      </c>
      <c r="K4085" s="5" t="s">
        <v>21</v>
      </c>
      <c r="L4085" s="5" t="s">
        <v>8895</v>
      </c>
      <c r="M4085" s="5">
        <v>178</v>
      </c>
      <c r="N4085" s="5" t="s">
        <v>6401</v>
      </c>
    </row>
    <row r="4086" spans="1:17" x14ac:dyDescent="0.2">
      <c r="A4086" s="5">
        <v>25</v>
      </c>
      <c r="B4086" s="8" t="s">
        <v>9160</v>
      </c>
      <c r="H4086" s="8" t="s">
        <v>9146</v>
      </c>
      <c r="I4086" s="8" t="s">
        <v>9146</v>
      </c>
      <c r="J4086" s="5">
        <f>4</f>
        <v>4</v>
      </c>
      <c r="K4086" s="5" t="s">
        <v>21</v>
      </c>
      <c r="L4086" s="5" t="s">
        <v>8895</v>
      </c>
      <c r="M4086" s="5">
        <v>178</v>
      </c>
      <c r="N4086" s="5" t="s">
        <v>6401</v>
      </c>
    </row>
    <row r="4087" spans="1:17" x14ac:dyDescent="0.2">
      <c r="A4087" s="5">
        <v>26</v>
      </c>
      <c r="B4087" s="8" t="s">
        <v>9161</v>
      </c>
      <c r="H4087" s="8" t="s">
        <v>9146</v>
      </c>
      <c r="I4087" s="8" t="s">
        <v>9146</v>
      </c>
      <c r="J4087" s="5">
        <v>56</v>
      </c>
      <c r="K4087" s="5" t="s">
        <v>21</v>
      </c>
      <c r="L4087" s="5" t="s">
        <v>8895</v>
      </c>
      <c r="M4087" s="5">
        <v>179</v>
      </c>
      <c r="N4087" s="5" t="s">
        <v>6401</v>
      </c>
    </row>
    <row r="4088" spans="1:17" x14ac:dyDescent="0.2">
      <c r="A4088" s="5">
        <v>27</v>
      </c>
      <c r="B4088" s="8" t="s">
        <v>9162</v>
      </c>
      <c r="H4088" s="8" t="s">
        <v>9156</v>
      </c>
      <c r="I4088" s="8" t="s">
        <v>9156</v>
      </c>
      <c r="J4088" s="5">
        <f>19-2-2-1</f>
        <v>14</v>
      </c>
      <c r="K4088" s="5" t="s">
        <v>21</v>
      </c>
      <c r="L4088" s="5" t="s">
        <v>8895</v>
      </c>
      <c r="M4088" s="5">
        <v>180</v>
      </c>
      <c r="N4088" s="5" t="s">
        <v>6401</v>
      </c>
    </row>
    <row r="4089" spans="1:17" x14ac:dyDescent="0.2">
      <c r="A4089" s="5">
        <v>28</v>
      </c>
      <c r="B4089" s="8" t="s">
        <v>9162</v>
      </c>
      <c r="H4089" s="8" t="s">
        <v>9163</v>
      </c>
      <c r="I4089" s="8" t="s">
        <v>9163</v>
      </c>
      <c r="J4089" s="5">
        <f>4</f>
        <v>4</v>
      </c>
      <c r="K4089" s="5" t="s">
        <v>21</v>
      </c>
      <c r="L4089" s="5" t="s">
        <v>8895</v>
      </c>
      <c r="M4089" s="5">
        <v>180</v>
      </c>
      <c r="N4089" s="5" t="s">
        <v>6401</v>
      </c>
    </row>
    <row r="4090" spans="1:17" x14ac:dyDescent="0.2">
      <c r="A4090" s="5">
        <v>29</v>
      </c>
      <c r="B4090" s="8" t="s">
        <v>6407</v>
      </c>
      <c r="H4090" s="8" t="s">
        <v>9146</v>
      </c>
      <c r="I4090" s="8" t="s">
        <v>9146</v>
      </c>
      <c r="J4090" s="5">
        <f>46-2</f>
        <v>44</v>
      </c>
      <c r="K4090" s="5" t="s">
        <v>21</v>
      </c>
      <c r="L4090" s="5" t="s">
        <v>8895</v>
      </c>
      <c r="M4090" s="5">
        <v>181</v>
      </c>
      <c r="N4090" s="5" t="s">
        <v>6401</v>
      </c>
    </row>
    <row r="4091" spans="1:17" x14ac:dyDescent="0.2">
      <c r="A4091" s="5">
        <v>30</v>
      </c>
      <c r="B4091" s="8" t="s">
        <v>6517</v>
      </c>
      <c r="H4091" s="8" t="s">
        <v>9146</v>
      </c>
      <c r="I4091" s="8" t="s">
        <v>9146</v>
      </c>
      <c r="J4091" s="5">
        <f>12</f>
        <v>12</v>
      </c>
      <c r="K4091" s="5" t="s">
        <v>21</v>
      </c>
      <c r="L4091" s="5" t="s">
        <v>8895</v>
      </c>
      <c r="M4091" s="5">
        <v>181</v>
      </c>
      <c r="N4091" s="5" t="s">
        <v>6401</v>
      </c>
    </row>
    <row r="4092" spans="1:17" x14ac:dyDescent="0.2">
      <c r="A4092" s="5">
        <v>31</v>
      </c>
      <c r="B4092" s="8" t="s">
        <v>9164</v>
      </c>
      <c r="H4092" s="8" t="s">
        <v>9163</v>
      </c>
      <c r="I4092" s="8" t="s">
        <v>9163</v>
      </c>
      <c r="J4092" s="5">
        <f>2</f>
        <v>2</v>
      </c>
      <c r="K4092" s="5" t="s">
        <v>21</v>
      </c>
      <c r="L4092" s="5" t="s">
        <v>8895</v>
      </c>
      <c r="M4092" s="5">
        <v>182</v>
      </c>
      <c r="N4092" s="5" t="s">
        <v>6401</v>
      </c>
    </row>
    <row r="4093" spans="1:17" x14ac:dyDescent="0.2">
      <c r="A4093" s="5">
        <v>32</v>
      </c>
      <c r="B4093" s="8" t="s">
        <v>9165</v>
      </c>
      <c r="H4093" s="8" t="s">
        <v>9163</v>
      </c>
      <c r="I4093" s="8" t="s">
        <v>9163</v>
      </c>
      <c r="J4093" s="5">
        <f>100</f>
        <v>100</v>
      </c>
      <c r="K4093" s="5" t="s">
        <v>21</v>
      </c>
      <c r="L4093" s="5" t="s">
        <v>8895</v>
      </c>
      <c r="M4093" s="5">
        <v>182</v>
      </c>
      <c r="N4093" s="5" t="s">
        <v>6401</v>
      </c>
    </row>
    <row r="4094" spans="1:17" x14ac:dyDescent="0.2">
      <c r="A4094" s="5">
        <v>33</v>
      </c>
      <c r="B4094" s="8" t="s">
        <v>8974</v>
      </c>
      <c r="H4094" s="8" t="s">
        <v>9146</v>
      </c>
      <c r="I4094" s="8" t="s">
        <v>9146</v>
      </c>
      <c r="J4094" s="5">
        <f>31-12</f>
        <v>19</v>
      </c>
      <c r="K4094" s="5" t="s">
        <v>21</v>
      </c>
      <c r="L4094" s="5" t="s">
        <v>8895</v>
      </c>
      <c r="M4094" s="5">
        <v>183</v>
      </c>
      <c r="N4094" s="5" t="s">
        <v>6401</v>
      </c>
    </row>
    <row r="4095" spans="1:17" x14ac:dyDescent="0.2">
      <c r="A4095" s="5">
        <v>34</v>
      </c>
      <c r="B4095" s="8" t="s">
        <v>9166</v>
      </c>
      <c r="H4095" s="8" t="s">
        <v>9157</v>
      </c>
      <c r="I4095" s="8" t="s">
        <v>9157</v>
      </c>
      <c r="J4095" s="5">
        <f>10-3</f>
        <v>7</v>
      </c>
      <c r="K4095" s="5" t="s">
        <v>21</v>
      </c>
      <c r="L4095" s="5" t="s">
        <v>8895</v>
      </c>
      <c r="M4095" s="5">
        <v>183</v>
      </c>
      <c r="N4095" s="5" t="s">
        <v>6401</v>
      </c>
      <c r="Q4095" s="107" t="s">
        <v>9081</v>
      </c>
    </row>
    <row r="4096" spans="1:17" x14ac:dyDescent="0.2">
      <c r="A4096" s="5">
        <v>35</v>
      </c>
      <c r="B4096" s="8" t="s">
        <v>6513</v>
      </c>
      <c r="H4096" s="8" t="s">
        <v>9146</v>
      </c>
      <c r="I4096" s="8" t="s">
        <v>9146</v>
      </c>
      <c r="J4096" s="5">
        <f>14-2</f>
        <v>12</v>
      </c>
      <c r="K4096" s="5" t="s">
        <v>21</v>
      </c>
      <c r="L4096" s="5" t="s">
        <v>8895</v>
      </c>
      <c r="M4096" s="5">
        <v>184</v>
      </c>
      <c r="N4096" s="5" t="s">
        <v>6401</v>
      </c>
    </row>
    <row r="4097" spans="1:21" x14ac:dyDescent="0.2">
      <c r="A4097" s="5">
        <v>36</v>
      </c>
      <c r="B4097" s="8" t="s">
        <v>8965</v>
      </c>
      <c r="H4097" s="8" t="s">
        <v>9146</v>
      </c>
      <c r="I4097" s="8" t="s">
        <v>9146</v>
      </c>
      <c r="J4097" s="5">
        <f>3-2</f>
        <v>1</v>
      </c>
      <c r="K4097" s="5" t="s">
        <v>21</v>
      </c>
      <c r="L4097" s="5" t="s">
        <v>8895</v>
      </c>
      <c r="M4097" s="5">
        <v>184</v>
      </c>
      <c r="N4097" s="5" t="s">
        <v>6401</v>
      </c>
    </row>
    <row r="4098" spans="1:21" x14ac:dyDescent="0.2">
      <c r="A4098" s="5">
        <v>37</v>
      </c>
      <c r="B4098" s="8" t="s">
        <v>7903</v>
      </c>
      <c r="H4098" s="8" t="s">
        <v>9156</v>
      </c>
      <c r="I4098" s="8" t="s">
        <v>9156</v>
      </c>
      <c r="J4098" s="5">
        <f>2+10-9-2</f>
        <v>1</v>
      </c>
      <c r="K4098" s="5" t="s">
        <v>21</v>
      </c>
      <c r="L4098" s="5" t="s">
        <v>8895</v>
      </c>
      <c r="M4098" s="5">
        <v>184</v>
      </c>
      <c r="N4098" s="5" t="s">
        <v>6401</v>
      </c>
    </row>
    <row r="4099" spans="1:21" x14ac:dyDescent="0.2">
      <c r="A4099" s="5">
        <v>38</v>
      </c>
      <c r="B4099" s="8" t="s">
        <v>7903</v>
      </c>
      <c r="H4099" s="8" t="s">
        <v>9163</v>
      </c>
      <c r="I4099" s="8" t="s">
        <v>9163</v>
      </c>
      <c r="J4099" s="5">
        <f>4</f>
        <v>4</v>
      </c>
      <c r="K4099" s="5" t="s">
        <v>21</v>
      </c>
      <c r="L4099" s="5" t="s">
        <v>8895</v>
      </c>
      <c r="M4099" s="5">
        <v>184</v>
      </c>
      <c r="N4099" s="5" t="s">
        <v>6401</v>
      </c>
      <c r="U4099" t="s">
        <v>321</v>
      </c>
    </row>
    <row r="4100" spans="1:21" x14ac:dyDescent="0.2">
      <c r="A4100" s="5">
        <v>39</v>
      </c>
      <c r="B4100" s="8" t="s">
        <v>6509</v>
      </c>
      <c r="H4100" s="8" t="s">
        <v>9146</v>
      </c>
      <c r="I4100" s="8" t="s">
        <v>9167</v>
      </c>
      <c r="J4100" s="5">
        <f>86-8-8-3-42-24+10-8-1-2+50+2-37+37-31</f>
        <v>21</v>
      </c>
      <c r="K4100" s="5" t="s">
        <v>21</v>
      </c>
      <c r="L4100" s="5" t="s">
        <v>8895</v>
      </c>
      <c r="M4100" s="5">
        <v>184</v>
      </c>
      <c r="N4100" s="5" t="s">
        <v>6401</v>
      </c>
      <c r="Q4100" s="5" t="s">
        <v>6243</v>
      </c>
    </row>
    <row r="4101" spans="1:21" s="158" customFormat="1" x14ac:dyDescent="0.2">
      <c r="A4101" s="156"/>
      <c r="B4101" s="155" t="s">
        <v>6397</v>
      </c>
      <c r="C4101" s="155"/>
      <c r="D4101" s="155"/>
      <c r="E4101" s="157"/>
      <c r="F4101" s="155"/>
      <c r="G4101" s="155"/>
      <c r="H4101" s="155"/>
      <c r="I4101" s="155"/>
      <c r="J4101" s="156"/>
      <c r="K4101" s="156"/>
      <c r="L4101" s="156"/>
      <c r="M4101" s="156"/>
      <c r="N4101" s="156"/>
      <c r="O4101" s="156"/>
      <c r="P4101" s="156"/>
      <c r="Q4101" s="156"/>
      <c r="R4101" s="156"/>
      <c r="S4101" s="156"/>
      <c r="T4101" s="156"/>
    </row>
    <row r="4102" spans="1:21" s="158" customFormat="1" x14ac:dyDescent="0.2">
      <c r="A4102" s="152" t="s">
        <v>6236</v>
      </c>
      <c r="B4102" s="155"/>
      <c r="C4102" s="155"/>
      <c r="D4102" s="155"/>
      <c r="E4102" s="157"/>
      <c r="F4102" s="155"/>
      <c r="G4102" s="155"/>
      <c r="H4102" s="155"/>
      <c r="I4102" s="155"/>
      <c r="J4102" s="156"/>
      <c r="K4102" s="156"/>
      <c r="L4102" s="156"/>
      <c r="M4102" s="156"/>
      <c r="N4102" s="156"/>
      <c r="O4102" s="156"/>
      <c r="P4102" s="156"/>
      <c r="Q4102" s="156"/>
      <c r="R4102" s="156"/>
      <c r="S4102" s="156"/>
      <c r="T4102" s="156"/>
    </row>
    <row r="4103" spans="1:21" x14ac:dyDescent="0.2">
      <c r="A4103" s="5">
        <v>1</v>
      </c>
      <c r="B4103" s="8" t="s">
        <v>9168</v>
      </c>
      <c r="H4103" s="130" t="s">
        <v>6399</v>
      </c>
      <c r="I4103" s="130" t="s">
        <v>6399</v>
      </c>
      <c r="J4103" s="5">
        <f>209-7-9+7</f>
        <v>200</v>
      </c>
      <c r="K4103" s="5" t="s">
        <v>21</v>
      </c>
      <c r="L4103" s="5" t="s">
        <v>8895</v>
      </c>
      <c r="M4103" s="5">
        <v>185</v>
      </c>
      <c r="N4103" s="5" t="s">
        <v>6401</v>
      </c>
      <c r="U4103" t="s">
        <v>321</v>
      </c>
    </row>
    <row r="4104" spans="1:21" x14ac:dyDescent="0.2">
      <c r="A4104" s="5">
        <v>2</v>
      </c>
      <c r="B4104" s="8" t="s">
        <v>6547</v>
      </c>
      <c r="H4104" s="130" t="s">
        <v>6399</v>
      </c>
      <c r="I4104" s="130" t="s">
        <v>6399</v>
      </c>
      <c r="J4104" s="5">
        <f>386-8-6-3-10+14-30-50-10-6-50-2-21-6-1-15-6-34-10-2-19+131-1-7-4-4-92-12+52-3-56-12-95-8+300-16-4-6-4-8-10-8-4</f>
        <v>240</v>
      </c>
      <c r="K4104" s="5" t="s">
        <v>21</v>
      </c>
      <c r="L4104" s="5" t="s">
        <v>8895</v>
      </c>
      <c r="M4104" s="5">
        <v>185</v>
      </c>
      <c r="N4104" s="5" t="s">
        <v>6401</v>
      </c>
    </row>
    <row r="4105" spans="1:21" x14ac:dyDescent="0.2">
      <c r="A4105" s="5">
        <v>3</v>
      </c>
      <c r="B4105" s="8" t="s">
        <v>6549</v>
      </c>
      <c r="H4105" s="130" t="s">
        <v>6399</v>
      </c>
      <c r="I4105" s="130" t="s">
        <v>6399</v>
      </c>
      <c r="J4105" s="5">
        <f>1354-20-100-6-20-4-12-1-100-4-14-12-10-8-6+100-30-8-4-4-18+292-50-6-2-20-1-5-10-12-4-156-10-16-54-48</f>
        <v>971</v>
      </c>
      <c r="K4105" s="5" t="s">
        <v>21</v>
      </c>
      <c r="L4105" s="5" t="s">
        <v>8895</v>
      </c>
      <c r="M4105" s="5">
        <v>185</v>
      </c>
      <c r="N4105" s="5" t="s">
        <v>6401</v>
      </c>
    </row>
    <row r="4106" spans="1:21" x14ac:dyDescent="0.2">
      <c r="A4106" s="5"/>
      <c r="B4106" s="8" t="s">
        <v>6707</v>
      </c>
      <c r="H4106" s="130" t="s">
        <v>6399</v>
      </c>
      <c r="I4106" s="130" t="s">
        <v>6399</v>
      </c>
      <c r="J4106" s="5">
        <f>0</f>
        <v>0</v>
      </c>
      <c r="K4106" s="5" t="s">
        <v>21</v>
      </c>
      <c r="L4106" s="5" t="s">
        <v>8895</v>
      </c>
      <c r="M4106" s="5">
        <v>185</v>
      </c>
      <c r="N4106" s="5" t="s">
        <v>6401</v>
      </c>
      <c r="Q4106" s="107" t="s">
        <v>6776</v>
      </c>
    </row>
    <row r="4107" spans="1:21" x14ac:dyDescent="0.2">
      <c r="A4107" s="5">
        <v>4</v>
      </c>
      <c r="B4107" s="8" t="s">
        <v>6499</v>
      </c>
      <c r="H4107" s="130" t="s">
        <v>6399</v>
      </c>
      <c r="I4107" s="130" t="s">
        <v>6399</v>
      </c>
      <c r="J4107" s="5">
        <f>15-6-8+1000+100-2-52-44</f>
        <v>1003</v>
      </c>
      <c r="K4107" s="5" t="s">
        <v>21</v>
      </c>
      <c r="L4107" s="5" t="s">
        <v>8895</v>
      </c>
      <c r="M4107" s="5">
        <v>186</v>
      </c>
      <c r="N4107" s="5" t="s">
        <v>6401</v>
      </c>
      <c r="Q4107" s="107"/>
    </row>
    <row r="4108" spans="1:21" x14ac:dyDescent="0.2">
      <c r="A4108" s="5">
        <v>5</v>
      </c>
      <c r="B4108" s="8" t="s">
        <v>6622</v>
      </c>
      <c r="H4108" s="130" t="s">
        <v>6399</v>
      </c>
      <c r="I4108" s="130" t="s">
        <v>6399</v>
      </c>
      <c r="J4108" s="5">
        <f>6+184-16-64-64-30+332+64-8+114+1885-4-4-68-16-72-36-3-144+272-16-600-4-51-36-34-24-2-13-24-3-1-8-650+4242-4-24-13-42-467-3-16-16-4-2-4-12-2-176-1-4-11-2-16-96</f>
        <v>4189</v>
      </c>
      <c r="K4108" s="5" t="s">
        <v>21</v>
      </c>
      <c r="L4108" s="5" t="s">
        <v>8895</v>
      </c>
      <c r="M4108" s="5">
        <v>186</v>
      </c>
      <c r="N4108" s="5" t="s">
        <v>6401</v>
      </c>
      <c r="Q4108" s="107"/>
    </row>
    <row r="4109" spans="1:21" x14ac:dyDescent="0.2">
      <c r="A4109" s="5">
        <v>6</v>
      </c>
      <c r="B4109" s="130" t="s">
        <v>9169</v>
      </c>
      <c r="H4109" s="130" t="s">
        <v>6399</v>
      </c>
      <c r="I4109" s="130" t="s">
        <v>6399</v>
      </c>
      <c r="J4109" s="5">
        <f>770-8-2-4-80+36-6-240-200-2-18-14-2+4+112-12-41-6-21+147+5-14-14-32-36-32</f>
        <v>290</v>
      </c>
      <c r="K4109" s="5" t="s">
        <v>21</v>
      </c>
      <c r="L4109" s="5" t="s">
        <v>8895</v>
      </c>
      <c r="M4109" s="5">
        <v>187</v>
      </c>
      <c r="N4109" s="5" t="s">
        <v>6401</v>
      </c>
      <c r="Q4109" s="107"/>
    </row>
    <row r="4110" spans="1:21" x14ac:dyDescent="0.2">
      <c r="A4110" s="5">
        <v>7</v>
      </c>
      <c r="B4110" s="8" t="s">
        <v>6552</v>
      </c>
      <c r="H4110" s="130" t="s">
        <v>6399</v>
      </c>
      <c r="I4110" s="130" t="s">
        <v>6399</v>
      </c>
      <c r="J4110" s="5">
        <f>0</f>
        <v>0</v>
      </c>
      <c r="K4110" s="5" t="s">
        <v>21</v>
      </c>
      <c r="L4110" s="5" t="s">
        <v>8895</v>
      </c>
      <c r="M4110" s="5">
        <v>187</v>
      </c>
      <c r="N4110" s="5" t="s">
        <v>6401</v>
      </c>
      <c r="Q4110" s="107" t="s">
        <v>6763</v>
      </c>
    </row>
    <row r="4111" spans="1:21" x14ac:dyDescent="0.2">
      <c r="A4111" s="5"/>
      <c r="B4111" s="8" t="s">
        <v>9170</v>
      </c>
      <c r="H4111" s="130" t="s">
        <v>6399</v>
      </c>
      <c r="I4111" s="130" t="s">
        <v>6399</v>
      </c>
      <c r="J4111" s="5">
        <f>176+2+600-20-110-4-4-16-40-35-24-4-8+2879-88-2-12-48-24-72-52-8-72-144-36-32-64-128</f>
        <v>2610</v>
      </c>
      <c r="K4111" s="5" t="s">
        <v>21</v>
      </c>
      <c r="L4111" s="5" t="s">
        <v>8895</v>
      </c>
      <c r="M4111" s="5">
        <v>187</v>
      </c>
      <c r="N4111" s="5" t="s">
        <v>6401</v>
      </c>
      <c r="Q4111" s="107"/>
    </row>
    <row r="4112" spans="1:21" x14ac:dyDescent="0.2">
      <c r="A4112">
        <v>8</v>
      </c>
      <c r="B4112" s="8" t="s">
        <v>9171</v>
      </c>
      <c r="H4112" s="130" t="s">
        <v>6399</v>
      </c>
      <c r="I4112" s="130" t="s">
        <v>6399</v>
      </c>
      <c r="J4112" s="5">
        <f>173-29+153-153-12-48-2-42-2-2-2+596+8-4-10-16-2-48-2+1-2-2-6-2-8-24-2-2-9-40-8-44-2-6-28-14-2-12+500-4-2-16-16-4-16-18-16</f>
        <v>752</v>
      </c>
      <c r="K4112" s="5" t="s">
        <v>292</v>
      </c>
      <c r="L4112" s="5" t="s">
        <v>8895</v>
      </c>
      <c r="M4112" s="5">
        <v>188</v>
      </c>
      <c r="N4112" s="5" t="s">
        <v>6401</v>
      </c>
      <c r="S4112" s="5" t="s">
        <v>852</v>
      </c>
    </row>
    <row r="4113" spans="1:21" x14ac:dyDescent="0.2">
      <c r="B4113" s="8" t="s">
        <v>9091</v>
      </c>
      <c r="H4113" s="130" t="s">
        <v>6399</v>
      </c>
      <c r="I4113" s="130" t="s">
        <v>6399</v>
      </c>
      <c r="J4113" s="5">
        <f>900-28-14-2-12-4-2-16-16-4-802</f>
        <v>0</v>
      </c>
      <c r="K4113" s="5" t="s">
        <v>292</v>
      </c>
      <c r="L4113" s="5" t="s">
        <v>8895</v>
      </c>
      <c r="M4113" s="5">
        <v>188</v>
      </c>
      <c r="N4113" s="5" t="s">
        <v>6401</v>
      </c>
      <c r="Q4113" s="107" t="s">
        <v>9094</v>
      </c>
      <c r="S4113" s="5" t="s">
        <v>852</v>
      </c>
    </row>
    <row r="4114" spans="1:21" x14ac:dyDescent="0.2">
      <c r="A4114">
        <v>9</v>
      </c>
      <c r="B4114" s="8" t="s">
        <v>9172</v>
      </c>
      <c r="H4114" s="108" t="s">
        <v>6399</v>
      </c>
      <c r="I4114" s="108" t="s">
        <v>6399</v>
      </c>
      <c r="J4114" s="5">
        <f>386</f>
        <v>386</v>
      </c>
      <c r="K4114" s="5" t="s">
        <v>292</v>
      </c>
      <c r="L4114" s="5" t="s">
        <v>8895</v>
      </c>
      <c r="M4114" s="5">
        <v>188</v>
      </c>
      <c r="N4114" s="5" t="s">
        <v>6401</v>
      </c>
      <c r="U4114" t="s">
        <v>321</v>
      </c>
    </row>
    <row r="4115" spans="1:21" x14ac:dyDescent="0.2">
      <c r="A4115">
        <v>10</v>
      </c>
      <c r="B4115" s="8" t="s">
        <v>9173</v>
      </c>
      <c r="H4115" s="8" t="s">
        <v>6399</v>
      </c>
      <c r="I4115" s="8" t="s">
        <v>6399</v>
      </c>
      <c r="J4115" s="5">
        <f>207-32-15+26+698-16-88-56</f>
        <v>724</v>
      </c>
      <c r="K4115" s="5" t="s">
        <v>292</v>
      </c>
      <c r="L4115" s="5" t="s">
        <v>8895</v>
      </c>
      <c r="M4115" s="5">
        <v>188</v>
      </c>
      <c r="N4115" s="5" t="s">
        <v>6401</v>
      </c>
      <c r="S4115" s="5" t="s">
        <v>852</v>
      </c>
    </row>
    <row r="4116" spans="1:21" x14ac:dyDescent="0.2">
      <c r="A4116">
        <v>11</v>
      </c>
      <c r="B4116" s="8" t="s">
        <v>9075</v>
      </c>
      <c r="H4116" s="8" t="s">
        <v>6399</v>
      </c>
      <c r="I4116" s="8" t="s">
        <v>6399</v>
      </c>
      <c r="J4116" s="5">
        <f>678+549</f>
        <v>1227</v>
      </c>
      <c r="K4116" s="5" t="s">
        <v>292</v>
      </c>
      <c r="L4116" s="5" t="s">
        <v>8895</v>
      </c>
      <c r="M4116" s="5">
        <v>188</v>
      </c>
      <c r="N4116" s="5" t="s">
        <v>6401</v>
      </c>
      <c r="U4116" t="s">
        <v>321</v>
      </c>
    </row>
    <row r="4117" spans="1:21" x14ac:dyDescent="0.2">
      <c r="A4117">
        <v>12</v>
      </c>
      <c r="B4117" s="8" t="s">
        <v>9174</v>
      </c>
      <c r="H4117" s="130" t="s">
        <v>6399</v>
      </c>
      <c r="I4117" s="130" t="s">
        <v>6399</v>
      </c>
      <c r="J4117" s="5">
        <f>500+191</f>
        <v>691</v>
      </c>
      <c r="K4117" s="5" t="s">
        <v>292</v>
      </c>
      <c r="L4117" s="5" t="s">
        <v>8895</v>
      </c>
      <c r="M4117" s="5">
        <v>188</v>
      </c>
      <c r="N4117" s="5" t="s">
        <v>6401</v>
      </c>
      <c r="S4117" s="5" t="s">
        <v>852</v>
      </c>
    </row>
    <row r="4118" spans="1:21" x14ac:dyDescent="0.2">
      <c r="A4118" s="63" t="s">
        <v>6307</v>
      </c>
      <c r="H4118" s="130"/>
      <c r="I4118" s="130"/>
    </row>
    <row r="4119" spans="1:21" x14ac:dyDescent="0.2">
      <c r="A4119">
        <v>13</v>
      </c>
      <c r="B4119" s="8" t="s">
        <v>9175</v>
      </c>
      <c r="H4119" s="130" t="s">
        <v>6399</v>
      </c>
      <c r="I4119" s="130" t="s">
        <v>6399</v>
      </c>
      <c r="J4119" s="5">
        <f>272-8+231</f>
        <v>495</v>
      </c>
      <c r="K4119" s="5" t="s">
        <v>292</v>
      </c>
      <c r="L4119" s="5" t="s">
        <v>8895</v>
      </c>
      <c r="M4119" s="5">
        <v>190</v>
      </c>
      <c r="N4119" s="5" t="s">
        <v>6401</v>
      </c>
      <c r="Q4119" s="107" t="s">
        <v>6776</v>
      </c>
    </row>
    <row r="4120" spans="1:21" x14ac:dyDescent="0.2">
      <c r="A4120">
        <v>14</v>
      </c>
      <c r="B4120" s="8" t="s">
        <v>6626</v>
      </c>
      <c r="C4120" s="8" t="s">
        <v>9176</v>
      </c>
      <c r="H4120" s="8" t="s">
        <v>6798</v>
      </c>
      <c r="I4120" s="8" t="s">
        <v>6798</v>
      </c>
      <c r="J4120" s="5">
        <f>587-192-40-48-2-8-4-8-56-56-24-49-32-4-64+250-18+100-80-90</f>
        <v>162</v>
      </c>
      <c r="K4120" s="5" t="s">
        <v>292</v>
      </c>
      <c r="L4120" s="5" t="s">
        <v>8895</v>
      </c>
      <c r="M4120" s="5">
        <v>190</v>
      </c>
      <c r="N4120" s="5" t="s">
        <v>6401</v>
      </c>
      <c r="Q4120" s="107" t="s">
        <v>6429</v>
      </c>
      <c r="S4120" s="5" t="s">
        <v>852</v>
      </c>
    </row>
    <row r="4121" spans="1:21" x14ac:dyDescent="0.2">
      <c r="A4121">
        <v>15</v>
      </c>
      <c r="B4121" s="8" t="s">
        <v>6628</v>
      </c>
      <c r="H4121" s="8" t="s">
        <v>9177</v>
      </c>
      <c r="I4121" s="8" t="s">
        <v>6798</v>
      </c>
      <c r="J4121" s="5">
        <f>30+300-34-40-4-32-4+6-80-47-40-1-40-12-2+300-20-4-6-4+1-40-110-2-40-63+500-5-34-32-4+76-7-2-32-63-39-4-4-4-4-8-8-32-14-49-23-16-4</f>
        <v>200</v>
      </c>
      <c r="K4121" s="5" t="s">
        <v>292</v>
      </c>
      <c r="L4121" s="5" t="s">
        <v>8895</v>
      </c>
      <c r="M4121" s="5">
        <v>190</v>
      </c>
      <c r="N4121" s="5" t="s">
        <v>6401</v>
      </c>
      <c r="Q4121" s="107" t="s">
        <v>6429</v>
      </c>
      <c r="S4121" s="5" t="s">
        <v>852</v>
      </c>
    </row>
    <row r="4122" spans="1:21" x14ac:dyDescent="0.2">
      <c r="A4122">
        <v>16</v>
      </c>
      <c r="B4122" s="8" t="s">
        <v>6630</v>
      </c>
      <c r="H4122" s="8" t="s">
        <v>9178</v>
      </c>
      <c r="I4122" s="8" t="s">
        <v>6798</v>
      </c>
      <c r="J4122" s="5">
        <f>415+384-144-8-8-8-1-378+8-6-12-6+1000+9-6-3-10-16-2-3+48-6+93+3-24-216-6-20-12-48-32-8-8-6-72-1-6-396-32-32-126-12-32-36-30-36-4-12+120-16-6-144-2+1000-8-30-12-1-24-52-42-96-108-4</f>
        <v>711</v>
      </c>
      <c r="K4122" s="5" t="s">
        <v>292</v>
      </c>
      <c r="L4122" s="5" t="s">
        <v>8895</v>
      </c>
      <c r="M4122" s="5">
        <v>191</v>
      </c>
      <c r="N4122" s="5" t="s">
        <v>6401</v>
      </c>
      <c r="Q4122" s="107" t="s">
        <v>6429</v>
      </c>
    </row>
    <row r="4123" spans="1:21" x14ac:dyDescent="0.2">
      <c r="B4123" s="8" t="s">
        <v>6632</v>
      </c>
      <c r="H4123" s="130" t="s">
        <v>6399</v>
      </c>
      <c r="I4123" s="8" t="s">
        <v>6798</v>
      </c>
      <c r="J4123" s="5">
        <v>0</v>
      </c>
      <c r="K4123" s="5" t="s">
        <v>292</v>
      </c>
      <c r="L4123" s="5" t="s">
        <v>8895</v>
      </c>
      <c r="M4123" s="5">
        <v>191</v>
      </c>
      <c r="N4123" s="5" t="s">
        <v>6401</v>
      </c>
    </row>
    <row r="4124" spans="1:21" x14ac:dyDescent="0.2">
      <c r="A4124">
        <v>17</v>
      </c>
      <c r="B4124" s="8" t="s">
        <v>9179</v>
      </c>
      <c r="H4124" s="8" t="s">
        <v>6798</v>
      </c>
      <c r="I4124" s="8" t="s">
        <v>6798</v>
      </c>
      <c r="J4124" s="5">
        <f>40+202+100-4+101-24+19+29+62-32+228-4-30-4-21-4+100-3-3-6-6-2</f>
        <v>738</v>
      </c>
      <c r="K4124" s="5" t="s">
        <v>292</v>
      </c>
      <c r="L4124" s="5" t="s">
        <v>8895</v>
      </c>
      <c r="M4124" s="5">
        <v>191</v>
      </c>
      <c r="N4124" s="5" t="s">
        <v>6401</v>
      </c>
      <c r="S4124" s="5" t="s">
        <v>852</v>
      </c>
    </row>
    <row r="4125" spans="1:21" x14ac:dyDescent="0.2">
      <c r="A4125">
        <v>18</v>
      </c>
      <c r="B4125" s="8" t="s">
        <v>9180</v>
      </c>
      <c r="H4125" s="130" t="s">
        <v>6399</v>
      </c>
      <c r="I4125" s="8" t="s">
        <v>6798</v>
      </c>
      <c r="J4125" s="5">
        <f>46-16</f>
        <v>30</v>
      </c>
      <c r="K4125" s="5" t="s">
        <v>292</v>
      </c>
      <c r="L4125" s="5" t="s">
        <v>8895</v>
      </c>
      <c r="M4125" s="5">
        <v>192</v>
      </c>
      <c r="N4125" s="5" t="s">
        <v>6401</v>
      </c>
    </row>
    <row r="4126" spans="1:21" x14ac:dyDescent="0.2">
      <c r="B4126" s="8" t="s">
        <v>9181</v>
      </c>
      <c r="H4126" s="8" t="s">
        <v>9182</v>
      </c>
      <c r="I4126" s="8" t="s">
        <v>6798</v>
      </c>
      <c r="J4126" s="5">
        <f>0</f>
        <v>0</v>
      </c>
      <c r="K4126" s="5" t="s">
        <v>292</v>
      </c>
      <c r="L4126" s="5" t="s">
        <v>8895</v>
      </c>
      <c r="M4126" s="5">
        <v>192</v>
      </c>
      <c r="N4126" s="5" t="s">
        <v>6401</v>
      </c>
      <c r="S4126" s="5" t="s">
        <v>852</v>
      </c>
    </row>
    <row r="4127" spans="1:21" x14ac:dyDescent="0.2">
      <c r="A4127">
        <v>19</v>
      </c>
      <c r="B4127" s="8" t="s">
        <v>9183</v>
      </c>
      <c r="H4127" s="8" t="s">
        <v>6798</v>
      </c>
      <c r="I4127" s="8" t="s">
        <v>6798</v>
      </c>
      <c r="J4127" s="5">
        <f>1197-7-4-12-5-4-32-64</f>
        <v>1069</v>
      </c>
      <c r="K4127" s="5" t="s">
        <v>292</v>
      </c>
      <c r="L4127" s="5" t="s">
        <v>8895</v>
      </c>
      <c r="M4127" s="5">
        <v>192</v>
      </c>
      <c r="N4127" s="5" t="s">
        <v>6401</v>
      </c>
      <c r="S4127" s="5" t="s">
        <v>852</v>
      </c>
    </row>
    <row r="4128" spans="1:21" x14ac:dyDescent="0.2">
      <c r="A4128">
        <v>20</v>
      </c>
      <c r="B4128" s="8" t="s">
        <v>9184</v>
      </c>
      <c r="H4128" s="8" t="s">
        <v>6798</v>
      </c>
      <c r="I4128" s="8" t="s">
        <v>6798</v>
      </c>
      <c r="J4128" s="5">
        <f>470+59+482+343+164-35-5</f>
        <v>1478</v>
      </c>
      <c r="K4128" s="5" t="s">
        <v>292</v>
      </c>
      <c r="L4128" s="5" t="s">
        <v>8895</v>
      </c>
      <c r="M4128" s="5">
        <v>192</v>
      </c>
      <c r="N4128" s="5" t="s">
        <v>6401</v>
      </c>
    </row>
    <row r="4129" spans="1:21" x14ac:dyDescent="0.2">
      <c r="A4129">
        <v>21</v>
      </c>
      <c r="B4129" s="8" t="s">
        <v>9185</v>
      </c>
      <c r="H4129" s="8" t="s">
        <v>6798</v>
      </c>
      <c r="I4129" s="8" t="s">
        <v>6798</v>
      </c>
      <c r="J4129" s="5">
        <f>34</f>
        <v>34</v>
      </c>
      <c r="K4129" s="5" t="s">
        <v>292</v>
      </c>
      <c r="L4129" s="5" t="s">
        <v>8895</v>
      </c>
      <c r="M4129" s="5">
        <v>192</v>
      </c>
      <c r="N4129" s="5" t="s">
        <v>6401</v>
      </c>
      <c r="U4129" t="s">
        <v>321</v>
      </c>
    </row>
    <row r="4130" spans="1:21" x14ac:dyDescent="0.2">
      <c r="B4130" s="8" t="s">
        <v>9186</v>
      </c>
      <c r="I4130" s="8" t="s">
        <v>6399</v>
      </c>
      <c r="J4130" s="5">
        <f>100</f>
        <v>100</v>
      </c>
      <c r="K4130" s="5" t="s">
        <v>292</v>
      </c>
      <c r="L4130" s="5" t="s">
        <v>8895</v>
      </c>
      <c r="M4130" s="5">
        <v>192</v>
      </c>
    </row>
    <row r="4131" spans="1:21" x14ac:dyDescent="0.2">
      <c r="A4131" s="63" t="s">
        <v>2668</v>
      </c>
    </row>
    <row r="4132" spans="1:21" x14ac:dyDescent="0.2">
      <c r="A4132">
        <v>22</v>
      </c>
      <c r="B4132" s="8" t="s">
        <v>6422</v>
      </c>
      <c r="H4132" s="8" t="s">
        <v>9187</v>
      </c>
      <c r="I4132" s="8" t="s">
        <v>6798</v>
      </c>
      <c r="J4132" s="5">
        <f>460-32-64+32-32-40-32-144-1-135+500-120</f>
        <v>392</v>
      </c>
      <c r="K4132" s="5" t="s">
        <v>292</v>
      </c>
      <c r="L4132" s="5" t="s">
        <v>8895</v>
      </c>
      <c r="M4132" s="5">
        <v>193</v>
      </c>
      <c r="N4132" s="5" t="s">
        <v>6401</v>
      </c>
      <c r="Q4132" s="107" t="s">
        <v>6329</v>
      </c>
    </row>
    <row r="4133" spans="1:21" x14ac:dyDescent="0.2">
      <c r="A4133">
        <v>23</v>
      </c>
      <c r="B4133" s="8" t="s">
        <v>6425</v>
      </c>
      <c r="H4133" s="8" t="s">
        <v>9188</v>
      </c>
      <c r="I4133" s="8" t="s">
        <v>6798</v>
      </c>
      <c r="J4133" s="5">
        <f>500-14+40-8-12+36+16-64-12-8-6-8-8-192-24-3+100-1-6-4-15-22-66+22-4-22-12-64-128-7+394-4-8-160-64+14-160-8+60+660</f>
        <v>728</v>
      </c>
      <c r="K4133" s="5" t="s">
        <v>292</v>
      </c>
      <c r="L4133" s="5" t="s">
        <v>8895</v>
      </c>
      <c r="M4133" s="5">
        <v>193</v>
      </c>
      <c r="N4133" s="5" t="s">
        <v>6401</v>
      </c>
      <c r="Q4133" s="107" t="s">
        <v>6799</v>
      </c>
    </row>
    <row r="4134" spans="1:21" x14ac:dyDescent="0.2">
      <c r="A4134">
        <v>24</v>
      </c>
      <c r="B4134" s="8" t="s">
        <v>6427</v>
      </c>
      <c r="H4134" s="8" t="s">
        <v>6399</v>
      </c>
      <c r="I4134" s="8" t="s">
        <v>6798</v>
      </c>
      <c r="J4134" s="5">
        <f>889-264-12-7-7-14-56-48-345-90-7-8-20-2+50+77-15-9-36-8-50+1000-32-90-80+200</f>
        <v>1016</v>
      </c>
      <c r="K4134" s="5" t="s">
        <v>292</v>
      </c>
      <c r="L4134" s="5" t="s">
        <v>8895</v>
      </c>
      <c r="M4134" s="5">
        <v>194</v>
      </c>
      <c r="N4134" s="5" t="s">
        <v>6401</v>
      </c>
      <c r="Q4134" s="5" t="s">
        <v>9189</v>
      </c>
    </row>
    <row r="4135" spans="1:21" x14ac:dyDescent="0.2">
      <c r="B4135" s="8" t="s">
        <v>9102</v>
      </c>
      <c r="H4135" s="8" t="s">
        <v>6399</v>
      </c>
      <c r="I4135" s="8" t="s">
        <v>6798</v>
      </c>
      <c r="J4135" s="5">
        <f>354-24-8-48-16-32-72-20-18-6-80-16-3-11</f>
        <v>0</v>
      </c>
      <c r="K4135" s="5" t="s">
        <v>292</v>
      </c>
      <c r="L4135" s="5" t="s">
        <v>8895</v>
      </c>
      <c r="M4135" s="5">
        <v>194</v>
      </c>
      <c r="N4135" s="5" t="s">
        <v>6401</v>
      </c>
    </row>
    <row r="4136" spans="1:21" x14ac:dyDescent="0.2">
      <c r="A4136">
        <v>25</v>
      </c>
      <c r="B4136" s="8" t="s">
        <v>6502</v>
      </c>
      <c r="H4136" s="8" t="s">
        <v>6399</v>
      </c>
      <c r="I4136" s="8" t="s">
        <v>6798</v>
      </c>
      <c r="J4136" s="5">
        <f>5974-4-6-63-8-144-8-96-18+500+852+800+624-4+448-4-145-40-6-60-2-975-64-90-48-4-40-8-4-2+74-4-8-8-2-7-472-7-175-7-126-6-3-4-16-2-128-14-16-128-32-15-96-12-16-8-24-4-6</f>
        <v>6083</v>
      </c>
      <c r="K4136" s="5" t="s">
        <v>292</v>
      </c>
      <c r="L4136" s="5" t="s">
        <v>8895</v>
      </c>
      <c r="M4136" s="5">
        <v>194</v>
      </c>
      <c r="N4136" s="5" t="s">
        <v>6401</v>
      </c>
      <c r="Q4136" s="107"/>
      <c r="U4136" t="s">
        <v>9190</v>
      </c>
    </row>
    <row r="4137" spans="1:21" x14ac:dyDescent="0.2">
      <c r="A4137">
        <v>26</v>
      </c>
      <c r="B4137" s="8" t="s">
        <v>6433</v>
      </c>
      <c r="H4137" s="8" t="s">
        <v>6399</v>
      </c>
      <c r="I4137" s="8" t="s">
        <v>6798</v>
      </c>
      <c r="J4137" s="5">
        <f>474+4-32-64-16-96-32-18-4-168-4-10-17-2-6+1-2+1000-12-60-13-36-18-15+14-96-4-10-15+43-32-12-10-78-42+22-10-8-16-30-36-16-56-80-4-18-2-4-4-12-2-2-4-6-2-4-2-4-4-18-6-8-12-48-72-10-24-32-2-18-8-6-6-8-4-2-6-2-10-2-4+500-97-32-8-40-22-32-16-8-2-32-8+94-4-16-22-14-4+1000+43-24-16-16-32-72-31-36-16-104-8-12-4-909+780-4-4-56-49-128-14-28-10-4-7-28-112-128-16-2+128-162-7-72-18-16-20</f>
        <v>23</v>
      </c>
      <c r="K4137" s="5" t="s">
        <v>292</v>
      </c>
      <c r="L4137" s="5" t="s">
        <v>8895</v>
      </c>
      <c r="M4137" s="5">
        <v>195</v>
      </c>
      <c r="N4137" s="5" t="s">
        <v>6401</v>
      </c>
      <c r="Q4137" s="5" t="s">
        <v>6243</v>
      </c>
    </row>
    <row r="4138" spans="1:21" x14ac:dyDescent="0.2">
      <c r="A4138">
        <v>27</v>
      </c>
      <c r="B4138" s="8" t="s">
        <v>6435</v>
      </c>
      <c r="H4138" s="8" t="s">
        <v>6399</v>
      </c>
      <c r="I4138" s="8" t="s">
        <v>6798</v>
      </c>
      <c r="J4138" s="5">
        <f>16-16+1396-169-16-6+36-286-64-32-32-19-4-8-32-16-2-2-4-5-26-18-13-2-2-255-160-39-32-16-20-24-16-32-48-32+64-2+250-81</f>
        <v>231</v>
      </c>
      <c r="K4138" s="5" t="s">
        <v>292</v>
      </c>
      <c r="L4138" s="5" t="s">
        <v>8895</v>
      </c>
      <c r="M4138" s="5">
        <v>195</v>
      </c>
      <c r="N4138" s="5" t="s">
        <v>6401</v>
      </c>
    </row>
    <row r="4139" spans="1:21" x14ac:dyDescent="0.2">
      <c r="A4139">
        <v>28</v>
      </c>
      <c r="B4139" s="8" t="s">
        <v>8922</v>
      </c>
      <c r="H4139" s="8" t="s">
        <v>6399</v>
      </c>
      <c r="I4139" s="8" t="s">
        <v>6798</v>
      </c>
      <c r="J4139" s="5">
        <f>45-36-8+1110-3-3-35-60-16-1-18-120-40-4-4-6-8-8-4-4-12</f>
        <v>765</v>
      </c>
      <c r="K4139" s="5" t="s">
        <v>292</v>
      </c>
      <c r="L4139" s="5" t="s">
        <v>8895</v>
      </c>
      <c r="M4139" s="5">
        <v>196</v>
      </c>
      <c r="N4139" s="5" t="s">
        <v>6401</v>
      </c>
    </row>
    <row r="4140" spans="1:21" x14ac:dyDescent="0.2">
      <c r="A4140">
        <v>29</v>
      </c>
      <c r="B4140" s="8" t="s">
        <v>6504</v>
      </c>
      <c r="H4140" s="8" t="s">
        <v>6399</v>
      </c>
      <c r="I4140" s="8" t="s">
        <v>6798</v>
      </c>
      <c r="J4140" s="5">
        <f>81-2-6+2-4-36+1-12+452+48-4-126-2-8-4-4+1+117-12-1-1+82+5-2-4-2-4-4-2-2-6-2-12-18-4-96-4-6-3-12-12-16-6-4-16-200+8-42-10-6-3-1-12-1+392-2+56+112-4-2-8-33-6-16-8-36-2-2-2-16-128-2-5-16+85-32-32-32-8-16-2+24</f>
        <v>322</v>
      </c>
      <c r="K4140" s="5" t="s">
        <v>292</v>
      </c>
      <c r="L4140" s="5" t="s">
        <v>8895</v>
      </c>
      <c r="M4140" s="5">
        <v>196</v>
      </c>
      <c r="N4140" s="5" t="s">
        <v>6401</v>
      </c>
    </row>
    <row r="4141" spans="1:21" x14ac:dyDescent="0.2">
      <c r="A4141">
        <v>1</v>
      </c>
      <c r="B4141" s="8" t="s">
        <v>6438</v>
      </c>
      <c r="H4141" s="8" t="s">
        <v>6399</v>
      </c>
      <c r="I4141" s="8" t="s">
        <v>6798</v>
      </c>
      <c r="J4141" s="5">
        <f>811-8-48-1-3-16-32-1-6-24-2-24+2-12-12-8+2-3-6-2-4-3-3-1-2-16-66-2-16-16-6-88-70-48+96-4-96-8-8-8+44-8</f>
        <v>274</v>
      </c>
      <c r="K4141" s="5" t="s">
        <v>292</v>
      </c>
      <c r="L4141" s="5" t="s">
        <v>8895</v>
      </c>
      <c r="M4141" s="5">
        <v>197</v>
      </c>
      <c r="N4141" s="5" t="s">
        <v>6401</v>
      </c>
    </row>
    <row r="4142" spans="1:21" x14ac:dyDescent="0.2">
      <c r="A4142">
        <v>2</v>
      </c>
      <c r="B4142" s="8" t="s">
        <v>9191</v>
      </c>
      <c r="H4142" s="8" t="s">
        <v>6399</v>
      </c>
      <c r="I4142" s="8" t="s">
        <v>6798</v>
      </c>
      <c r="J4142" s="5">
        <f>736-20-96-44-24-12-100-70-100+13+216+56-10-28-8-16-2-70-2-12</f>
        <v>407</v>
      </c>
      <c r="K4142" s="5" t="s">
        <v>292</v>
      </c>
      <c r="L4142" s="5" t="s">
        <v>8895</v>
      </c>
      <c r="M4142" s="5">
        <v>197</v>
      </c>
      <c r="N4142" s="5" t="s">
        <v>6401</v>
      </c>
    </row>
    <row r="4143" spans="1:21" x14ac:dyDescent="0.2">
      <c r="A4143">
        <v>1</v>
      </c>
      <c r="B4143" s="8" t="s">
        <v>6441</v>
      </c>
      <c r="H4143" s="8" t="s">
        <v>6399</v>
      </c>
      <c r="I4143" s="8" t="s">
        <v>6798</v>
      </c>
      <c r="J4143" s="5">
        <f>76-48-2+1+496-2-20-12+14-6-6-4-8-4-16-12-200-4+100-48+112-31-2-29-4-57-2-8-14-32-2-12</f>
        <v>214</v>
      </c>
      <c r="K4143" s="5" t="s">
        <v>292</v>
      </c>
      <c r="L4143" s="5" t="s">
        <v>8895</v>
      </c>
      <c r="M4143" s="5">
        <v>198</v>
      </c>
      <c r="N4143" s="5" t="s">
        <v>6401</v>
      </c>
    </row>
    <row r="4144" spans="1:21" x14ac:dyDescent="0.2">
      <c r="A4144">
        <v>2</v>
      </c>
      <c r="B4144" s="8" t="s">
        <v>9192</v>
      </c>
      <c r="H4144" s="8" t="s">
        <v>6399</v>
      </c>
      <c r="I4144" s="8" t="s">
        <v>6798</v>
      </c>
      <c r="J4144" s="5">
        <f>236+2-6-6-20-16-2</f>
        <v>188</v>
      </c>
      <c r="K4144" s="5" t="s">
        <v>292</v>
      </c>
      <c r="L4144" s="5" t="s">
        <v>8895</v>
      </c>
      <c r="M4144" s="5">
        <v>198</v>
      </c>
      <c r="N4144" s="5" t="s">
        <v>6401</v>
      </c>
    </row>
    <row r="4145" spans="1:21" x14ac:dyDescent="0.2">
      <c r="A4145">
        <v>1</v>
      </c>
      <c r="B4145" s="8" t="s">
        <v>6443</v>
      </c>
      <c r="H4145" s="8" t="s">
        <v>6399</v>
      </c>
      <c r="I4145" s="8" t="s">
        <v>6798</v>
      </c>
      <c r="J4145" s="5">
        <f>10+52+150-32-12-84+500-4+2000-48-6-6-16-2-12-100-88-28+100-12-100-32</f>
        <v>2230</v>
      </c>
      <c r="K4145" s="5" t="s">
        <v>292</v>
      </c>
      <c r="L4145" s="5" t="s">
        <v>8895</v>
      </c>
      <c r="M4145" s="5">
        <v>199</v>
      </c>
      <c r="N4145" s="5" t="s">
        <v>6401</v>
      </c>
      <c r="Q4145" s="107" t="s">
        <v>6429</v>
      </c>
    </row>
    <row r="4146" spans="1:21" x14ac:dyDescent="0.2">
      <c r="A4146">
        <v>2</v>
      </c>
      <c r="B4146" s="8" t="s">
        <v>6445</v>
      </c>
      <c r="H4146" s="8" t="s">
        <v>6399</v>
      </c>
      <c r="I4146" s="8" t="s">
        <v>6798</v>
      </c>
      <c r="J4146" s="5">
        <f>18+237-4-4-32-28-2-2-2+2-32+1-10</f>
        <v>142</v>
      </c>
      <c r="K4146" s="5" t="s">
        <v>292</v>
      </c>
      <c r="L4146" s="5" t="s">
        <v>8895</v>
      </c>
      <c r="M4146" s="5">
        <v>199</v>
      </c>
      <c r="N4146" s="5" t="s">
        <v>6401</v>
      </c>
      <c r="U4146" t="s">
        <v>321</v>
      </c>
    </row>
    <row r="4147" spans="1:21" x14ac:dyDescent="0.2">
      <c r="A4147">
        <v>1</v>
      </c>
      <c r="B4147" s="8" t="s">
        <v>6447</v>
      </c>
      <c r="H4147" s="8" t="s">
        <v>6399</v>
      </c>
      <c r="I4147" s="8" t="s">
        <v>6798</v>
      </c>
      <c r="J4147" s="5">
        <f>112+4+32-10</f>
        <v>138</v>
      </c>
      <c r="K4147" s="5" t="s">
        <v>292</v>
      </c>
      <c r="L4147" s="5" t="s">
        <v>8895</v>
      </c>
      <c r="M4147" s="5">
        <v>200</v>
      </c>
      <c r="N4147" s="5" t="s">
        <v>6401</v>
      </c>
      <c r="Q4147" s="107"/>
      <c r="U4147" t="s">
        <v>321</v>
      </c>
    </row>
    <row r="4148" spans="1:21" x14ac:dyDescent="0.2">
      <c r="A4148">
        <v>2</v>
      </c>
      <c r="B4148" s="8" t="s">
        <v>9193</v>
      </c>
      <c r="H4148" s="8" t="s">
        <v>6399</v>
      </c>
      <c r="I4148" s="8" t="s">
        <v>6798</v>
      </c>
      <c r="J4148" s="5">
        <f>17+81-10+78</f>
        <v>166</v>
      </c>
      <c r="K4148" s="5" t="s">
        <v>292</v>
      </c>
      <c r="L4148" s="5" t="s">
        <v>8895</v>
      </c>
      <c r="M4148" s="5">
        <v>200</v>
      </c>
      <c r="N4148" s="5" t="s">
        <v>6401</v>
      </c>
      <c r="Q4148" s="107"/>
      <c r="U4148" t="s">
        <v>321</v>
      </c>
    </row>
    <row r="4149" spans="1:21" x14ac:dyDescent="0.2">
      <c r="A4149">
        <v>1</v>
      </c>
      <c r="B4149" s="8" t="s">
        <v>9194</v>
      </c>
      <c r="H4149" s="8" t="s">
        <v>6399</v>
      </c>
      <c r="I4149" s="8" t="s">
        <v>6798</v>
      </c>
      <c r="J4149" s="5">
        <f>75</f>
        <v>75</v>
      </c>
      <c r="K4149" s="5" t="s">
        <v>292</v>
      </c>
      <c r="L4149" s="5" t="s">
        <v>8895</v>
      </c>
      <c r="M4149" s="5">
        <v>201</v>
      </c>
      <c r="N4149" s="5" t="s">
        <v>6401</v>
      </c>
      <c r="Q4149" s="107"/>
      <c r="U4149" t="s">
        <v>321</v>
      </c>
    </row>
    <row r="4150" spans="1:21" x14ac:dyDescent="0.2">
      <c r="A4150">
        <v>2</v>
      </c>
      <c r="B4150" s="8" t="s">
        <v>9195</v>
      </c>
      <c r="H4150" s="8" t="s">
        <v>6399</v>
      </c>
      <c r="I4150" s="8" t="s">
        <v>6798</v>
      </c>
      <c r="J4150" s="5">
        <f>15</f>
        <v>15</v>
      </c>
      <c r="K4150" s="5" t="s">
        <v>292</v>
      </c>
      <c r="L4150" s="5" t="s">
        <v>8895</v>
      </c>
      <c r="M4150" s="5">
        <v>201</v>
      </c>
      <c r="N4150" s="5" t="s">
        <v>6401</v>
      </c>
      <c r="Q4150" s="107"/>
      <c r="U4150" t="s">
        <v>321</v>
      </c>
    </row>
    <row r="4151" spans="1:21" x14ac:dyDescent="0.2">
      <c r="A4151" s="63" t="s">
        <v>6209</v>
      </c>
      <c r="Q4151" s="107"/>
    </row>
    <row r="4152" spans="1:21" x14ac:dyDescent="0.2">
      <c r="A4152" t="s">
        <v>9196</v>
      </c>
      <c r="B4152" s="8" t="s">
        <v>6647</v>
      </c>
      <c r="H4152" s="8" t="s">
        <v>6399</v>
      </c>
      <c r="I4152" s="8" t="s">
        <v>6798</v>
      </c>
      <c r="J4152" s="5">
        <f>200-2</f>
        <v>198</v>
      </c>
      <c r="K4152" s="5" t="s">
        <v>292</v>
      </c>
      <c r="L4152" s="5" t="s">
        <v>8895</v>
      </c>
      <c r="M4152" s="5">
        <v>202</v>
      </c>
      <c r="N4152" s="5" t="s">
        <v>6401</v>
      </c>
      <c r="Q4152" s="107"/>
      <c r="U4152" t="s">
        <v>321</v>
      </c>
    </row>
    <row r="4153" spans="1:21" x14ac:dyDescent="0.2">
      <c r="A4153">
        <v>2</v>
      </c>
      <c r="B4153" s="8" t="s">
        <v>6649</v>
      </c>
      <c r="H4153" s="8" t="s">
        <v>6399</v>
      </c>
      <c r="I4153" s="8" t="s">
        <v>6798</v>
      </c>
      <c r="J4153" s="5">
        <f>270+100-32</f>
        <v>338</v>
      </c>
      <c r="K4153" s="5" t="s">
        <v>292</v>
      </c>
      <c r="L4153" s="5" t="s">
        <v>8895</v>
      </c>
      <c r="M4153" s="5">
        <v>202</v>
      </c>
      <c r="N4153" s="5" t="s">
        <v>6401</v>
      </c>
    </row>
    <row r="4154" spans="1:21" x14ac:dyDescent="0.2">
      <c r="A4154">
        <v>1</v>
      </c>
      <c r="B4154" s="8" t="s">
        <v>6564</v>
      </c>
      <c r="H4154" s="8" t="s">
        <v>6399</v>
      </c>
      <c r="I4154" s="8" t="s">
        <v>6798</v>
      </c>
      <c r="J4154" s="5">
        <f>3635+26-2-34-8-2-88-2-112-24+300-88-28-56-8-8-8-6+97-24-2-8-4-6-17-32</f>
        <v>3491</v>
      </c>
      <c r="K4154" s="5" t="s">
        <v>292</v>
      </c>
      <c r="L4154" s="5" t="s">
        <v>8895</v>
      </c>
      <c r="M4154" s="5">
        <v>203</v>
      </c>
      <c r="N4154" s="5" t="s">
        <v>6401</v>
      </c>
      <c r="Q4154" s="5" t="s">
        <v>9197</v>
      </c>
    </row>
    <row r="4155" spans="1:21" x14ac:dyDescent="0.2">
      <c r="A4155">
        <v>2</v>
      </c>
      <c r="B4155" s="8" t="s">
        <v>6652</v>
      </c>
      <c r="H4155" s="8" t="s">
        <v>6399</v>
      </c>
      <c r="I4155" s="8" t="s">
        <v>6798</v>
      </c>
      <c r="J4155" s="5">
        <f>1340-2-48-8-8+48-4-8-3-4+11+48-3-16+3-16+1091-4-6-4-4+7-2-2-4+22-12-5+200+100-60-650-6-12-156-12-34-4-32-8-16-16-12-66-88-88-16-4-16-4-36-850-2-20-4-147+47-48-36-88-20-38-28-90-20-27</f>
        <v>0</v>
      </c>
      <c r="K4155" s="5" t="s">
        <v>292</v>
      </c>
      <c r="L4155" s="5" t="s">
        <v>8895</v>
      </c>
      <c r="M4155" s="5">
        <v>203</v>
      </c>
      <c r="N4155" s="5" t="s">
        <v>6401</v>
      </c>
    </row>
    <row r="4156" spans="1:21" x14ac:dyDescent="0.2">
      <c r="B4156" s="8" t="s">
        <v>6452</v>
      </c>
      <c r="H4156" s="8" t="s">
        <v>6399</v>
      </c>
      <c r="I4156" s="8" t="s">
        <v>6798</v>
      </c>
      <c r="J4156" s="5">
        <f>500-9-118+1058+276-118-30-8-6-75-48-4+60-48-8-392-2-48-72-15-136-36-32-4</f>
        <v>685</v>
      </c>
      <c r="K4156" s="5" t="s">
        <v>292</v>
      </c>
      <c r="L4156" s="5" t="s">
        <v>8895</v>
      </c>
      <c r="M4156" s="5">
        <v>203</v>
      </c>
      <c r="N4156" s="5" t="s">
        <v>6401</v>
      </c>
      <c r="Q4156" s="107" t="s">
        <v>6210</v>
      </c>
    </row>
    <row r="4157" spans="1:21" x14ac:dyDescent="0.2">
      <c r="A4157">
        <v>1</v>
      </c>
      <c r="B4157" s="8" t="s">
        <v>6454</v>
      </c>
      <c r="H4157" s="8" t="s">
        <v>6399</v>
      </c>
      <c r="I4157" s="8" t="s">
        <v>6798</v>
      </c>
      <c r="J4157" s="5">
        <f>118-2-2-12-8-16-32+140+36+30+24+2080-108-96-10</f>
        <v>2142</v>
      </c>
      <c r="K4157" s="5" t="s">
        <v>292</v>
      </c>
      <c r="L4157" s="5" t="s">
        <v>8895</v>
      </c>
      <c r="M4157" s="5">
        <v>204</v>
      </c>
      <c r="N4157" s="5" t="s">
        <v>6401</v>
      </c>
      <c r="Q4157" s="5" t="s">
        <v>6210</v>
      </c>
    </row>
    <row r="4158" spans="1:21" ht="17.25" customHeight="1" x14ac:dyDescent="0.2">
      <c r="A4158">
        <v>2</v>
      </c>
      <c r="B4158" s="8" t="s">
        <v>6456</v>
      </c>
      <c r="H4158" s="8" t="s">
        <v>6399</v>
      </c>
      <c r="I4158" s="8" t="s">
        <v>6798</v>
      </c>
      <c r="J4158" s="5">
        <f>30+20+8+520-9</f>
        <v>569</v>
      </c>
      <c r="K4158" s="5" t="s">
        <v>292</v>
      </c>
      <c r="L4158" s="5" t="s">
        <v>8895</v>
      </c>
      <c r="M4158" s="5">
        <v>204</v>
      </c>
      <c r="N4158" s="5" t="s">
        <v>6401</v>
      </c>
      <c r="Q4158" s="107" t="s">
        <v>9101</v>
      </c>
    </row>
    <row r="4159" spans="1:21" x14ac:dyDescent="0.2">
      <c r="A4159">
        <v>1</v>
      </c>
      <c r="B4159" s="8" t="s">
        <v>6656</v>
      </c>
      <c r="H4159" s="8" t="s">
        <v>6399</v>
      </c>
      <c r="I4159" s="8" t="s">
        <v>6798</v>
      </c>
      <c r="J4159" s="5">
        <f>97-12-4-64+1-12+500-6-64-4-64-6+4-32+18-32-30-32-8-2+1-1-100-44-37+58-30-8-16-71+1000+93-32-8-26-2-72-24-16-112-10+4-12-24-15-18-16</f>
        <v>710</v>
      </c>
      <c r="K4159" s="5" t="s">
        <v>292</v>
      </c>
      <c r="L4159" s="5" t="s">
        <v>8895</v>
      </c>
      <c r="M4159" s="5">
        <v>205</v>
      </c>
      <c r="N4159" s="5" t="s">
        <v>6401</v>
      </c>
      <c r="Q4159" s="5" t="s">
        <v>6243</v>
      </c>
    </row>
    <row r="4160" spans="1:21" x14ac:dyDescent="0.2">
      <c r="A4160">
        <v>2</v>
      </c>
      <c r="B4160" s="8" t="s">
        <v>6460</v>
      </c>
      <c r="H4160" s="8" t="s">
        <v>6399</v>
      </c>
      <c r="I4160" s="8" t="s">
        <v>6798</v>
      </c>
      <c r="J4160" s="5">
        <f>954-16-23-16-16-12-50-7-216-50-25-384-102-20-8-3-6+200-96+12-2-20-18-12+70+200-1+150-16-48-48-3-40-8+50-97-30-20-10-3-20-78-24-34-24-10+215-4-32-60-10-16+60+188+20+49+24+8-10-18</f>
        <v>434</v>
      </c>
      <c r="K4160" s="5" t="s">
        <v>292</v>
      </c>
      <c r="L4160" s="5" t="s">
        <v>8895</v>
      </c>
      <c r="M4160" s="5">
        <v>205</v>
      </c>
      <c r="N4160" s="5" t="s">
        <v>6401</v>
      </c>
      <c r="Q4160" s="107" t="s">
        <v>9198</v>
      </c>
    </row>
    <row r="4161" spans="1:21" x14ac:dyDescent="0.2">
      <c r="A4161">
        <v>1</v>
      </c>
      <c r="B4161" s="8" t="s">
        <v>6463</v>
      </c>
      <c r="H4161" s="8" t="s">
        <v>6399</v>
      </c>
      <c r="I4161" s="8" t="s">
        <v>6798</v>
      </c>
      <c r="J4161" s="5">
        <f>245+78+97-3-24-60+4-24-56-19-32-12-8-24-24+159-32-7-7-42-32-6-6-23-14-64+16-4-12-4-12-6-10-2-12+47+200-8-12-16</f>
        <v>229</v>
      </c>
      <c r="K4161" s="5" t="s">
        <v>292</v>
      </c>
      <c r="L4161" s="5" t="s">
        <v>8895</v>
      </c>
      <c r="M4161" s="5">
        <v>206</v>
      </c>
      <c r="N4161" s="5" t="s">
        <v>6401</v>
      </c>
    </row>
    <row r="4162" spans="1:21" x14ac:dyDescent="0.2">
      <c r="A4162">
        <v>2</v>
      </c>
      <c r="B4162" s="8" t="s">
        <v>9199</v>
      </c>
      <c r="H4162" s="8" t="s">
        <v>6399</v>
      </c>
      <c r="I4162" s="8" t="s">
        <v>6798</v>
      </c>
      <c r="J4162" s="5">
        <v>0</v>
      </c>
      <c r="K4162" s="5" t="s">
        <v>292</v>
      </c>
      <c r="L4162" s="5" t="s">
        <v>8895</v>
      </c>
      <c r="M4162" s="5">
        <v>206</v>
      </c>
      <c r="N4162" s="5" t="s">
        <v>6401</v>
      </c>
      <c r="Q4162" s="107" t="s">
        <v>9189</v>
      </c>
    </row>
    <row r="4163" spans="1:21" x14ac:dyDescent="0.2">
      <c r="B4163" s="8" t="s">
        <v>6465</v>
      </c>
      <c r="H4163" s="8" t="s">
        <v>6399</v>
      </c>
      <c r="I4163" s="8" t="s">
        <v>6798</v>
      </c>
      <c r="J4163" s="5">
        <f>192-4-57+80-24-4-12-33-56-8-60-4+99+2+8+47+8+10</f>
        <v>184</v>
      </c>
      <c r="K4163" s="5" t="s">
        <v>292</v>
      </c>
      <c r="L4163" s="5" t="s">
        <v>8895</v>
      </c>
      <c r="M4163" s="5">
        <v>206</v>
      </c>
      <c r="N4163" s="5" t="s">
        <v>6401</v>
      </c>
      <c r="Q4163" s="107" t="s">
        <v>6592</v>
      </c>
    </row>
    <row r="4164" spans="1:21" x14ac:dyDescent="0.2">
      <c r="A4164">
        <v>1</v>
      </c>
      <c r="B4164" s="8" t="s">
        <v>6466</v>
      </c>
      <c r="H4164" s="8" t="s">
        <v>6399</v>
      </c>
      <c r="I4164" s="8" t="s">
        <v>6798</v>
      </c>
      <c r="J4164" s="5">
        <f>252-14-5+40</f>
        <v>273</v>
      </c>
      <c r="K4164" s="5" t="s">
        <v>292</v>
      </c>
      <c r="L4164" s="5" t="s">
        <v>8895</v>
      </c>
      <c r="M4164" s="5">
        <v>207</v>
      </c>
      <c r="N4164" s="5" t="s">
        <v>6401</v>
      </c>
      <c r="Q4164" s="107" t="s">
        <v>6592</v>
      </c>
    </row>
    <row r="4165" spans="1:21" x14ac:dyDescent="0.2">
      <c r="A4165">
        <v>2</v>
      </c>
      <c r="B4165" s="8" t="s">
        <v>6659</v>
      </c>
      <c r="H4165" s="8" t="s">
        <v>6399</v>
      </c>
      <c r="I4165" s="8" t="s">
        <v>6798</v>
      </c>
      <c r="J4165" s="5">
        <f>300+38-3-96-3-24-12+50-12-12-12-12-12-8-2-36-8-32-32-8-32+2+179-64-10+10-8-20-10-20-20+100</f>
        <v>171</v>
      </c>
      <c r="K4165" s="5" t="s">
        <v>292</v>
      </c>
      <c r="L4165" s="5" t="s">
        <v>8895</v>
      </c>
      <c r="M4165" s="5">
        <v>207</v>
      </c>
      <c r="N4165" s="5" t="s">
        <v>6401</v>
      </c>
      <c r="Q4165" s="107" t="s">
        <v>9200</v>
      </c>
    </row>
    <row r="4166" spans="1:21" x14ac:dyDescent="0.2">
      <c r="A4166">
        <v>1</v>
      </c>
      <c r="B4166" s="8" t="s">
        <v>6467</v>
      </c>
      <c r="H4166" s="8" t="s">
        <v>6399</v>
      </c>
      <c r="I4166" s="8" t="s">
        <v>6798</v>
      </c>
      <c r="J4166" s="5">
        <f>294+133-96-4-4+4+267-8-20-4-30+9-35-4-12-16-4-10-4-166-12-28-16-6-4-40-32+50-4+69-28-60-48+8-48-16-10-10+52+100+50-36</f>
        <v>221</v>
      </c>
      <c r="K4166" s="5" t="s">
        <v>292</v>
      </c>
      <c r="L4166" s="5" t="s">
        <v>8895</v>
      </c>
      <c r="M4166" s="5">
        <v>208</v>
      </c>
      <c r="N4166" s="5" t="s">
        <v>6401</v>
      </c>
    </row>
    <row r="4167" spans="1:21" x14ac:dyDescent="0.2">
      <c r="A4167">
        <v>2</v>
      </c>
      <c r="B4167" s="8" t="s">
        <v>7922</v>
      </c>
      <c r="H4167" s="8" t="s">
        <v>6399</v>
      </c>
      <c r="I4167" s="8" t="s">
        <v>6798</v>
      </c>
      <c r="J4167" s="5">
        <f>300+34+5+997+10-30-16</f>
        <v>1300</v>
      </c>
      <c r="K4167" s="5" t="s">
        <v>292</v>
      </c>
      <c r="L4167" s="5" t="s">
        <v>8895</v>
      </c>
      <c r="M4167" s="5">
        <v>208</v>
      </c>
      <c r="N4167" s="5" t="s">
        <v>6401</v>
      </c>
      <c r="Q4167" s="107" t="s">
        <v>6776</v>
      </c>
    </row>
    <row r="4168" spans="1:21" x14ac:dyDescent="0.2">
      <c r="B4168" s="8" t="s">
        <v>7922</v>
      </c>
      <c r="H4168" s="8" t="s">
        <v>6399</v>
      </c>
      <c r="I4168" s="8" t="s">
        <v>6798</v>
      </c>
      <c r="J4168" s="5">
        <f>997-997</f>
        <v>0</v>
      </c>
      <c r="K4168" s="5" t="s">
        <v>292</v>
      </c>
      <c r="L4168" s="5" t="s">
        <v>8895</v>
      </c>
      <c r="M4168" s="5">
        <v>208</v>
      </c>
      <c r="N4168" s="5" t="s">
        <v>6401</v>
      </c>
      <c r="Q4168" s="107"/>
    </row>
    <row r="4169" spans="1:21" x14ac:dyDescent="0.2">
      <c r="A4169">
        <v>2</v>
      </c>
      <c r="B4169" s="8" t="s">
        <v>9201</v>
      </c>
      <c r="H4169" s="8" t="s">
        <v>6399</v>
      </c>
      <c r="I4169" s="8" t="s">
        <v>6798</v>
      </c>
      <c r="J4169" s="5">
        <f>273-16-5+32+3+21-2-16-4+4-20-14-2-32-16+2</f>
        <v>208</v>
      </c>
      <c r="K4169" s="5" t="s">
        <v>292</v>
      </c>
      <c r="L4169" s="5" t="s">
        <v>8895</v>
      </c>
      <c r="M4169" s="5">
        <v>209</v>
      </c>
      <c r="N4169" s="5" t="s">
        <v>6401</v>
      </c>
    </row>
    <row r="4170" spans="1:21" x14ac:dyDescent="0.2">
      <c r="A4170">
        <v>1</v>
      </c>
      <c r="B4170" s="8" t="s">
        <v>6469</v>
      </c>
      <c r="H4170" s="8" t="s">
        <v>6399</v>
      </c>
      <c r="I4170" s="8" t="s">
        <v>6798</v>
      </c>
      <c r="J4170" s="5">
        <f>1+10</f>
        <v>11</v>
      </c>
      <c r="K4170" s="5" t="s">
        <v>292</v>
      </c>
      <c r="L4170" s="5" t="s">
        <v>8895</v>
      </c>
      <c r="M4170" s="5">
        <v>210</v>
      </c>
      <c r="N4170" s="5" t="s">
        <v>6401</v>
      </c>
      <c r="U4170" t="s">
        <v>321</v>
      </c>
    </row>
    <row r="4171" spans="1:21" x14ac:dyDescent="0.2">
      <c r="A4171">
        <v>2</v>
      </c>
      <c r="B4171" s="8" t="s">
        <v>9202</v>
      </c>
      <c r="H4171" s="8" t="s">
        <v>6399</v>
      </c>
      <c r="I4171" s="8" t="s">
        <v>6798</v>
      </c>
      <c r="J4171" s="5">
        <f>6</f>
        <v>6</v>
      </c>
      <c r="K4171" s="5" t="s">
        <v>292</v>
      </c>
      <c r="L4171" s="5" t="s">
        <v>8895</v>
      </c>
      <c r="M4171" s="5">
        <v>210</v>
      </c>
      <c r="N4171" s="5" t="s">
        <v>6401</v>
      </c>
      <c r="U4171" t="s">
        <v>321</v>
      </c>
    </row>
    <row r="4172" spans="1:21" x14ac:dyDescent="0.2">
      <c r="A4172">
        <v>1</v>
      </c>
      <c r="B4172" s="8" t="s">
        <v>9203</v>
      </c>
      <c r="H4172" s="8" t="s">
        <v>6399</v>
      </c>
      <c r="I4172" s="8" t="s">
        <v>6798</v>
      </c>
      <c r="J4172" s="5">
        <f>237-16</f>
        <v>221</v>
      </c>
      <c r="K4172" s="5" t="s">
        <v>292</v>
      </c>
      <c r="L4172" s="5" t="s">
        <v>8895</v>
      </c>
      <c r="M4172" s="5">
        <v>211</v>
      </c>
      <c r="N4172" s="5" t="s">
        <v>6401</v>
      </c>
      <c r="Q4172" s="107" t="s">
        <v>6332</v>
      </c>
    </row>
    <row r="4173" spans="1:21" x14ac:dyDescent="0.2">
      <c r="A4173">
        <v>2</v>
      </c>
      <c r="B4173" s="8" t="s">
        <v>6473</v>
      </c>
      <c r="H4173" s="8" t="s">
        <v>6399</v>
      </c>
      <c r="I4173" s="8" t="s">
        <v>6798</v>
      </c>
      <c r="J4173" s="20">
        <f>500-72-48+100+66-16-1-60-42-7-1-2-16-2-4-4-4-16</f>
        <v>371</v>
      </c>
      <c r="K4173" s="5" t="s">
        <v>292</v>
      </c>
      <c r="L4173" s="5" t="s">
        <v>8895</v>
      </c>
      <c r="M4173" s="5">
        <v>211</v>
      </c>
      <c r="N4173" s="5" t="s">
        <v>6401</v>
      </c>
      <c r="Q4173" s="107" t="s">
        <v>6776</v>
      </c>
    </row>
    <row r="4174" spans="1:21" x14ac:dyDescent="0.2">
      <c r="A4174">
        <v>1</v>
      </c>
      <c r="B4174" s="8" t="s">
        <v>9204</v>
      </c>
      <c r="H4174" s="8" t="s">
        <v>6399</v>
      </c>
      <c r="I4174" s="8" t="s">
        <v>6798</v>
      </c>
      <c r="J4174" s="5">
        <f>17</f>
        <v>17</v>
      </c>
      <c r="K4174" s="5" t="s">
        <v>292</v>
      </c>
      <c r="L4174" s="5" t="s">
        <v>8895</v>
      </c>
      <c r="M4174" s="5">
        <v>212</v>
      </c>
      <c r="N4174" s="5" t="s">
        <v>6401</v>
      </c>
      <c r="U4174" t="s">
        <v>321</v>
      </c>
    </row>
    <row r="4175" spans="1:21" x14ac:dyDescent="0.2">
      <c r="A4175">
        <v>3</v>
      </c>
      <c r="B4175" s="141" t="s">
        <v>9205</v>
      </c>
      <c r="H4175" s="8" t="s">
        <v>6399</v>
      </c>
      <c r="I4175" s="8" t="s">
        <v>6798</v>
      </c>
      <c r="J4175" s="5">
        <f>9</f>
        <v>9</v>
      </c>
      <c r="K4175" s="5" t="s">
        <v>292</v>
      </c>
      <c r="L4175" s="5" t="s">
        <v>8895</v>
      </c>
      <c r="M4175" s="5">
        <v>212</v>
      </c>
      <c r="N4175" s="5" t="s">
        <v>6401</v>
      </c>
      <c r="Q4175" s="107"/>
      <c r="U4175" t="s">
        <v>321</v>
      </c>
    </row>
    <row r="4176" spans="1:21" x14ac:dyDescent="0.2">
      <c r="A4176">
        <v>1</v>
      </c>
      <c r="B4176" s="141" t="s">
        <v>9206</v>
      </c>
      <c r="H4176" s="8" t="s">
        <v>6399</v>
      </c>
      <c r="I4176" s="8" t="s">
        <v>6798</v>
      </c>
      <c r="J4176" s="5">
        <v>21</v>
      </c>
      <c r="K4176" s="5" t="s">
        <v>292</v>
      </c>
      <c r="L4176" s="5" t="s">
        <v>8895</v>
      </c>
      <c r="M4176" s="5">
        <v>213</v>
      </c>
      <c r="N4176" s="5" t="s">
        <v>6401</v>
      </c>
      <c r="Q4176" s="107"/>
      <c r="U4176" t="s">
        <v>321</v>
      </c>
    </row>
    <row r="4177" spans="1:21" x14ac:dyDescent="0.2">
      <c r="A4177">
        <v>2</v>
      </c>
      <c r="B4177" s="141" t="s">
        <v>9207</v>
      </c>
      <c r="H4177" s="8" t="s">
        <v>6399</v>
      </c>
      <c r="I4177" s="8" t="s">
        <v>6798</v>
      </c>
      <c r="J4177" s="5">
        <f>15</f>
        <v>15</v>
      </c>
      <c r="K4177" s="5" t="s">
        <v>292</v>
      </c>
      <c r="L4177" s="5" t="s">
        <v>8895</v>
      </c>
      <c r="M4177" s="5">
        <v>213</v>
      </c>
      <c r="N4177" s="5" t="s">
        <v>6401</v>
      </c>
      <c r="Q4177" s="107"/>
      <c r="U4177" t="s">
        <v>321</v>
      </c>
    </row>
    <row r="4178" spans="1:21" x14ac:dyDescent="0.2">
      <c r="A4178" s="63" t="s">
        <v>6211</v>
      </c>
      <c r="B4178" s="141"/>
      <c r="Q4178" s="107"/>
    </row>
    <row r="4179" spans="1:21" x14ac:dyDescent="0.2">
      <c r="A4179">
        <v>1</v>
      </c>
      <c r="B4179" s="8" t="s">
        <v>8943</v>
      </c>
      <c r="H4179" s="8" t="s">
        <v>6399</v>
      </c>
      <c r="I4179" s="8" t="s">
        <v>6798</v>
      </c>
      <c r="J4179" s="5">
        <f>300+228-50+21</f>
        <v>499</v>
      </c>
      <c r="K4179" s="5" t="s">
        <v>292</v>
      </c>
      <c r="L4179" s="5" t="s">
        <v>8895</v>
      </c>
      <c r="M4179" s="5">
        <v>214</v>
      </c>
      <c r="N4179" s="5" t="s">
        <v>6401</v>
      </c>
      <c r="Q4179" s="107" t="s">
        <v>6776</v>
      </c>
    </row>
    <row r="4180" spans="1:21" x14ac:dyDescent="0.2">
      <c r="A4180">
        <v>2</v>
      </c>
      <c r="B4180" s="8" t="s">
        <v>6476</v>
      </c>
      <c r="H4180" s="8" t="s">
        <v>6399</v>
      </c>
      <c r="I4180" s="8" t="s">
        <v>6798</v>
      </c>
      <c r="J4180" s="5">
        <f>347-8-12-48-32+20-8-8-72-48-95-2-12-6+8-16-6+500-27-64-15-42-32-88-6-28-189+150-128-11-22+208-62-1</f>
        <v>145</v>
      </c>
      <c r="K4180" s="5" t="s">
        <v>292</v>
      </c>
      <c r="L4180" s="5" t="s">
        <v>8895</v>
      </c>
      <c r="M4180" s="5">
        <v>214</v>
      </c>
      <c r="N4180" s="5" t="s">
        <v>6401</v>
      </c>
    </row>
    <row r="4181" spans="1:21" x14ac:dyDescent="0.2">
      <c r="A4181">
        <v>1</v>
      </c>
      <c r="B4181" s="8" t="s">
        <v>6478</v>
      </c>
      <c r="H4181" s="8" t="s">
        <v>6399</v>
      </c>
      <c r="I4181" s="8" t="s">
        <v>6798</v>
      </c>
      <c r="J4181" s="5">
        <f>194+1200-484-308</f>
        <v>602</v>
      </c>
      <c r="K4181" s="5" t="s">
        <v>292</v>
      </c>
      <c r="L4181" s="5" t="s">
        <v>8895</v>
      </c>
      <c r="M4181" s="5">
        <v>215</v>
      </c>
      <c r="N4181" s="5" t="s">
        <v>6401</v>
      </c>
      <c r="Q4181" s="5" t="s">
        <v>6243</v>
      </c>
    </row>
    <row r="4182" spans="1:21" x14ac:dyDescent="0.2">
      <c r="A4182">
        <v>2</v>
      </c>
      <c r="B4182" s="8" t="s">
        <v>6481</v>
      </c>
      <c r="H4182" s="8" t="s">
        <v>6399</v>
      </c>
      <c r="I4182" s="8" t="s">
        <v>6798</v>
      </c>
      <c r="J4182" s="5">
        <f>458-6-6-36-12-8-4-44-16-242-84+4-4+60-50+1000-8-144-77-28+1000-133-44-418-62-8-44-263-90-100-8-8-88-32+779-16-72-38-100-240-40-90+49-38-6-18-4-192-64-4-4+200-16-26-100-28-28-342+127-78-6-60+500+500-336-528-16-2+50+50+914-150-150</f>
        <v>832</v>
      </c>
      <c r="K4182" s="5" t="s">
        <v>292</v>
      </c>
      <c r="L4182" s="5" t="s">
        <v>8895</v>
      </c>
      <c r="M4182" s="5">
        <v>215</v>
      </c>
      <c r="N4182" s="5" t="s">
        <v>6401</v>
      </c>
      <c r="Q4182" s="107" t="s">
        <v>8918</v>
      </c>
    </row>
    <row r="4183" spans="1:21" x14ac:dyDescent="0.2">
      <c r="A4183">
        <v>1</v>
      </c>
      <c r="B4183" s="8" t="s">
        <v>6507</v>
      </c>
      <c r="H4183" s="8" t="s">
        <v>6399</v>
      </c>
      <c r="I4183" s="8" t="s">
        <v>6798</v>
      </c>
      <c r="J4183" s="5">
        <f>777-277-52-140-32-20-24-4+200-64-223-8-8-115-8+200-44-36-4-40</f>
        <v>78</v>
      </c>
      <c r="K4183" s="5" t="s">
        <v>292</v>
      </c>
      <c r="L4183" s="5" t="s">
        <v>8895</v>
      </c>
      <c r="M4183" s="5">
        <v>216</v>
      </c>
      <c r="N4183" s="5" t="s">
        <v>6401</v>
      </c>
      <c r="Q4183" s="107" t="s">
        <v>6409</v>
      </c>
    </row>
    <row r="4184" spans="1:21" x14ac:dyDescent="0.2">
      <c r="A4184">
        <v>2</v>
      </c>
      <c r="B4184" s="8" t="s">
        <v>6487</v>
      </c>
      <c r="H4184" s="8" t="s">
        <v>6399</v>
      </c>
      <c r="I4184" s="8" t="s">
        <v>9208</v>
      </c>
      <c r="J4184" s="5">
        <f>414-36-12-12-24-20-306+61-18+200-92-102-20+300-12-6-20-17-38+1481+100-20-24-30-522-30-48-4-50-26</f>
        <v>1067</v>
      </c>
      <c r="K4184" s="5" t="s">
        <v>292</v>
      </c>
      <c r="L4184" s="5" t="s">
        <v>8895</v>
      </c>
      <c r="M4184" s="5">
        <v>216</v>
      </c>
      <c r="N4184" s="5" t="s">
        <v>6401</v>
      </c>
      <c r="Q4184" s="107" t="s">
        <v>6409</v>
      </c>
    </row>
    <row r="4185" spans="1:21" x14ac:dyDescent="0.2">
      <c r="A4185">
        <v>1</v>
      </c>
      <c r="B4185" s="8" t="s">
        <v>9209</v>
      </c>
      <c r="H4185" s="8" t="s">
        <v>6399</v>
      </c>
      <c r="I4185" s="8" t="s">
        <v>6798</v>
      </c>
      <c r="J4185" s="5">
        <f>300-264+400-352-12+320</f>
        <v>392</v>
      </c>
      <c r="K4185" s="5" t="s">
        <v>292</v>
      </c>
      <c r="L4185" s="5" t="s">
        <v>8895</v>
      </c>
      <c r="M4185" s="5">
        <v>217</v>
      </c>
      <c r="N4185" s="5" t="s">
        <v>6401</v>
      </c>
      <c r="Q4185" s="107" t="s">
        <v>6409</v>
      </c>
    </row>
    <row r="4186" spans="1:21" x14ac:dyDescent="0.2">
      <c r="A4186">
        <v>2</v>
      </c>
      <c r="B4186" s="8" t="s">
        <v>6488</v>
      </c>
      <c r="H4186" s="8" t="s">
        <v>6399</v>
      </c>
      <c r="I4186" s="8" t="s">
        <v>6798</v>
      </c>
      <c r="J4186" s="5">
        <f>88-30-4+288-6-56-186-30-4-8-4-2-8-15-8+10+12-12</f>
        <v>25</v>
      </c>
      <c r="K4186" s="5" t="s">
        <v>292</v>
      </c>
      <c r="L4186" s="5" t="s">
        <v>8895</v>
      </c>
      <c r="M4186" s="5">
        <v>217</v>
      </c>
      <c r="N4186" s="5" t="s">
        <v>6401</v>
      </c>
    </row>
    <row r="4187" spans="1:21" x14ac:dyDescent="0.2">
      <c r="A4187">
        <v>1</v>
      </c>
      <c r="B4187" s="8" t="s">
        <v>9210</v>
      </c>
      <c r="H4187" s="8" t="s">
        <v>6399</v>
      </c>
      <c r="I4187" s="8" t="s">
        <v>6798</v>
      </c>
      <c r="J4187" s="5">
        <f>513-6-4-4-10+2-6+228+497-16-16-21-4-4-48-3-2-4+8-80-20-30-36-80-30-4-8-4-10-4-165-30-8+6-8-30-50-50-50+130-36</f>
        <v>503</v>
      </c>
      <c r="K4187" s="5" t="s">
        <v>292</v>
      </c>
      <c r="L4187" s="5" t="s">
        <v>8895</v>
      </c>
      <c r="M4187" s="5">
        <v>218</v>
      </c>
      <c r="N4187" s="5" t="s">
        <v>6401</v>
      </c>
      <c r="Q4187" s="107"/>
    </row>
    <row r="4188" spans="1:21" x14ac:dyDescent="0.2">
      <c r="A4188">
        <v>2</v>
      </c>
      <c r="B4188" s="8" t="s">
        <v>9211</v>
      </c>
      <c r="H4188" s="8" t="s">
        <v>6399</v>
      </c>
      <c r="I4188" s="8" t="s">
        <v>6798</v>
      </c>
      <c r="J4188" s="5">
        <f>241+9+65-12+15-12+11-15</f>
        <v>302</v>
      </c>
      <c r="K4188" s="5" t="s">
        <v>292</v>
      </c>
      <c r="L4188" s="5" t="s">
        <v>8895</v>
      </c>
      <c r="M4188" s="5">
        <v>218</v>
      </c>
      <c r="N4188" s="5" t="s">
        <v>6401</v>
      </c>
      <c r="Q4188" s="107" t="s">
        <v>9212</v>
      </c>
    </row>
    <row r="4189" spans="1:21" x14ac:dyDescent="0.2">
      <c r="A4189">
        <v>1</v>
      </c>
      <c r="B4189" s="8" t="s">
        <v>6672</v>
      </c>
      <c r="H4189" s="8" t="s">
        <v>6399</v>
      </c>
      <c r="I4189" s="8" t="s">
        <v>6798</v>
      </c>
      <c r="J4189" s="5">
        <f>175-3+1-40-2-60+82-4</f>
        <v>149</v>
      </c>
      <c r="K4189" s="5" t="s">
        <v>292</v>
      </c>
      <c r="L4189" s="5" t="s">
        <v>8895</v>
      </c>
      <c r="M4189" s="5">
        <v>219</v>
      </c>
      <c r="N4189" s="5" t="s">
        <v>6401</v>
      </c>
      <c r="Q4189" s="107" t="s">
        <v>9081</v>
      </c>
    </row>
    <row r="4190" spans="1:21" x14ac:dyDescent="0.2">
      <c r="A4190">
        <v>2</v>
      </c>
      <c r="B4190" s="8" t="s">
        <v>6491</v>
      </c>
      <c r="H4190" s="8" t="s">
        <v>6399</v>
      </c>
      <c r="I4190" s="8" t="s">
        <v>6798</v>
      </c>
      <c r="J4190" s="5">
        <f>100</f>
        <v>100</v>
      </c>
      <c r="K4190" s="5" t="s">
        <v>292</v>
      </c>
      <c r="L4190" s="5" t="s">
        <v>8895</v>
      </c>
      <c r="M4190" s="5">
        <v>219</v>
      </c>
      <c r="N4190" s="5" t="s">
        <v>6401</v>
      </c>
      <c r="Q4190" s="107" t="s">
        <v>9081</v>
      </c>
    </row>
    <row r="4191" spans="1:21" x14ac:dyDescent="0.2">
      <c r="A4191">
        <v>1</v>
      </c>
      <c r="B4191" s="8" t="s">
        <v>9213</v>
      </c>
      <c r="H4191" s="8" t="s">
        <v>6399</v>
      </c>
      <c r="I4191" s="8" t="s">
        <v>6798</v>
      </c>
      <c r="J4191" s="5">
        <f>24-12-4+200-14-8</f>
        <v>186</v>
      </c>
      <c r="K4191" s="5" t="s">
        <v>292</v>
      </c>
      <c r="L4191" s="5" t="s">
        <v>8895</v>
      </c>
      <c r="M4191" s="5">
        <v>220</v>
      </c>
      <c r="N4191" s="5" t="s">
        <v>6401</v>
      </c>
      <c r="Q4191" s="107"/>
    </row>
    <row r="4192" spans="1:21" x14ac:dyDescent="0.2">
      <c r="A4192">
        <v>2</v>
      </c>
      <c r="B4192" s="8" t="s">
        <v>9214</v>
      </c>
      <c r="H4192" s="8" t="s">
        <v>6399</v>
      </c>
      <c r="I4192" s="8" t="s">
        <v>6798</v>
      </c>
      <c r="J4192" s="5">
        <f>75-2</f>
        <v>73</v>
      </c>
      <c r="K4192" s="5" t="s">
        <v>292</v>
      </c>
      <c r="L4192" s="5" t="s">
        <v>8895</v>
      </c>
      <c r="M4192" s="5">
        <v>220</v>
      </c>
      <c r="N4192" s="5" t="s">
        <v>6401</v>
      </c>
      <c r="Q4192" s="107"/>
    </row>
    <row r="4193" spans="1:21" x14ac:dyDescent="0.2">
      <c r="A4193">
        <v>1</v>
      </c>
      <c r="B4193" s="8" t="s">
        <v>9215</v>
      </c>
      <c r="H4193" s="8" t="s">
        <v>6399</v>
      </c>
      <c r="I4193" s="8" t="s">
        <v>6798</v>
      </c>
      <c r="J4193" s="5">
        <f>198</f>
        <v>198</v>
      </c>
      <c r="K4193" s="5" t="s">
        <v>292</v>
      </c>
      <c r="L4193" s="5" t="s">
        <v>8895</v>
      </c>
      <c r="M4193" s="5">
        <v>221</v>
      </c>
      <c r="N4193" s="5" t="s">
        <v>6401</v>
      </c>
      <c r="Q4193" s="107"/>
    </row>
    <row r="4194" spans="1:21" x14ac:dyDescent="0.2">
      <c r="A4194">
        <v>2</v>
      </c>
      <c r="B4194" s="8" t="s">
        <v>6494</v>
      </c>
      <c r="H4194" s="8" t="s">
        <v>6399</v>
      </c>
      <c r="I4194" s="8" t="s">
        <v>6798</v>
      </c>
      <c r="J4194" s="5">
        <f>124+40+42-24-12-8-1-24-88-12+100-12+12</f>
        <v>137</v>
      </c>
      <c r="K4194" s="5" t="s">
        <v>292</v>
      </c>
      <c r="L4194" s="5" t="s">
        <v>8895</v>
      </c>
      <c r="M4194" s="5">
        <v>221</v>
      </c>
      <c r="N4194" s="5" t="s">
        <v>6401</v>
      </c>
      <c r="Q4194" s="107" t="s">
        <v>6332</v>
      </c>
    </row>
    <row r="4195" spans="1:21" x14ac:dyDescent="0.2">
      <c r="B4195" s="8" t="s">
        <v>9216</v>
      </c>
      <c r="H4195" s="8" t="s">
        <v>6399</v>
      </c>
      <c r="I4195" s="8" t="s">
        <v>6798</v>
      </c>
      <c r="J4195" s="5">
        <f>15-15</f>
        <v>0</v>
      </c>
      <c r="K4195" s="5" t="s">
        <v>292</v>
      </c>
      <c r="L4195" s="5" t="s">
        <v>8895</v>
      </c>
      <c r="M4195" s="5">
        <v>221</v>
      </c>
      <c r="N4195" s="5" t="s">
        <v>6401</v>
      </c>
      <c r="Q4195" s="107" t="s">
        <v>9217</v>
      </c>
    </row>
    <row r="4196" spans="1:21" x14ac:dyDescent="0.2">
      <c r="A4196">
        <v>1</v>
      </c>
      <c r="B4196" s="8" t="s">
        <v>9218</v>
      </c>
      <c r="H4196" s="8" t="s">
        <v>6399</v>
      </c>
      <c r="I4196" s="8" t="s">
        <v>6798</v>
      </c>
      <c r="J4196" s="5">
        <f>198+14</f>
        <v>212</v>
      </c>
      <c r="K4196" s="5" t="s">
        <v>292</v>
      </c>
      <c r="L4196" s="5" t="s">
        <v>8895</v>
      </c>
      <c r="M4196" s="5">
        <v>222</v>
      </c>
      <c r="N4196" s="5" t="s">
        <v>6401</v>
      </c>
      <c r="Q4196" s="107"/>
    </row>
    <row r="4197" spans="1:21" x14ac:dyDescent="0.2">
      <c r="A4197">
        <v>2</v>
      </c>
      <c r="B4197" s="8" t="s">
        <v>9219</v>
      </c>
      <c r="H4197" s="8" t="s">
        <v>6399</v>
      </c>
      <c r="I4197" s="8" t="s">
        <v>6798</v>
      </c>
      <c r="J4197" s="5">
        <f>96+126+5</f>
        <v>227</v>
      </c>
      <c r="K4197" s="5" t="s">
        <v>292</v>
      </c>
      <c r="L4197" s="5" t="s">
        <v>8895</v>
      </c>
      <c r="M4197" s="5">
        <v>222</v>
      </c>
      <c r="N4197" s="5" t="s">
        <v>6401</v>
      </c>
      <c r="Q4197" s="107" t="s">
        <v>9085</v>
      </c>
    </row>
    <row r="4198" spans="1:21" x14ac:dyDescent="0.2">
      <c r="A4198">
        <v>1</v>
      </c>
      <c r="B4198" s="141" t="s">
        <v>9220</v>
      </c>
      <c r="H4198" s="8" t="s">
        <v>6399</v>
      </c>
      <c r="I4198" s="8" t="s">
        <v>6798</v>
      </c>
      <c r="J4198" s="5">
        <f>46+5</f>
        <v>51</v>
      </c>
      <c r="K4198" s="5" t="s">
        <v>292</v>
      </c>
      <c r="L4198" s="5" t="s">
        <v>8895</v>
      </c>
      <c r="M4198" s="5">
        <v>223</v>
      </c>
      <c r="N4198" s="5" t="s">
        <v>6401</v>
      </c>
      <c r="Q4198" s="107"/>
    </row>
    <row r="4199" spans="1:21" x14ac:dyDescent="0.2">
      <c r="A4199">
        <v>2</v>
      </c>
      <c r="B4199" s="141" t="s">
        <v>9221</v>
      </c>
      <c r="H4199" s="8" t="s">
        <v>6399</v>
      </c>
      <c r="I4199" s="8" t="s">
        <v>6798</v>
      </c>
      <c r="J4199" s="5">
        <v>9</v>
      </c>
      <c r="K4199" s="5" t="s">
        <v>292</v>
      </c>
      <c r="L4199" s="5" t="s">
        <v>8895</v>
      </c>
      <c r="M4199" s="5">
        <v>223</v>
      </c>
      <c r="N4199" s="5" t="s">
        <v>6401</v>
      </c>
      <c r="Q4199" s="107"/>
      <c r="U4199" t="s">
        <v>321</v>
      </c>
    </row>
    <row r="4200" spans="1:21" x14ac:dyDescent="0.2">
      <c r="A4200">
        <v>1</v>
      </c>
      <c r="B4200" s="141" t="s">
        <v>9222</v>
      </c>
      <c r="H4200" s="8" t="s">
        <v>6399</v>
      </c>
      <c r="I4200" s="8" t="s">
        <v>6798</v>
      </c>
      <c r="J4200" s="5">
        <f>7+4</f>
        <v>11</v>
      </c>
      <c r="K4200" s="5" t="s">
        <v>292</v>
      </c>
      <c r="L4200" s="5" t="s">
        <v>8895</v>
      </c>
      <c r="M4200" s="5">
        <v>224</v>
      </c>
      <c r="N4200" s="5" t="s">
        <v>6401</v>
      </c>
      <c r="Q4200" s="107"/>
      <c r="U4200" t="s">
        <v>321</v>
      </c>
    </row>
    <row r="4201" spans="1:21" x14ac:dyDescent="0.2">
      <c r="A4201" s="63" t="s">
        <v>6212</v>
      </c>
      <c r="B4201" s="141"/>
      <c r="Q4201" s="107"/>
    </row>
    <row r="4202" spans="1:21" x14ac:dyDescent="0.2">
      <c r="A4202">
        <v>1</v>
      </c>
      <c r="B4202" s="8" t="s">
        <v>6677</v>
      </c>
      <c r="H4202" s="8" t="s">
        <v>6399</v>
      </c>
      <c r="I4202" s="8" t="s">
        <v>6798</v>
      </c>
      <c r="J4202" s="5">
        <f>94</f>
        <v>94</v>
      </c>
      <c r="K4202" s="5" t="s">
        <v>292</v>
      </c>
      <c r="L4202" s="5" t="s">
        <v>8895</v>
      </c>
      <c r="M4202" s="5">
        <v>225</v>
      </c>
      <c r="N4202" s="5" t="s">
        <v>6401</v>
      </c>
      <c r="Q4202" s="107"/>
      <c r="U4202" t="s">
        <v>321</v>
      </c>
    </row>
    <row r="4203" spans="1:21" x14ac:dyDescent="0.2">
      <c r="A4203">
        <v>2</v>
      </c>
      <c r="B4203" s="8" t="s">
        <v>6679</v>
      </c>
      <c r="H4203" s="8" t="s">
        <v>6399</v>
      </c>
      <c r="I4203" s="8" t="s">
        <v>6798</v>
      </c>
      <c r="J4203" s="5">
        <f>8-1-1+100</f>
        <v>106</v>
      </c>
      <c r="K4203" s="5" t="s">
        <v>292</v>
      </c>
      <c r="L4203" s="5" t="s">
        <v>8895</v>
      </c>
      <c r="M4203" s="5">
        <v>225</v>
      </c>
      <c r="N4203" s="5" t="s">
        <v>6401</v>
      </c>
      <c r="Q4203" s="107"/>
      <c r="U4203" t="s">
        <v>321</v>
      </c>
    </row>
    <row r="4204" spans="1:21" x14ac:dyDescent="0.2">
      <c r="A4204">
        <v>1</v>
      </c>
      <c r="B4204" s="8" t="s">
        <v>6509</v>
      </c>
      <c r="H4204" s="8" t="s">
        <v>6399</v>
      </c>
      <c r="I4204" s="8" t="s">
        <v>6798</v>
      </c>
      <c r="J4204" s="5">
        <f>114+4-4-12-4-2-40+500+349-120-20-60-6-2+156</f>
        <v>853</v>
      </c>
      <c r="K4204" s="5" t="s">
        <v>292</v>
      </c>
      <c r="L4204" s="5" t="s">
        <v>8895</v>
      </c>
      <c r="M4204" s="5">
        <v>226</v>
      </c>
      <c r="N4204" s="5" t="s">
        <v>6401</v>
      </c>
      <c r="Q4204" s="107"/>
    </row>
    <row r="4205" spans="1:21" x14ac:dyDescent="0.2">
      <c r="A4205">
        <v>2</v>
      </c>
      <c r="B4205" s="8" t="s">
        <v>7903</v>
      </c>
      <c r="H4205" s="8" t="s">
        <v>6399</v>
      </c>
      <c r="I4205" s="8" t="s">
        <v>6798</v>
      </c>
      <c r="J4205" s="5">
        <f>587-4-45-4-32-3+24-12-12-2-24-8-12-6-9-3-40-8-4-3-3-6+3-27-68-9-6-68+100-24-6-9-2-24-60-9-30-3-30-40+188-33-64+55-15-9-1-30+79-64+15</f>
        <v>180</v>
      </c>
      <c r="K4205" s="5" t="s">
        <v>292</v>
      </c>
      <c r="L4205" s="5" t="s">
        <v>8895</v>
      </c>
      <c r="M4205" s="5">
        <v>226</v>
      </c>
      <c r="N4205" s="5" t="s">
        <v>6401</v>
      </c>
      <c r="Q4205" s="107"/>
    </row>
    <row r="4206" spans="1:21" x14ac:dyDescent="0.2">
      <c r="A4206">
        <v>1</v>
      </c>
      <c r="B4206" s="8" t="s">
        <v>8965</v>
      </c>
      <c r="H4206" s="8" t="s">
        <v>6399</v>
      </c>
      <c r="I4206" s="8" t="s">
        <v>6798</v>
      </c>
      <c r="J4206" s="5">
        <f>197+41-2-8-2-4-6-14-8-2-14</f>
        <v>178</v>
      </c>
      <c r="K4206" s="5" t="s">
        <v>292</v>
      </c>
      <c r="L4206" s="5" t="s">
        <v>8895</v>
      </c>
      <c r="M4206" s="5">
        <v>227</v>
      </c>
      <c r="N4206" s="5" t="s">
        <v>6401</v>
      </c>
      <c r="Q4206" s="107"/>
    </row>
    <row r="4207" spans="1:21" x14ac:dyDescent="0.2">
      <c r="A4207">
        <v>2</v>
      </c>
      <c r="B4207" s="8" t="s">
        <v>6513</v>
      </c>
      <c r="H4207" s="8" t="s">
        <v>6399</v>
      </c>
      <c r="I4207" s="8" t="s">
        <v>6798</v>
      </c>
      <c r="J4207" s="5">
        <f>1000-17-7-8-16-24-1-16-49-32-110-32-28-1-28-20-1-49-7-5-16-30-18+3-110-110+475</f>
        <v>743</v>
      </c>
      <c r="K4207" s="5" t="s">
        <v>292</v>
      </c>
      <c r="L4207" s="5" t="s">
        <v>8895</v>
      </c>
      <c r="M4207" s="5">
        <v>227</v>
      </c>
      <c r="N4207" s="5" t="s">
        <v>6401</v>
      </c>
      <c r="Q4207" s="107" t="s">
        <v>6243</v>
      </c>
    </row>
    <row r="4208" spans="1:21" x14ac:dyDescent="0.2">
      <c r="B4208" s="8" t="s">
        <v>8966</v>
      </c>
      <c r="H4208" s="8" t="s">
        <v>6399</v>
      </c>
      <c r="I4208" s="8" t="s">
        <v>6798</v>
      </c>
      <c r="J4208" s="5">
        <f>60-43</f>
        <v>17</v>
      </c>
      <c r="K4208" s="5" t="s">
        <v>292</v>
      </c>
      <c r="L4208" s="5" t="s">
        <v>8895</v>
      </c>
      <c r="M4208" s="5">
        <v>227</v>
      </c>
      <c r="N4208" s="5" t="s">
        <v>6401</v>
      </c>
      <c r="Q4208" s="107" t="s">
        <v>6404</v>
      </c>
    </row>
    <row r="4209" spans="1:21" x14ac:dyDescent="0.2">
      <c r="A4209">
        <v>1</v>
      </c>
      <c r="B4209" s="8" t="s">
        <v>9223</v>
      </c>
      <c r="H4209" s="8" t="s">
        <v>6399</v>
      </c>
      <c r="I4209" s="8" t="s">
        <v>6798</v>
      </c>
      <c r="J4209" s="5">
        <f>91+2+4</f>
        <v>97</v>
      </c>
      <c r="K4209" s="5" t="s">
        <v>292</v>
      </c>
      <c r="L4209" s="5" t="s">
        <v>8895</v>
      </c>
      <c r="M4209" s="5">
        <v>228</v>
      </c>
      <c r="N4209" s="5" t="s">
        <v>6401</v>
      </c>
      <c r="Q4209" s="107"/>
    </row>
    <row r="4210" spans="1:21" x14ac:dyDescent="0.2">
      <c r="A4210">
        <v>2</v>
      </c>
      <c r="B4210" s="8" t="s">
        <v>6517</v>
      </c>
      <c r="H4210" s="8" t="s">
        <v>6399</v>
      </c>
      <c r="I4210" s="8" t="s">
        <v>6798</v>
      </c>
      <c r="J4210" s="5">
        <f>988-276-24-10-10-18-121-8+5-10-3-4-6-2-4-12-24-6-16-10-6-10-44-24-50-30-30+96-8-7-49+155-8-4-6-6-8-8-24-30-18-30-30-55-30+158-16</f>
        <v>307</v>
      </c>
      <c r="K4210" s="5" t="s">
        <v>292</v>
      </c>
      <c r="L4210" s="5" t="s">
        <v>8895</v>
      </c>
      <c r="M4210" s="5">
        <v>228</v>
      </c>
      <c r="N4210" s="5" t="s">
        <v>6401</v>
      </c>
      <c r="Q4210" s="107" t="s">
        <v>6248</v>
      </c>
    </row>
    <row r="4211" spans="1:21" x14ac:dyDescent="0.2">
      <c r="A4211">
        <v>1</v>
      </c>
      <c r="B4211" s="8" t="s">
        <v>9224</v>
      </c>
      <c r="H4211" s="8" t="s">
        <v>6399</v>
      </c>
      <c r="I4211" s="8" t="s">
        <v>9225</v>
      </c>
      <c r="J4211" s="5">
        <f>428</f>
        <v>428</v>
      </c>
      <c r="K4211" s="5" t="s">
        <v>292</v>
      </c>
      <c r="L4211" s="5" t="s">
        <v>8895</v>
      </c>
      <c r="M4211" s="5">
        <v>229</v>
      </c>
      <c r="N4211" s="5" t="s">
        <v>6401</v>
      </c>
      <c r="Q4211" s="107"/>
    </row>
    <row r="4212" spans="1:21" x14ac:dyDescent="0.2">
      <c r="A4212">
        <v>2</v>
      </c>
      <c r="B4212" s="8" t="s">
        <v>6518</v>
      </c>
      <c r="H4212" s="8" t="s">
        <v>6399</v>
      </c>
      <c r="I4212" s="8" t="s">
        <v>6399</v>
      </c>
      <c r="J4212" s="5">
        <f>33-16+3+300+100-93+20+4-72-12-20+40+446+30+21-48-8-10-16-192-10-12-16+300-256-253-8-4+400-16</f>
        <v>635</v>
      </c>
      <c r="K4212" s="5" t="s">
        <v>292</v>
      </c>
      <c r="L4212" s="5" t="s">
        <v>8895</v>
      </c>
      <c r="M4212" s="5">
        <v>229</v>
      </c>
      <c r="N4212" s="5" t="s">
        <v>6401</v>
      </c>
      <c r="Q4212" s="107" t="s">
        <v>6409</v>
      </c>
    </row>
    <row r="4213" spans="1:21" x14ac:dyDescent="0.2">
      <c r="A4213">
        <v>1</v>
      </c>
      <c r="B4213" s="8" t="s">
        <v>6829</v>
      </c>
      <c r="H4213" s="8" t="s">
        <v>6399</v>
      </c>
      <c r="I4213" s="8" t="s">
        <v>6399</v>
      </c>
      <c r="J4213" s="5">
        <f>262+2+3-42-8-8-6-4-3-6-10+140-12+6-8-42-12-10-4-30-16-75+31-4+50+75-12-4-4-24-8-8-4-24-4-28-44-28+5+200-8</f>
        <v>274</v>
      </c>
      <c r="K4213" s="5" t="s">
        <v>292</v>
      </c>
      <c r="L4213" s="5" t="s">
        <v>8895</v>
      </c>
      <c r="M4213" s="5">
        <v>2</v>
      </c>
      <c r="N4213" s="5" t="s">
        <v>6401</v>
      </c>
      <c r="Q4213" s="107" t="s">
        <v>9226</v>
      </c>
    </row>
    <row r="4214" spans="1:21" x14ac:dyDescent="0.2">
      <c r="A4214">
        <v>2</v>
      </c>
      <c r="B4214" s="8" t="s">
        <v>9227</v>
      </c>
      <c r="H4214" s="8" t="s">
        <v>6399</v>
      </c>
      <c r="I4214" s="8" t="s">
        <v>6399</v>
      </c>
      <c r="J4214" s="5">
        <f>222-8+4-12-15+146-54-42-6-6-108</f>
        <v>121</v>
      </c>
      <c r="K4214" s="5" t="s">
        <v>292</v>
      </c>
      <c r="L4214" s="5" t="s">
        <v>8895</v>
      </c>
      <c r="M4214" s="5">
        <v>229</v>
      </c>
      <c r="N4214" s="5" t="s">
        <v>6401</v>
      </c>
      <c r="Q4214" s="107"/>
    </row>
    <row r="4215" spans="1:21" x14ac:dyDescent="0.2">
      <c r="A4215">
        <v>3</v>
      </c>
      <c r="B4215" s="8" t="s">
        <v>9228</v>
      </c>
      <c r="H4215" s="8" t="s">
        <v>6399</v>
      </c>
      <c r="I4215" s="8" t="s">
        <v>6399</v>
      </c>
      <c r="J4215" s="5">
        <f>92-5+88-12-4-15-10-30+35</f>
        <v>139</v>
      </c>
      <c r="K4215" s="5" t="s">
        <v>292</v>
      </c>
      <c r="L4215" s="5" t="s">
        <v>8895</v>
      </c>
      <c r="M4215" s="5">
        <v>230</v>
      </c>
      <c r="N4215" s="5" t="s">
        <v>6401</v>
      </c>
      <c r="Q4215" s="107" t="s">
        <v>9226</v>
      </c>
    </row>
    <row r="4216" spans="1:21" x14ac:dyDescent="0.2">
      <c r="A4216">
        <v>4</v>
      </c>
      <c r="B4216" s="8" t="s">
        <v>9079</v>
      </c>
      <c r="H4216" s="8" t="s">
        <v>6399</v>
      </c>
      <c r="I4216" s="8" t="s">
        <v>6399</v>
      </c>
      <c r="J4216" s="5">
        <f>89-12-10+97-50-21-15</f>
        <v>78</v>
      </c>
      <c r="K4216" s="5" t="s">
        <v>292</v>
      </c>
      <c r="L4216" s="5" t="s">
        <v>8895</v>
      </c>
      <c r="M4216" s="5">
        <v>230</v>
      </c>
      <c r="N4216" s="5" t="s">
        <v>6401</v>
      </c>
      <c r="Q4216" s="107" t="s">
        <v>6592</v>
      </c>
    </row>
    <row r="4217" spans="1:21" x14ac:dyDescent="0.2">
      <c r="A4217">
        <v>1</v>
      </c>
      <c r="B4217" s="8" t="s">
        <v>9229</v>
      </c>
      <c r="H4217" s="8" t="s">
        <v>6399</v>
      </c>
      <c r="I4217" s="8" t="s">
        <v>6399</v>
      </c>
      <c r="J4217" s="5">
        <f>102+10-10-2-6-4+6-4+285-32-2</f>
        <v>343</v>
      </c>
      <c r="K4217" s="5" t="s">
        <v>292</v>
      </c>
      <c r="L4217" s="5" t="s">
        <v>8895</v>
      </c>
      <c r="M4217" s="5">
        <v>231</v>
      </c>
      <c r="N4217" s="5" t="s">
        <v>6401</v>
      </c>
      <c r="Q4217" s="107"/>
    </row>
    <row r="4218" spans="1:21" x14ac:dyDescent="0.2">
      <c r="A4218">
        <v>2</v>
      </c>
      <c r="B4218" s="8" t="s">
        <v>9230</v>
      </c>
      <c r="H4218" s="8" t="s">
        <v>6399</v>
      </c>
      <c r="I4218" s="8" t="s">
        <v>6399</v>
      </c>
      <c r="J4218" s="5">
        <f>102+10-10-2-6-4+6-4+77</f>
        <v>169</v>
      </c>
      <c r="K4218" s="5" t="s">
        <v>292</v>
      </c>
      <c r="L4218" s="5" t="s">
        <v>8895</v>
      </c>
      <c r="M4218" s="5">
        <v>231</v>
      </c>
      <c r="N4218" s="5" t="s">
        <v>6401</v>
      </c>
      <c r="Q4218" s="107"/>
      <c r="U4218" t="s">
        <v>321</v>
      </c>
    </row>
    <row r="4219" spans="1:21" s="98" customFormat="1" x14ac:dyDescent="0.2">
      <c r="A4219" s="98">
        <v>1</v>
      </c>
      <c r="B4219" s="40" t="s">
        <v>9231</v>
      </c>
      <c r="C4219" s="40"/>
      <c r="D4219" s="40"/>
      <c r="E4219" s="186"/>
      <c r="F4219" s="40"/>
      <c r="G4219" s="40"/>
      <c r="H4219" s="40" t="s">
        <v>6399</v>
      </c>
      <c r="I4219" s="40" t="s">
        <v>6399</v>
      </c>
      <c r="J4219" s="41">
        <f>1432-40-24-80-80-8+248</f>
        <v>1448</v>
      </c>
      <c r="K4219" s="41" t="s">
        <v>292</v>
      </c>
      <c r="L4219" s="41" t="s">
        <v>8895</v>
      </c>
      <c r="M4219" s="41" t="s">
        <v>9232</v>
      </c>
      <c r="N4219" s="41" t="s">
        <v>6401</v>
      </c>
      <c r="O4219" s="41"/>
      <c r="P4219" s="41"/>
      <c r="Q4219" s="107" t="s">
        <v>9233</v>
      </c>
      <c r="R4219" s="41"/>
      <c r="S4219" s="41"/>
      <c r="T4219" s="41"/>
    </row>
    <row r="4220" spans="1:21" s="98" customFormat="1" x14ac:dyDescent="0.2">
      <c r="A4220" s="98">
        <v>2</v>
      </c>
      <c r="B4220" s="40" t="s">
        <v>6519</v>
      </c>
      <c r="C4220" s="40"/>
      <c r="D4220" s="40"/>
      <c r="E4220" s="186"/>
      <c r="F4220" s="40"/>
      <c r="G4220" s="40"/>
      <c r="H4220" s="40" t="s">
        <v>6399</v>
      </c>
      <c r="I4220" s="40" t="s">
        <v>6399</v>
      </c>
      <c r="J4220" s="41">
        <f>40</f>
        <v>40</v>
      </c>
      <c r="K4220" s="41" t="s">
        <v>292</v>
      </c>
      <c r="L4220" s="41" t="s">
        <v>8895</v>
      </c>
      <c r="M4220" s="41">
        <v>233</v>
      </c>
      <c r="N4220" s="41" t="s">
        <v>6401</v>
      </c>
      <c r="O4220" s="41"/>
      <c r="P4220" s="41"/>
      <c r="Q4220" s="107" t="s">
        <v>9233</v>
      </c>
      <c r="R4220" s="41"/>
      <c r="S4220" s="41"/>
      <c r="T4220" s="41"/>
      <c r="U4220" s="98" t="s">
        <v>321</v>
      </c>
    </row>
    <row r="4221" spans="1:21" x14ac:dyDescent="0.2">
      <c r="A4221">
        <v>3</v>
      </c>
      <c r="B4221" s="8" t="s">
        <v>9234</v>
      </c>
      <c r="H4221" s="8" t="s">
        <v>6399</v>
      </c>
      <c r="I4221" s="8" t="s">
        <v>6399</v>
      </c>
      <c r="J4221" s="5">
        <f>99-6</f>
        <v>93</v>
      </c>
      <c r="K4221" s="5" t="s">
        <v>292</v>
      </c>
      <c r="L4221" s="5" t="s">
        <v>8895</v>
      </c>
      <c r="M4221" s="5">
        <v>233</v>
      </c>
      <c r="N4221" s="5" t="s">
        <v>6401</v>
      </c>
      <c r="Q4221" s="107" t="s">
        <v>9085</v>
      </c>
    </row>
    <row r="4222" spans="1:21" s="63" customFormat="1" x14ac:dyDescent="0.2">
      <c r="A4222" s="63">
        <v>92</v>
      </c>
      <c r="B4222" s="153" t="s">
        <v>9235</v>
      </c>
      <c r="C4222" s="153"/>
      <c r="D4222" s="153"/>
      <c r="E4222" s="160"/>
      <c r="F4222" s="153"/>
      <c r="G4222" s="153"/>
      <c r="H4222" s="153" t="s">
        <v>6399</v>
      </c>
      <c r="I4222" s="153" t="s">
        <v>6399</v>
      </c>
      <c r="J4222" s="152">
        <f>161-2-1-1-1-1-1</f>
        <v>154</v>
      </c>
      <c r="K4222" s="152" t="s">
        <v>292</v>
      </c>
      <c r="L4222" s="152" t="s">
        <v>8895</v>
      </c>
      <c r="M4222" s="152">
        <v>234</v>
      </c>
      <c r="N4222" s="152" t="s">
        <v>6401</v>
      </c>
      <c r="O4222" s="152"/>
      <c r="P4222" s="152"/>
      <c r="Q4222" s="161"/>
      <c r="R4222" s="152"/>
      <c r="S4222" s="152"/>
      <c r="T4222" s="152"/>
    </row>
    <row r="4223" spans="1:21" s="158" customFormat="1" x14ac:dyDescent="0.2">
      <c r="B4223" s="8" t="s">
        <v>9225</v>
      </c>
      <c r="C4223" s="155"/>
      <c r="D4223" s="155"/>
      <c r="E4223" s="157"/>
      <c r="F4223" s="155"/>
      <c r="G4223" s="155"/>
      <c r="H4223" s="155"/>
      <c r="I4223" s="155"/>
      <c r="J4223" s="156"/>
      <c r="K4223" s="156"/>
      <c r="L4223" s="156"/>
      <c r="M4223" s="156"/>
      <c r="N4223" s="156"/>
      <c r="O4223" s="156"/>
      <c r="P4223" s="156"/>
      <c r="Q4223" s="159"/>
      <c r="R4223" s="156"/>
      <c r="S4223" s="156"/>
      <c r="T4223" s="156"/>
    </row>
    <row r="4224" spans="1:21" s="63" customFormat="1" x14ac:dyDescent="0.2">
      <c r="A4224" s="63">
        <v>122</v>
      </c>
      <c r="B4224" s="185" t="s">
        <v>9236</v>
      </c>
      <c r="C4224" s="153"/>
      <c r="D4224" s="153"/>
      <c r="E4224" s="160"/>
      <c r="F4224" s="153"/>
      <c r="G4224" s="153"/>
      <c r="H4224" s="153" t="s">
        <v>9225</v>
      </c>
      <c r="I4224" s="153" t="s">
        <v>9225</v>
      </c>
      <c r="J4224" s="152">
        <f>124</f>
        <v>124</v>
      </c>
      <c r="K4224" s="152" t="s">
        <v>292</v>
      </c>
      <c r="L4224" s="152" t="s">
        <v>8895</v>
      </c>
      <c r="M4224" s="152">
        <v>241</v>
      </c>
      <c r="N4224" s="152" t="s">
        <v>6401</v>
      </c>
      <c r="O4224" s="152"/>
      <c r="P4224" s="152"/>
      <c r="Q4224" s="161"/>
      <c r="R4224" s="152"/>
      <c r="S4224" s="152"/>
      <c r="T4224" s="152"/>
    </row>
    <row r="4225" spans="1:21" x14ac:dyDescent="0.2">
      <c r="A4225">
        <v>123</v>
      </c>
      <c r="B4225" s="8" t="s">
        <v>9237</v>
      </c>
      <c r="H4225" s="8" t="s">
        <v>9238</v>
      </c>
      <c r="I4225" s="8" t="s">
        <v>9238</v>
      </c>
      <c r="J4225" s="5">
        <f>2</f>
        <v>2</v>
      </c>
      <c r="K4225" s="5" t="s">
        <v>292</v>
      </c>
      <c r="L4225" s="5" t="s">
        <v>8895</v>
      </c>
      <c r="M4225" s="5">
        <v>243</v>
      </c>
      <c r="N4225" s="5" t="s">
        <v>6401</v>
      </c>
      <c r="Q4225" s="107" t="s">
        <v>6222</v>
      </c>
    </row>
    <row r="4226" spans="1:21" x14ac:dyDescent="0.2">
      <c r="A4226">
        <v>124</v>
      </c>
      <c r="B4226" s="8" t="s">
        <v>9239</v>
      </c>
      <c r="H4226" s="8" t="s">
        <v>9240</v>
      </c>
      <c r="I4226" s="8" t="s">
        <v>9240</v>
      </c>
      <c r="J4226" s="5">
        <f>24</f>
        <v>24</v>
      </c>
      <c r="K4226" s="5" t="s">
        <v>292</v>
      </c>
      <c r="L4226" s="5" t="s">
        <v>8895</v>
      </c>
      <c r="M4226" s="5">
        <v>243</v>
      </c>
      <c r="N4226" s="5" t="s">
        <v>6401</v>
      </c>
      <c r="Q4226" s="107" t="s">
        <v>6222</v>
      </c>
    </row>
    <row r="4227" spans="1:21" x14ac:dyDescent="0.2">
      <c r="A4227">
        <v>125</v>
      </c>
      <c r="B4227" s="8" t="s">
        <v>9241</v>
      </c>
      <c r="H4227" s="8" t="s">
        <v>9242</v>
      </c>
      <c r="I4227" s="8" t="s">
        <v>9242</v>
      </c>
      <c r="J4227" s="5">
        <f>18</f>
        <v>18</v>
      </c>
      <c r="K4227" s="5" t="s">
        <v>292</v>
      </c>
      <c r="L4227" s="5" t="s">
        <v>8895</v>
      </c>
      <c r="M4227" s="5">
        <v>243</v>
      </c>
      <c r="N4227" s="5" t="s">
        <v>6401</v>
      </c>
      <c r="Q4227" s="107" t="s">
        <v>6222</v>
      </c>
    </row>
    <row r="4228" spans="1:21" x14ac:dyDescent="0.2">
      <c r="A4228">
        <v>126</v>
      </c>
      <c r="B4228" s="8" t="s">
        <v>9243</v>
      </c>
      <c r="H4228" s="8" t="s">
        <v>9242</v>
      </c>
      <c r="I4228" s="8" t="s">
        <v>9242</v>
      </c>
      <c r="J4228" s="5">
        <f>16</f>
        <v>16</v>
      </c>
      <c r="K4228" s="5" t="s">
        <v>292</v>
      </c>
      <c r="L4228" s="5" t="s">
        <v>8895</v>
      </c>
      <c r="M4228" s="5">
        <v>243</v>
      </c>
      <c r="N4228" s="5" t="s">
        <v>6401</v>
      </c>
      <c r="Q4228" s="107" t="s">
        <v>6222</v>
      </c>
    </row>
    <row r="4229" spans="1:21" x14ac:dyDescent="0.2">
      <c r="A4229" s="5">
        <v>127</v>
      </c>
      <c r="B4229" s="8" t="s">
        <v>6427</v>
      </c>
      <c r="H4229" s="132" t="s">
        <v>9244</v>
      </c>
      <c r="I4229" s="132" t="s">
        <v>9244</v>
      </c>
      <c r="J4229" s="5">
        <v>22</v>
      </c>
      <c r="K4229" s="5" t="s">
        <v>292</v>
      </c>
      <c r="L4229" s="5" t="s">
        <v>8895</v>
      </c>
      <c r="M4229" s="5">
        <v>244</v>
      </c>
      <c r="N4229" s="5" t="s">
        <v>6401</v>
      </c>
      <c r="R4229" s="6"/>
      <c r="U4229" t="s">
        <v>321</v>
      </c>
    </row>
    <row r="4230" spans="1:21" x14ac:dyDescent="0.2">
      <c r="A4230" s="5">
        <v>128</v>
      </c>
      <c r="B4230" s="8" t="s">
        <v>6433</v>
      </c>
      <c r="H4230" s="132" t="s">
        <v>9244</v>
      </c>
      <c r="I4230" s="132" t="s">
        <v>9244</v>
      </c>
      <c r="J4230" s="5">
        <v>9</v>
      </c>
      <c r="K4230" s="5" t="s">
        <v>292</v>
      </c>
      <c r="L4230" s="5" t="s">
        <v>8895</v>
      </c>
      <c r="M4230" s="5">
        <v>244</v>
      </c>
      <c r="N4230" s="5" t="s">
        <v>6401</v>
      </c>
      <c r="R4230" s="6"/>
      <c r="U4230" t="s">
        <v>321</v>
      </c>
    </row>
    <row r="4231" spans="1:21" x14ac:dyDescent="0.2">
      <c r="A4231" s="5">
        <v>129</v>
      </c>
      <c r="B4231" s="8" t="s">
        <v>6435</v>
      </c>
      <c r="H4231" s="132" t="s">
        <v>9245</v>
      </c>
      <c r="I4231" s="132" t="s">
        <v>9245</v>
      </c>
      <c r="J4231" s="5">
        <v>7</v>
      </c>
      <c r="K4231" s="5" t="s">
        <v>292</v>
      </c>
      <c r="L4231" s="5" t="s">
        <v>8895</v>
      </c>
      <c r="M4231" s="5">
        <v>244</v>
      </c>
      <c r="N4231" s="5" t="s">
        <v>6401</v>
      </c>
      <c r="R4231" s="6"/>
    </row>
    <row r="4232" spans="1:21" x14ac:dyDescent="0.2">
      <c r="A4232" s="5">
        <v>130</v>
      </c>
      <c r="B4232" s="8" t="s">
        <v>6504</v>
      </c>
      <c r="H4232" s="132" t="s">
        <v>9244</v>
      </c>
      <c r="I4232" s="132" t="s">
        <v>9244</v>
      </c>
      <c r="J4232" s="5">
        <v>22</v>
      </c>
      <c r="K4232" s="5" t="s">
        <v>292</v>
      </c>
      <c r="L4232" s="5" t="s">
        <v>8895</v>
      </c>
      <c r="M4232" s="5">
        <v>244</v>
      </c>
      <c r="N4232" s="5" t="s">
        <v>6401</v>
      </c>
      <c r="R4232" s="6"/>
      <c r="U4232" t="s">
        <v>321</v>
      </c>
    </row>
    <row r="4233" spans="1:21" x14ac:dyDescent="0.2">
      <c r="A4233" s="5">
        <v>131</v>
      </c>
      <c r="B4233" s="8" t="s">
        <v>6450</v>
      </c>
      <c r="H4233" s="132" t="s">
        <v>9244</v>
      </c>
      <c r="I4233" s="132" t="s">
        <v>9244</v>
      </c>
      <c r="J4233" s="5">
        <v>8</v>
      </c>
      <c r="K4233" s="5" t="s">
        <v>292</v>
      </c>
      <c r="L4233" s="5" t="s">
        <v>8895</v>
      </c>
      <c r="M4233" s="5">
        <v>244</v>
      </c>
      <c r="N4233" s="5" t="s">
        <v>6401</v>
      </c>
      <c r="R4233" s="6"/>
      <c r="U4233" t="s">
        <v>321</v>
      </c>
    </row>
    <row r="4234" spans="1:21" x14ac:dyDescent="0.2">
      <c r="A4234" s="5">
        <v>132</v>
      </c>
      <c r="B4234" s="8" t="s">
        <v>6456</v>
      </c>
      <c r="H4234" s="132" t="s">
        <v>9244</v>
      </c>
      <c r="I4234" s="132" t="s">
        <v>9244</v>
      </c>
      <c r="J4234" s="5">
        <v>86</v>
      </c>
      <c r="K4234" s="5" t="s">
        <v>292</v>
      </c>
      <c r="L4234" s="5" t="s">
        <v>8895</v>
      </c>
      <c r="M4234" s="5">
        <v>244</v>
      </c>
      <c r="N4234" s="5" t="s">
        <v>6401</v>
      </c>
      <c r="R4234" s="6"/>
      <c r="U4234" t="s">
        <v>321</v>
      </c>
    </row>
    <row r="4235" spans="1:21" x14ac:dyDescent="0.2">
      <c r="A4235" s="5">
        <v>133</v>
      </c>
      <c r="B4235" s="8" t="s">
        <v>6656</v>
      </c>
      <c r="H4235" s="132" t="s">
        <v>9244</v>
      </c>
      <c r="I4235" s="132" t="s">
        <v>9244</v>
      </c>
      <c r="J4235" s="5">
        <v>44</v>
      </c>
      <c r="K4235" s="5" t="s">
        <v>292</v>
      </c>
      <c r="L4235" s="5" t="s">
        <v>8895</v>
      </c>
      <c r="M4235" s="5">
        <v>244</v>
      </c>
      <c r="N4235" s="5" t="s">
        <v>6401</v>
      </c>
      <c r="R4235" s="6"/>
      <c r="U4235" t="s">
        <v>321</v>
      </c>
    </row>
    <row r="4236" spans="1:21" x14ac:dyDescent="0.2">
      <c r="A4236" s="5">
        <v>134</v>
      </c>
      <c r="B4236" s="8" t="s">
        <v>6659</v>
      </c>
      <c r="H4236" s="132" t="s">
        <v>9244</v>
      </c>
      <c r="I4236" s="132" t="s">
        <v>9244</v>
      </c>
      <c r="J4236" s="5">
        <v>54</v>
      </c>
      <c r="K4236" s="5" t="s">
        <v>292</v>
      </c>
      <c r="L4236" s="5" t="s">
        <v>8895</v>
      </c>
      <c r="M4236" s="5">
        <v>244</v>
      </c>
      <c r="N4236" s="5" t="s">
        <v>6401</v>
      </c>
      <c r="R4236" s="6"/>
      <c r="U4236" t="s">
        <v>321</v>
      </c>
    </row>
    <row r="4237" spans="1:21" x14ac:dyDescent="0.2">
      <c r="A4237" s="5">
        <v>892</v>
      </c>
      <c r="B4237" s="140" t="s">
        <v>9246</v>
      </c>
      <c r="H4237" s="133" t="s">
        <v>9247</v>
      </c>
      <c r="I4237" s="8" t="s">
        <v>9248</v>
      </c>
      <c r="J4237" s="5">
        <f>20-1</f>
        <v>19</v>
      </c>
      <c r="K4237" s="5" t="s">
        <v>292</v>
      </c>
      <c r="L4237" s="5" t="s">
        <v>9249</v>
      </c>
      <c r="M4237" s="5">
        <v>1</v>
      </c>
      <c r="N4237" s="5" t="s">
        <v>8053</v>
      </c>
      <c r="O4237" s="5" t="s">
        <v>1640</v>
      </c>
      <c r="Q4237" s="5" t="s">
        <v>9250</v>
      </c>
    </row>
    <row r="4238" spans="1:21" x14ac:dyDescent="0.2">
      <c r="A4238" s="5">
        <v>893</v>
      </c>
      <c r="B4238" s="40" t="s">
        <v>9251</v>
      </c>
      <c r="H4238" s="8" t="s">
        <v>9252</v>
      </c>
      <c r="I4238" s="8" t="s">
        <v>9252</v>
      </c>
      <c r="J4238" s="5">
        <f>174-3-22+98</f>
        <v>247</v>
      </c>
      <c r="K4238" s="5" t="s">
        <v>292</v>
      </c>
      <c r="L4238" s="5" t="s">
        <v>9249</v>
      </c>
      <c r="M4238" s="5">
        <v>1</v>
      </c>
      <c r="N4238" s="5" t="s">
        <v>8053</v>
      </c>
      <c r="O4238" s="5" t="s">
        <v>1640</v>
      </c>
      <c r="Q4238" s="5" t="s">
        <v>553</v>
      </c>
      <c r="R4238" s="5" t="s">
        <v>9251</v>
      </c>
    </row>
    <row r="4239" spans="1:21" x14ac:dyDescent="0.2">
      <c r="A4239" s="5">
        <v>894</v>
      </c>
      <c r="B4239" s="40" t="s">
        <v>9253</v>
      </c>
      <c r="H4239" s="8" t="s">
        <v>9254</v>
      </c>
      <c r="I4239" s="8" t="s">
        <v>9255</v>
      </c>
      <c r="J4239" s="5">
        <f>127+6+4</f>
        <v>137</v>
      </c>
      <c r="K4239" s="5" t="s">
        <v>292</v>
      </c>
      <c r="L4239" s="5" t="s">
        <v>9249</v>
      </c>
      <c r="M4239" s="5">
        <v>1</v>
      </c>
      <c r="N4239" s="5" t="s">
        <v>8053</v>
      </c>
      <c r="O4239" s="5" t="s">
        <v>1640</v>
      </c>
      <c r="Q4239" s="5" t="s">
        <v>553</v>
      </c>
      <c r="R4239" s="5" t="s">
        <v>9251</v>
      </c>
    </row>
    <row r="4240" spans="1:21" x14ac:dyDescent="0.2">
      <c r="A4240" s="5"/>
      <c r="B4240" s="40" t="s">
        <v>9256</v>
      </c>
      <c r="I4240" s="8" t="s">
        <v>9257</v>
      </c>
      <c r="J4240" s="5">
        <f>43</f>
        <v>43</v>
      </c>
      <c r="K4240" s="5" t="s">
        <v>292</v>
      </c>
      <c r="L4240" s="5" t="s">
        <v>9249</v>
      </c>
      <c r="M4240" s="5">
        <v>1</v>
      </c>
    </row>
    <row r="4241" spans="1:17" x14ac:dyDescent="0.2">
      <c r="A4241" s="5"/>
      <c r="B4241" s="40" t="s">
        <v>9258</v>
      </c>
      <c r="H4241" s="8" t="s">
        <v>9259</v>
      </c>
      <c r="I4241" s="8" t="s">
        <v>9259</v>
      </c>
      <c r="J4241" s="5">
        <f>128</f>
        <v>128</v>
      </c>
      <c r="K4241" s="5" t="s">
        <v>292</v>
      </c>
      <c r="L4241" s="5" t="s">
        <v>9249</v>
      </c>
      <c r="M4241" s="5">
        <v>1</v>
      </c>
      <c r="N4241" s="5" t="s">
        <v>8053</v>
      </c>
      <c r="Q4241" s="107" t="s">
        <v>9260</v>
      </c>
    </row>
    <row r="4242" spans="1:17" x14ac:dyDescent="0.2">
      <c r="A4242" s="5"/>
      <c r="B4242" s="40" t="s">
        <v>9261</v>
      </c>
      <c r="H4242" s="8" t="s">
        <v>9262</v>
      </c>
      <c r="I4242" s="8" t="s">
        <v>9262</v>
      </c>
      <c r="J4242" s="5">
        <f>38</f>
        <v>38</v>
      </c>
      <c r="K4242" s="5" t="s">
        <v>292</v>
      </c>
      <c r="L4242" s="5" t="s">
        <v>9249</v>
      </c>
      <c r="M4242" s="5">
        <v>2</v>
      </c>
      <c r="N4242" s="5" t="s">
        <v>553</v>
      </c>
      <c r="Q4242" s="107" t="s">
        <v>9263</v>
      </c>
    </row>
    <row r="4243" spans="1:17" x14ac:dyDescent="0.2">
      <c r="A4243" s="5"/>
      <c r="B4243" s="40" t="s">
        <v>9264</v>
      </c>
      <c r="H4243" s="8" t="s">
        <v>9265</v>
      </c>
      <c r="I4243" s="8" t="s">
        <v>9265</v>
      </c>
      <c r="J4243" s="5">
        <f>80</f>
        <v>80</v>
      </c>
      <c r="K4243" s="5" t="s">
        <v>292</v>
      </c>
      <c r="L4243" s="5" t="s">
        <v>9249</v>
      </c>
      <c r="M4243" s="5">
        <v>2</v>
      </c>
      <c r="N4243" s="5" t="s">
        <v>553</v>
      </c>
      <c r="Q4243" s="107" t="s">
        <v>9263</v>
      </c>
    </row>
    <row r="4244" spans="1:17" x14ac:dyDescent="0.2">
      <c r="A4244" s="5"/>
      <c r="B4244" s="40" t="s">
        <v>9266</v>
      </c>
      <c r="H4244" s="8" t="s">
        <v>9267</v>
      </c>
      <c r="I4244" s="8" t="s">
        <v>9267</v>
      </c>
      <c r="J4244" s="5">
        <f>150</f>
        <v>150</v>
      </c>
      <c r="K4244" s="5" t="s">
        <v>292</v>
      </c>
      <c r="L4244" s="5" t="s">
        <v>9249</v>
      </c>
      <c r="M4244" s="5">
        <v>2</v>
      </c>
      <c r="N4244" s="5" t="s">
        <v>553</v>
      </c>
      <c r="Q4244" s="107" t="s">
        <v>917</v>
      </c>
    </row>
    <row r="4245" spans="1:17" x14ac:dyDescent="0.2">
      <c r="A4245" s="5"/>
      <c r="B4245" s="40" t="s">
        <v>9268</v>
      </c>
      <c r="H4245" s="8" t="s">
        <v>9269</v>
      </c>
      <c r="I4245" s="8" t="s">
        <v>9269</v>
      </c>
      <c r="J4245" s="5">
        <f>200</f>
        <v>200</v>
      </c>
      <c r="K4245" s="5" t="s">
        <v>7221</v>
      </c>
      <c r="L4245" s="5" t="s">
        <v>9249</v>
      </c>
      <c r="M4245" s="5">
        <v>2</v>
      </c>
      <c r="N4245" s="5" t="s">
        <v>553</v>
      </c>
      <c r="Q4245" s="107"/>
    </row>
    <row r="4246" spans="1:17" x14ac:dyDescent="0.2">
      <c r="A4246" s="5"/>
      <c r="B4246" s="40" t="s">
        <v>9270</v>
      </c>
      <c r="H4246" s="8" t="s">
        <v>9271</v>
      </c>
      <c r="I4246" s="8" t="s">
        <v>9271</v>
      </c>
      <c r="J4246" s="5">
        <f>59</f>
        <v>59</v>
      </c>
      <c r="K4246" s="5" t="s">
        <v>292</v>
      </c>
      <c r="L4246" s="5" t="s">
        <v>9249</v>
      </c>
      <c r="M4246" s="5">
        <v>2</v>
      </c>
      <c r="N4246" s="5" t="s">
        <v>553</v>
      </c>
      <c r="Q4246" s="107" t="s">
        <v>2733</v>
      </c>
    </row>
    <row r="4247" spans="1:17" x14ac:dyDescent="0.2">
      <c r="A4247" s="5"/>
      <c r="B4247" s="100" t="s">
        <v>9272</v>
      </c>
      <c r="I4247" s="100" t="s">
        <v>9273</v>
      </c>
      <c r="J4247" s="5">
        <f>80</f>
        <v>80</v>
      </c>
      <c r="K4247" s="5" t="s">
        <v>292</v>
      </c>
      <c r="L4247" s="5" t="s">
        <v>9249</v>
      </c>
      <c r="M4247" s="5">
        <v>2</v>
      </c>
      <c r="Q4247" s="107"/>
    </row>
    <row r="4248" spans="1:17" x14ac:dyDescent="0.2">
      <c r="A4248" s="5"/>
      <c r="B4248" s="140" t="s">
        <v>9274</v>
      </c>
      <c r="H4248" s="8" t="s">
        <v>9275</v>
      </c>
      <c r="I4248" s="8" t="s">
        <v>9275</v>
      </c>
      <c r="J4248" s="5">
        <f>78</f>
        <v>78</v>
      </c>
      <c r="K4248" s="5" t="s">
        <v>292</v>
      </c>
      <c r="L4248" s="5" t="s">
        <v>9249</v>
      </c>
      <c r="M4248" s="5">
        <v>2</v>
      </c>
      <c r="N4248" s="5" t="s">
        <v>553</v>
      </c>
      <c r="Q4248" s="107" t="s">
        <v>9276</v>
      </c>
    </row>
    <row r="4249" spans="1:17" x14ac:dyDescent="0.2">
      <c r="A4249" s="5">
        <v>1090</v>
      </c>
      <c r="B4249" s="40" t="s">
        <v>9277</v>
      </c>
      <c r="H4249" s="8" t="s">
        <v>9278</v>
      </c>
      <c r="I4249" s="8" t="s">
        <v>9278</v>
      </c>
      <c r="J4249" s="5">
        <f>130</f>
        <v>130</v>
      </c>
      <c r="K4249" s="5" t="s">
        <v>292</v>
      </c>
      <c r="L4249" s="5" t="s">
        <v>9249</v>
      </c>
      <c r="M4249" s="5">
        <v>2</v>
      </c>
      <c r="N4249" s="5" t="s">
        <v>9279</v>
      </c>
      <c r="O4249" s="5" t="s">
        <v>1640</v>
      </c>
      <c r="Q4249" s="107" t="s">
        <v>9280</v>
      </c>
    </row>
    <row r="4250" spans="1:17" x14ac:dyDescent="0.2">
      <c r="A4250" s="5">
        <v>1091</v>
      </c>
      <c r="B4250" s="40" t="s">
        <v>9281</v>
      </c>
      <c r="H4250" s="8" t="s">
        <v>9282</v>
      </c>
      <c r="I4250" s="8" t="s">
        <v>9282</v>
      </c>
      <c r="J4250" s="5">
        <v>4000</v>
      </c>
      <c r="K4250" s="5" t="s">
        <v>292</v>
      </c>
      <c r="L4250" s="5" t="s">
        <v>9249</v>
      </c>
      <c r="M4250" s="5">
        <v>2</v>
      </c>
      <c r="N4250" s="5" t="s">
        <v>9279</v>
      </c>
      <c r="O4250" s="5" t="s">
        <v>1640</v>
      </c>
      <c r="Q4250" s="107" t="s">
        <v>9283</v>
      </c>
    </row>
    <row r="4251" spans="1:17" x14ac:dyDescent="0.2">
      <c r="A4251" s="5">
        <v>1092</v>
      </c>
      <c r="B4251" s="40" t="s">
        <v>9284</v>
      </c>
      <c r="H4251" s="8" t="s">
        <v>9285</v>
      </c>
      <c r="I4251" s="8" t="s">
        <v>9285</v>
      </c>
      <c r="J4251" s="5">
        <v>80</v>
      </c>
      <c r="K4251" s="5" t="s">
        <v>292</v>
      </c>
      <c r="L4251" s="5" t="s">
        <v>9249</v>
      </c>
      <c r="M4251" s="5">
        <v>2</v>
      </c>
      <c r="N4251" s="5" t="s">
        <v>9286</v>
      </c>
      <c r="O4251" s="5" t="s">
        <v>1640</v>
      </c>
      <c r="Q4251" s="39" t="s">
        <v>553</v>
      </c>
    </row>
    <row r="4252" spans="1:17" x14ac:dyDescent="0.2">
      <c r="A4252" s="5">
        <v>1093</v>
      </c>
      <c r="B4252" s="40" t="s">
        <v>9287</v>
      </c>
      <c r="H4252" s="8" t="s">
        <v>9288</v>
      </c>
      <c r="I4252" s="8" t="s">
        <v>9288</v>
      </c>
      <c r="J4252" s="5">
        <f>140</f>
        <v>140</v>
      </c>
      <c r="K4252" s="5" t="s">
        <v>292</v>
      </c>
      <c r="L4252" s="5" t="s">
        <v>9249</v>
      </c>
      <c r="M4252" s="5">
        <v>2</v>
      </c>
      <c r="N4252" s="5" t="s">
        <v>9289</v>
      </c>
      <c r="O4252" s="5" t="s">
        <v>1640</v>
      </c>
      <c r="Q4252" s="33" t="s">
        <v>553</v>
      </c>
    </row>
    <row r="4253" spans="1:17" x14ac:dyDescent="0.2">
      <c r="A4253" s="5">
        <v>1094</v>
      </c>
      <c r="B4253" s="40" t="s">
        <v>9290</v>
      </c>
      <c r="H4253" s="8" t="s">
        <v>9291</v>
      </c>
      <c r="I4253" s="8" t="s">
        <v>9291</v>
      </c>
      <c r="J4253" s="5">
        <v>5000</v>
      </c>
      <c r="K4253" s="5" t="s">
        <v>292</v>
      </c>
      <c r="L4253" s="5" t="s">
        <v>9249</v>
      </c>
      <c r="M4253" s="5">
        <v>2</v>
      </c>
      <c r="N4253" s="5" t="s">
        <v>57</v>
      </c>
      <c r="O4253" s="5" t="s">
        <v>1640</v>
      </c>
      <c r="Q4253" s="5" t="s">
        <v>553</v>
      </c>
    </row>
    <row r="4254" spans="1:17" x14ac:dyDescent="0.2">
      <c r="A4254" s="5">
        <v>1095</v>
      </c>
      <c r="B4254" s="40" t="s">
        <v>9292</v>
      </c>
      <c r="H4254" s="8" t="s">
        <v>9293</v>
      </c>
      <c r="I4254" s="8" t="s">
        <v>9293</v>
      </c>
      <c r="J4254" s="5">
        <v>150</v>
      </c>
      <c r="K4254" s="5" t="s">
        <v>292</v>
      </c>
      <c r="L4254" s="5" t="s">
        <v>9249</v>
      </c>
      <c r="M4254" s="5">
        <v>2</v>
      </c>
      <c r="N4254" s="5" t="s">
        <v>57</v>
      </c>
      <c r="O4254" s="5" t="s">
        <v>1640</v>
      </c>
      <c r="Q4254" s="5" t="s">
        <v>9294</v>
      </c>
    </row>
    <row r="4255" spans="1:17" x14ac:dyDescent="0.2">
      <c r="A4255" s="5">
        <v>1096</v>
      </c>
      <c r="B4255" s="40" t="s">
        <v>9295</v>
      </c>
      <c r="H4255" s="8" t="s">
        <v>9296</v>
      </c>
      <c r="I4255" s="8" t="s">
        <v>9296</v>
      </c>
      <c r="J4255" s="5">
        <f>29+97</f>
        <v>126</v>
      </c>
      <c r="K4255" s="5" t="s">
        <v>292</v>
      </c>
      <c r="L4255" s="5" t="s">
        <v>9249</v>
      </c>
      <c r="M4255" s="5">
        <v>2</v>
      </c>
      <c r="N4255" s="5" t="s">
        <v>9297</v>
      </c>
      <c r="O4255" s="5" t="s">
        <v>1640</v>
      </c>
      <c r="Q4255" s="5" t="s">
        <v>9298</v>
      </c>
    </row>
    <row r="4256" spans="1:17" x14ac:dyDescent="0.2">
      <c r="A4256" s="5">
        <v>1097</v>
      </c>
      <c r="B4256" s="40" t="s">
        <v>9299</v>
      </c>
      <c r="H4256" s="8" t="s">
        <v>9300</v>
      </c>
      <c r="I4256" s="8" t="s">
        <v>9300</v>
      </c>
      <c r="J4256" s="5">
        <f>3000</f>
        <v>3000</v>
      </c>
      <c r="K4256" s="5" t="s">
        <v>292</v>
      </c>
      <c r="L4256" s="5" t="s">
        <v>9249</v>
      </c>
      <c r="M4256" s="5">
        <v>2</v>
      </c>
      <c r="N4256" s="5" t="s">
        <v>9301</v>
      </c>
      <c r="O4256" s="5" t="s">
        <v>1640</v>
      </c>
      <c r="Q4256" s="5" t="s">
        <v>553</v>
      </c>
    </row>
    <row r="4257" spans="1:21" x14ac:dyDescent="0.2">
      <c r="A4257" s="5">
        <v>1098</v>
      </c>
      <c r="B4257" s="40" t="s">
        <v>9302</v>
      </c>
      <c r="H4257" s="8" t="s">
        <v>9303</v>
      </c>
      <c r="I4257" s="8" t="s">
        <v>9303</v>
      </c>
      <c r="J4257" s="5">
        <f>4600-20</f>
        <v>4580</v>
      </c>
      <c r="K4257" s="5" t="s">
        <v>292</v>
      </c>
      <c r="L4257" s="5" t="s">
        <v>9249</v>
      </c>
      <c r="M4257" s="5">
        <v>2</v>
      </c>
      <c r="N4257" s="5" t="s">
        <v>9279</v>
      </c>
      <c r="O4257" s="5" t="s">
        <v>1640</v>
      </c>
      <c r="Q4257" s="5" t="s">
        <v>553</v>
      </c>
    </row>
    <row r="4258" spans="1:21" x14ac:dyDescent="0.2">
      <c r="A4258" s="5">
        <v>1099</v>
      </c>
      <c r="B4258" s="140" t="s">
        <v>9304</v>
      </c>
      <c r="H4258" s="8" t="s">
        <v>9305</v>
      </c>
      <c r="I4258" s="8" t="s">
        <v>9305</v>
      </c>
      <c r="J4258" s="5">
        <v>30</v>
      </c>
      <c r="K4258" s="5" t="s">
        <v>292</v>
      </c>
      <c r="L4258" s="5" t="s">
        <v>9249</v>
      </c>
      <c r="M4258" s="5">
        <v>2</v>
      </c>
      <c r="O4258" s="5" t="s">
        <v>1640</v>
      </c>
      <c r="Q4258" s="5" t="s">
        <v>553</v>
      </c>
    </row>
    <row r="4259" spans="1:21" x14ac:dyDescent="0.2">
      <c r="A4259" s="5">
        <v>1100</v>
      </c>
      <c r="B4259" s="40" t="s">
        <v>9306</v>
      </c>
      <c r="H4259" s="8" t="s">
        <v>9307</v>
      </c>
      <c r="I4259" s="8" t="s">
        <v>9307</v>
      </c>
      <c r="J4259" s="5">
        <f>8</f>
        <v>8</v>
      </c>
      <c r="K4259" s="5" t="s">
        <v>292</v>
      </c>
      <c r="L4259" s="5" t="s">
        <v>9249</v>
      </c>
      <c r="M4259" s="5">
        <v>2</v>
      </c>
      <c r="N4259" s="5" t="s">
        <v>43</v>
      </c>
      <c r="O4259" s="5" t="s">
        <v>1640</v>
      </c>
      <c r="Q4259" s="5" t="s">
        <v>9308</v>
      </c>
    </row>
    <row r="4260" spans="1:21" x14ac:dyDescent="0.2">
      <c r="A4260" s="5">
        <v>1101</v>
      </c>
      <c r="B4260" s="40" t="s">
        <v>9309</v>
      </c>
      <c r="H4260" s="8" t="s">
        <v>9310</v>
      </c>
      <c r="I4260" s="8" t="s">
        <v>9310</v>
      </c>
      <c r="J4260" s="5">
        <v>200</v>
      </c>
      <c r="K4260" s="5" t="s">
        <v>292</v>
      </c>
      <c r="L4260" s="5" t="s">
        <v>9249</v>
      </c>
      <c r="M4260" s="5">
        <v>2</v>
      </c>
      <c r="N4260" s="5" t="s">
        <v>9279</v>
      </c>
      <c r="O4260" s="5" t="s">
        <v>1640</v>
      </c>
      <c r="Q4260" s="5" t="s">
        <v>9311</v>
      </c>
    </row>
    <row r="4261" spans="1:21" x14ac:dyDescent="0.2">
      <c r="A4261" s="5"/>
      <c r="B4261" s="140" t="s">
        <v>9312</v>
      </c>
      <c r="H4261" s="8" t="s">
        <v>9313</v>
      </c>
      <c r="I4261" s="8" t="s">
        <v>9313</v>
      </c>
      <c r="J4261" s="5">
        <v>1000</v>
      </c>
      <c r="K4261" s="5" t="s">
        <v>292</v>
      </c>
      <c r="L4261" s="5" t="s">
        <v>9249</v>
      </c>
      <c r="M4261" s="5">
        <v>2</v>
      </c>
      <c r="N4261" s="5" t="s">
        <v>57</v>
      </c>
      <c r="Q4261" s="5" t="s">
        <v>9314</v>
      </c>
    </row>
    <row r="4262" spans="1:21" x14ac:dyDescent="0.2">
      <c r="A4262" s="5">
        <v>852</v>
      </c>
      <c r="B4262" s="199" t="s">
        <v>9315</v>
      </c>
      <c r="H4262" s="8" t="s">
        <v>9316</v>
      </c>
      <c r="I4262" s="8" t="s">
        <v>9316</v>
      </c>
      <c r="J4262" s="5">
        <f>1114-20</f>
        <v>1094</v>
      </c>
      <c r="K4262" s="5" t="s">
        <v>292</v>
      </c>
      <c r="L4262" s="5" t="s">
        <v>9249</v>
      </c>
      <c r="M4262" s="5">
        <v>2</v>
      </c>
      <c r="N4262" s="5" t="s">
        <v>57</v>
      </c>
      <c r="O4262" s="5" t="s">
        <v>789</v>
      </c>
      <c r="Q4262" s="5" t="s">
        <v>9314</v>
      </c>
    </row>
    <row r="4263" spans="1:21" x14ac:dyDescent="0.2">
      <c r="A4263" s="5"/>
      <c r="B4263" s="140" t="s">
        <v>9317</v>
      </c>
      <c r="H4263" s="8" t="s">
        <v>9318</v>
      </c>
      <c r="I4263" s="8" t="s">
        <v>9318</v>
      </c>
      <c r="J4263" s="5">
        <v>1000</v>
      </c>
      <c r="K4263" s="5" t="s">
        <v>292</v>
      </c>
      <c r="L4263" s="5" t="s">
        <v>9249</v>
      </c>
      <c r="M4263" s="5">
        <v>2</v>
      </c>
      <c r="N4263" s="5" t="s">
        <v>57</v>
      </c>
      <c r="Q4263" s="5" t="s">
        <v>9314</v>
      </c>
    </row>
    <row r="4264" spans="1:21" x14ac:dyDescent="0.2">
      <c r="A4264" s="5">
        <v>1084</v>
      </c>
      <c r="B4264" s="40" t="s">
        <v>9319</v>
      </c>
      <c r="H4264" s="8" t="s">
        <v>9320</v>
      </c>
      <c r="I4264" s="8" t="s">
        <v>9320</v>
      </c>
      <c r="J4264" s="5">
        <v>30</v>
      </c>
      <c r="K4264" s="5" t="s">
        <v>292</v>
      </c>
      <c r="L4264" s="5" t="s">
        <v>9249</v>
      </c>
      <c r="M4264" s="5">
        <v>2</v>
      </c>
      <c r="N4264" s="5" t="s">
        <v>9297</v>
      </c>
      <c r="O4264" s="5" t="s">
        <v>1640</v>
      </c>
      <c r="Q4264" s="5" t="s">
        <v>553</v>
      </c>
    </row>
    <row r="4265" spans="1:21" x14ac:dyDescent="0.2">
      <c r="A4265" s="5"/>
      <c r="B4265" s="40" t="s">
        <v>9321</v>
      </c>
      <c r="H4265" s="8" t="s">
        <v>9322</v>
      </c>
      <c r="I4265" s="8" t="s">
        <v>9323</v>
      </c>
      <c r="J4265" s="5">
        <f>150</f>
        <v>150</v>
      </c>
      <c r="K4265" s="5" t="s">
        <v>292</v>
      </c>
      <c r="L4265" s="5" t="s">
        <v>9249</v>
      </c>
      <c r="M4265" s="5">
        <v>3</v>
      </c>
      <c r="N4265" s="5" t="s">
        <v>3099</v>
      </c>
      <c r="Q4265" s="107" t="s">
        <v>9324</v>
      </c>
    </row>
    <row r="4266" spans="1:21" x14ac:dyDescent="0.2">
      <c r="A4266" s="5"/>
      <c r="B4266" s="140" t="s">
        <v>9325</v>
      </c>
      <c r="H4266" s="8" t="s">
        <v>9326</v>
      </c>
      <c r="I4266" s="8" t="s">
        <v>9326</v>
      </c>
      <c r="J4266" s="5">
        <f>10</f>
        <v>10</v>
      </c>
      <c r="K4266" s="5" t="s">
        <v>292</v>
      </c>
      <c r="L4266" s="5" t="s">
        <v>9249</v>
      </c>
      <c r="M4266" s="5">
        <v>3</v>
      </c>
      <c r="N4266" s="5" t="s">
        <v>9327</v>
      </c>
      <c r="Q4266" s="107" t="s">
        <v>9276</v>
      </c>
    </row>
    <row r="4267" spans="1:21" x14ac:dyDescent="0.2">
      <c r="A4267" s="5"/>
      <c r="B4267" s="40" t="s">
        <v>9306</v>
      </c>
      <c r="H4267" s="8" t="s">
        <v>9307</v>
      </c>
      <c r="I4267" s="8" t="s">
        <v>9307</v>
      </c>
      <c r="J4267" s="5">
        <f>8</f>
        <v>8</v>
      </c>
      <c r="K4267" s="5" t="s">
        <v>292</v>
      </c>
      <c r="L4267" s="5" t="s">
        <v>9249</v>
      </c>
      <c r="M4267" s="5">
        <v>3</v>
      </c>
      <c r="N4267" s="5" t="s">
        <v>3099</v>
      </c>
      <c r="Q4267" s="107"/>
    </row>
    <row r="4268" spans="1:21" x14ac:dyDescent="0.2">
      <c r="A4268" s="5"/>
      <c r="B4268" s="40" t="s">
        <v>9328</v>
      </c>
      <c r="H4268" s="8" t="s">
        <v>9329</v>
      </c>
      <c r="I4268" s="8" t="s">
        <v>9329</v>
      </c>
      <c r="J4268" s="5">
        <f>111</f>
        <v>111</v>
      </c>
      <c r="K4268" s="5" t="s">
        <v>292</v>
      </c>
      <c r="L4268" s="5" t="s">
        <v>9249</v>
      </c>
      <c r="M4268" s="5">
        <v>3</v>
      </c>
      <c r="N4268" s="5" t="s">
        <v>9330</v>
      </c>
      <c r="Q4268" s="107"/>
      <c r="U4268" t="s">
        <v>321</v>
      </c>
    </row>
    <row r="4269" spans="1:21" x14ac:dyDescent="0.2">
      <c r="A4269" s="5"/>
      <c r="B4269" s="40" t="s">
        <v>9331</v>
      </c>
      <c r="H4269" s="8" t="s">
        <v>9332</v>
      </c>
      <c r="I4269" s="8" t="s">
        <v>9332</v>
      </c>
      <c r="J4269" s="5">
        <f>50</f>
        <v>50</v>
      </c>
      <c r="K4269" s="5" t="s">
        <v>292</v>
      </c>
      <c r="L4269" s="5" t="s">
        <v>9249</v>
      </c>
      <c r="M4269" s="5">
        <v>3</v>
      </c>
      <c r="N4269" s="5" t="s">
        <v>3099</v>
      </c>
      <c r="Q4269" s="107"/>
      <c r="U4269" t="s">
        <v>321</v>
      </c>
    </row>
    <row r="4270" spans="1:21" x14ac:dyDescent="0.2">
      <c r="A4270" s="5"/>
      <c r="B4270" s="40" t="s">
        <v>9333</v>
      </c>
      <c r="H4270" s="8" t="s">
        <v>9334</v>
      </c>
      <c r="I4270" s="8" t="s">
        <v>9334</v>
      </c>
      <c r="J4270" s="5">
        <f>189</f>
        <v>189</v>
      </c>
      <c r="K4270" s="5" t="s">
        <v>292</v>
      </c>
      <c r="L4270" s="5" t="s">
        <v>9249</v>
      </c>
      <c r="M4270" s="5">
        <v>3</v>
      </c>
      <c r="N4270" s="5" t="s">
        <v>57</v>
      </c>
      <c r="Q4270" s="107" t="s">
        <v>9335</v>
      </c>
    </row>
    <row r="4271" spans="1:21" x14ac:dyDescent="0.2">
      <c r="A4271" s="5"/>
      <c r="B4271" s="40" t="s">
        <v>9336</v>
      </c>
      <c r="H4271" s="8" t="s">
        <v>9337</v>
      </c>
      <c r="I4271" s="8" t="s">
        <v>9337</v>
      </c>
      <c r="J4271" s="5">
        <f>10</f>
        <v>10</v>
      </c>
      <c r="K4271" s="5" t="s">
        <v>292</v>
      </c>
      <c r="L4271" s="5" t="s">
        <v>9249</v>
      </c>
      <c r="M4271" s="5">
        <v>3</v>
      </c>
      <c r="N4271" s="5" t="s">
        <v>9327</v>
      </c>
      <c r="Q4271" s="107" t="s">
        <v>9338</v>
      </c>
    </row>
    <row r="4272" spans="1:21" x14ac:dyDescent="0.2">
      <c r="A4272" s="5"/>
      <c r="B4272" s="40" t="s">
        <v>9339</v>
      </c>
      <c r="H4272" s="108" t="s">
        <v>9340</v>
      </c>
      <c r="I4272" s="108" t="s">
        <v>9340</v>
      </c>
      <c r="J4272" s="5">
        <f>86</f>
        <v>86</v>
      </c>
      <c r="K4272" s="5" t="s">
        <v>292</v>
      </c>
      <c r="L4272" s="5" t="s">
        <v>9249</v>
      </c>
      <c r="M4272" s="5">
        <v>3</v>
      </c>
      <c r="N4272" s="5" t="s">
        <v>3099</v>
      </c>
      <c r="Q4272" s="107"/>
      <c r="U4272" t="s">
        <v>321</v>
      </c>
    </row>
    <row r="4273" spans="1:21" x14ac:dyDescent="0.2">
      <c r="A4273" s="5"/>
      <c r="B4273" s="40" t="s">
        <v>9341</v>
      </c>
      <c r="H4273" s="108" t="s">
        <v>9342</v>
      </c>
      <c r="I4273" s="108" t="s">
        <v>9342</v>
      </c>
      <c r="J4273" s="5">
        <f>36+500+150</f>
        <v>686</v>
      </c>
      <c r="K4273" s="5" t="s">
        <v>292</v>
      </c>
      <c r="L4273" s="5" t="s">
        <v>9249</v>
      </c>
      <c r="M4273" s="5">
        <v>3</v>
      </c>
      <c r="N4273" s="5" t="s">
        <v>57</v>
      </c>
      <c r="Q4273" s="131" t="s">
        <v>9338</v>
      </c>
    </row>
    <row r="4274" spans="1:21" x14ac:dyDescent="0.2">
      <c r="A4274" s="5"/>
      <c r="B4274" s="140" t="s">
        <v>9343</v>
      </c>
      <c r="H4274" s="108" t="s">
        <v>9344</v>
      </c>
      <c r="I4274" s="108" t="s">
        <v>9344</v>
      </c>
      <c r="J4274" s="5">
        <f>13</f>
        <v>13</v>
      </c>
      <c r="K4274" s="5" t="s">
        <v>292</v>
      </c>
      <c r="L4274" s="5" t="s">
        <v>9249</v>
      </c>
      <c r="M4274" s="5">
        <v>3</v>
      </c>
      <c r="N4274" s="5" t="s">
        <v>9327</v>
      </c>
      <c r="Q4274" s="107" t="s">
        <v>9345</v>
      </c>
    </row>
    <row r="4275" spans="1:21" x14ac:dyDescent="0.2">
      <c r="A4275" s="5"/>
      <c r="B4275" s="40" t="s">
        <v>9346</v>
      </c>
      <c r="H4275" s="108" t="s">
        <v>9347</v>
      </c>
      <c r="I4275" s="108" t="s">
        <v>9347</v>
      </c>
      <c r="J4275" s="5">
        <f>56</f>
        <v>56</v>
      </c>
      <c r="K4275" s="5" t="s">
        <v>292</v>
      </c>
      <c r="L4275" s="5" t="s">
        <v>9249</v>
      </c>
      <c r="M4275" s="5">
        <v>3</v>
      </c>
      <c r="N4275" s="5" t="s">
        <v>3099</v>
      </c>
      <c r="Q4275" s="107"/>
      <c r="U4275" t="s">
        <v>321</v>
      </c>
    </row>
    <row r="4276" spans="1:21" x14ac:dyDescent="0.2">
      <c r="A4276" s="5"/>
      <c r="B4276" s="40" t="s">
        <v>9348</v>
      </c>
      <c r="H4276" s="108" t="s">
        <v>9349</v>
      </c>
      <c r="I4276" s="108" t="s">
        <v>9349</v>
      </c>
      <c r="J4276" s="5">
        <f>19</f>
        <v>19</v>
      </c>
      <c r="K4276" s="5" t="s">
        <v>292</v>
      </c>
      <c r="L4276" s="5" t="s">
        <v>9249</v>
      </c>
      <c r="M4276" s="5">
        <v>3</v>
      </c>
      <c r="N4276" s="5" t="s">
        <v>9327</v>
      </c>
      <c r="Q4276" s="107" t="s">
        <v>9350</v>
      </c>
    </row>
    <row r="4277" spans="1:21" x14ac:dyDescent="0.2">
      <c r="A4277" s="5"/>
      <c r="B4277" s="140" t="s">
        <v>9351</v>
      </c>
      <c r="H4277" s="108" t="s">
        <v>9352</v>
      </c>
      <c r="I4277" s="108" t="s">
        <v>9352</v>
      </c>
      <c r="J4277" s="5">
        <f>19</f>
        <v>19</v>
      </c>
      <c r="K4277" s="5" t="s">
        <v>292</v>
      </c>
      <c r="L4277" s="5" t="s">
        <v>9249</v>
      </c>
      <c r="M4277" s="5">
        <v>3</v>
      </c>
      <c r="N4277" s="5" t="s">
        <v>553</v>
      </c>
      <c r="Q4277" s="131" t="s">
        <v>9353</v>
      </c>
    </row>
    <row r="4278" spans="1:21" x14ac:dyDescent="0.2">
      <c r="A4278" s="5"/>
      <c r="B4278" s="140" t="s">
        <v>9354</v>
      </c>
      <c r="H4278" s="108" t="s">
        <v>9355</v>
      </c>
      <c r="I4278" s="108" t="s">
        <v>9355</v>
      </c>
      <c r="J4278" s="5">
        <f>5</f>
        <v>5</v>
      </c>
      <c r="K4278" s="5" t="s">
        <v>292</v>
      </c>
      <c r="L4278" s="5" t="s">
        <v>9249</v>
      </c>
      <c r="M4278" s="5">
        <v>3</v>
      </c>
      <c r="N4278" s="5" t="s">
        <v>1495</v>
      </c>
      <c r="Q4278" s="107" t="s">
        <v>9356</v>
      </c>
    </row>
    <row r="4279" spans="1:21" x14ac:dyDescent="0.2">
      <c r="A4279" s="5"/>
      <c r="B4279" s="40" t="s">
        <v>9357</v>
      </c>
      <c r="H4279" s="108" t="s">
        <v>9358</v>
      </c>
      <c r="I4279" s="108" t="s">
        <v>9358</v>
      </c>
      <c r="J4279" s="5">
        <f>100</f>
        <v>100</v>
      </c>
      <c r="K4279" s="5" t="s">
        <v>292</v>
      </c>
      <c r="L4279" s="5" t="s">
        <v>9249</v>
      </c>
      <c r="M4279" s="5">
        <v>3</v>
      </c>
      <c r="N4279" s="5" t="s">
        <v>57</v>
      </c>
      <c r="Q4279" s="107" t="s">
        <v>9359</v>
      </c>
    </row>
    <row r="4280" spans="1:21" x14ac:dyDescent="0.2">
      <c r="A4280" s="5"/>
      <c r="B4280" s="40" t="s">
        <v>9360</v>
      </c>
      <c r="H4280" s="108" t="s">
        <v>9361</v>
      </c>
      <c r="I4280" s="108" t="s">
        <v>9361</v>
      </c>
      <c r="J4280" s="5">
        <f>55</f>
        <v>55</v>
      </c>
      <c r="K4280" s="5" t="s">
        <v>292</v>
      </c>
      <c r="L4280" s="5" t="s">
        <v>9249</v>
      </c>
      <c r="M4280" s="5">
        <v>3</v>
      </c>
      <c r="N4280" s="5" t="s">
        <v>9362</v>
      </c>
      <c r="Q4280" s="107" t="s">
        <v>553</v>
      </c>
    </row>
    <row r="4281" spans="1:21" x14ac:dyDescent="0.2">
      <c r="A4281" s="5">
        <v>320</v>
      </c>
      <c r="B4281" s="140" t="s">
        <v>9363</v>
      </c>
      <c r="H4281" s="8" t="s">
        <v>9364</v>
      </c>
      <c r="I4281" s="8" t="s">
        <v>9364</v>
      </c>
      <c r="J4281" s="5">
        <v>4800</v>
      </c>
      <c r="K4281" s="5" t="s">
        <v>21</v>
      </c>
      <c r="L4281" s="5" t="s">
        <v>9249</v>
      </c>
      <c r="M4281" s="5">
        <v>3</v>
      </c>
      <c r="N4281" s="5" t="s">
        <v>57</v>
      </c>
      <c r="Q4281" s="5" t="s">
        <v>9365</v>
      </c>
    </row>
    <row r="4282" spans="1:21" x14ac:dyDescent="0.2">
      <c r="A4282" s="5">
        <v>902</v>
      </c>
      <c r="B4282" s="140" t="s">
        <v>9366</v>
      </c>
      <c r="H4282" s="8" t="s">
        <v>9367</v>
      </c>
      <c r="I4282" s="8" t="s">
        <v>9367</v>
      </c>
      <c r="J4282" s="5">
        <f>3+3</f>
        <v>6</v>
      </c>
      <c r="K4282" s="5" t="s">
        <v>292</v>
      </c>
      <c r="L4282" s="5" t="s">
        <v>9249</v>
      </c>
      <c r="M4282" s="5">
        <v>3</v>
      </c>
      <c r="N4282" s="5" t="s">
        <v>8053</v>
      </c>
      <c r="O4282" s="5" t="s">
        <v>1640</v>
      </c>
      <c r="Q4282" s="5" t="s">
        <v>9368</v>
      </c>
    </row>
    <row r="4283" spans="1:21" x14ac:dyDescent="0.2">
      <c r="A4283" s="5">
        <v>903</v>
      </c>
      <c r="B4283" s="140" t="s">
        <v>9369</v>
      </c>
      <c r="H4283" s="8" t="s">
        <v>9370</v>
      </c>
      <c r="I4283" s="8" t="s">
        <v>9370</v>
      </c>
      <c r="J4283" s="5">
        <v>5000</v>
      </c>
      <c r="K4283" s="5" t="s">
        <v>292</v>
      </c>
      <c r="L4283" s="5" t="s">
        <v>9249</v>
      </c>
      <c r="M4283" s="5">
        <v>3</v>
      </c>
      <c r="N4283" s="5" t="s">
        <v>43</v>
      </c>
      <c r="O4283" s="5" t="s">
        <v>1640</v>
      </c>
      <c r="Q4283" s="107" t="s">
        <v>9365</v>
      </c>
      <c r="R4283" s="5" t="s">
        <v>9371</v>
      </c>
    </row>
    <row r="4284" spans="1:21" x14ac:dyDescent="0.2">
      <c r="A4284" s="5">
        <v>904</v>
      </c>
      <c r="B4284" s="140" t="s">
        <v>9372</v>
      </c>
      <c r="H4284" s="8" t="s">
        <v>9373</v>
      </c>
      <c r="I4284" s="8" t="s">
        <v>9373</v>
      </c>
      <c r="J4284" s="5">
        <v>5000</v>
      </c>
      <c r="K4284" s="5" t="s">
        <v>292</v>
      </c>
      <c r="L4284" s="5" t="s">
        <v>9249</v>
      </c>
      <c r="M4284" s="5">
        <v>3</v>
      </c>
      <c r="N4284" s="5" t="s">
        <v>57</v>
      </c>
      <c r="O4284" s="5" t="s">
        <v>1640</v>
      </c>
      <c r="Q4284" s="5" t="s">
        <v>9374</v>
      </c>
    </row>
    <row r="4285" spans="1:21" x14ac:dyDescent="0.2">
      <c r="A4285" s="5">
        <v>907</v>
      </c>
      <c r="B4285" s="140" t="s">
        <v>9375</v>
      </c>
      <c r="H4285" s="8" t="s">
        <v>9376</v>
      </c>
      <c r="I4285" s="8" t="s">
        <v>9376</v>
      </c>
      <c r="J4285" s="5">
        <v>5000</v>
      </c>
      <c r="K4285" s="5" t="s">
        <v>292</v>
      </c>
      <c r="L4285" s="5" t="s">
        <v>9249</v>
      </c>
      <c r="M4285" s="5">
        <v>3</v>
      </c>
      <c r="N4285" s="5" t="s">
        <v>57</v>
      </c>
      <c r="O4285" s="5" t="s">
        <v>1640</v>
      </c>
      <c r="Q4285" s="5" t="s">
        <v>9374</v>
      </c>
    </row>
    <row r="4286" spans="1:21" x14ac:dyDescent="0.2">
      <c r="A4286" s="5">
        <v>909</v>
      </c>
      <c r="B4286" s="140" t="s">
        <v>9377</v>
      </c>
      <c r="H4286" s="8" t="s">
        <v>9378</v>
      </c>
      <c r="I4286" s="8" t="s">
        <v>9378</v>
      </c>
      <c r="J4286" s="5">
        <f>76</f>
        <v>76</v>
      </c>
      <c r="K4286" s="5" t="s">
        <v>292</v>
      </c>
      <c r="L4286" s="5" t="s">
        <v>9249</v>
      </c>
      <c r="M4286" s="5">
        <v>3</v>
      </c>
      <c r="N4286" s="5" t="s">
        <v>57</v>
      </c>
      <c r="O4286" s="5" t="s">
        <v>1640</v>
      </c>
      <c r="Q4286" s="5" t="s">
        <v>9374</v>
      </c>
    </row>
    <row r="4287" spans="1:21" x14ac:dyDescent="0.2">
      <c r="A4287" s="5">
        <v>910</v>
      </c>
      <c r="B4287" s="8" t="s">
        <v>9379</v>
      </c>
      <c r="H4287" s="8" t="s">
        <v>9380</v>
      </c>
      <c r="I4287" s="8" t="s">
        <v>9380</v>
      </c>
      <c r="J4287" s="5">
        <v>70</v>
      </c>
      <c r="K4287" s="5" t="s">
        <v>292</v>
      </c>
      <c r="L4287" s="5" t="s">
        <v>9249</v>
      </c>
      <c r="M4287" s="5">
        <v>3</v>
      </c>
      <c r="N4287" s="5" t="s">
        <v>57</v>
      </c>
      <c r="O4287" s="5" t="s">
        <v>1640</v>
      </c>
      <c r="Q4287" s="5" t="s">
        <v>9381</v>
      </c>
    </row>
    <row r="4288" spans="1:21" x14ac:dyDescent="0.2">
      <c r="A4288" s="5">
        <v>911</v>
      </c>
      <c r="B4288" s="140" t="s">
        <v>9382</v>
      </c>
      <c r="H4288" s="8" t="s">
        <v>9383</v>
      </c>
      <c r="I4288" s="8" t="s">
        <v>9383</v>
      </c>
      <c r="J4288" s="5">
        <f>52</f>
        <v>52</v>
      </c>
      <c r="K4288" s="5" t="s">
        <v>292</v>
      </c>
      <c r="L4288" s="5" t="s">
        <v>9249</v>
      </c>
      <c r="M4288" s="5">
        <v>3</v>
      </c>
      <c r="N4288" s="5" t="s">
        <v>57</v>
      </c>
      <c r="O4288" s="5" t="s">
        <v>1640</v>
      </c>
      <c r="Q4288" s="5" t="s">
        <v>9381</v>
      </c>
    </row>
    <row r="4289" spans="1:19" x14ac:dyDescent="0.2">
      <c r="A4289" s="5">
        <v>912</v>
      </c>
      <c r="B4289" s="40" t="s">
        <v>9384</v>
      </c>
      <c r="H4289" s="8" t="s">
        <v>9385</v>
      </c>
      <c r="I4289" s="8" t="s">
        <v>9385</v>
      </c>
      <c r="J4289" s="5">
        <f>216+10+30+100-40</f>
        <v>316</v>
      </c>
      <c r="K4289" s="5" t="s">
        <v>292</v>
      </c>
      <c r="L4289" s="5" t="s">
        <v>9249</v>
      </c>
      <c r="M4289" s="5">
        <v>3</v>
      </c>
      <c r="N4289" s="5" t="s">
        <v>57</v>
      </c>
      <c r="O4289" s="5" t="s">
        <v>1640</v>
      </c>
      <c r="Q4289" s="5" t="s">
        <v>9386</v>
      </c>
    </row>
    <row r="4290" spans="1:19" x14ac:dyDescent="0.2">
      <c r="A4290" s="5">
        <v>913</v>
      </c>
      <c r="B4290" s="140" t="s">
        <v>9387</v>
      </c>
      <c r="H4290" s="8" t="s">
        <v>9388</v>
      </c>
      <c r="I4290" s="8" t="s">
        <v>9388</v>
      </c>
      <c r="J4290" s="5">
        <f>9</f>
        <v>9</v>
      </c>
      <c r="K4290" s="5" t="s">
        <v>292</v>
      </c>
      <c r="L4290" s="5" t="s">
        <v>9249</v>
      </c>
      <c r="M4290" s="5">
        <v>3</v>
      </c>
      <c r="N4290" s="5" t="s">
        <v>57</v>
      </c>
      <c r="O4290" s="5" t="s">
        <v>1640</v>
      </c>
      <c r="Q4290" s="5" t="s">
        <v>9381</v>
      </c>
    </row>
    <row r="4291" spans="1:19" x14ac:dyDescent="0.2">
      <c r="A4291" s="5">
        <v>914</v>
      </c>
      <c r="B4291" s="140" t="s">
        <v>9389</v>
      </c>
      <c r="H4291" s="8" t="s">
        <v>9390</v>
      </c>
      <c r="I4291" s="8" t="s">
        <v>9390</v>
      </c>
      <c r="J4291" s="5">
        <f>76</f>
        <v>76</v>
      </c>
      <c r="K4291" s="5" t="s">
        <v>292</v>
      </c>
      <c r="L4291" s="5" t="s">
        <v>9249</v>
      </c>
      <c r="M4291" s="5">
        <v>3</v>
      </c>
      <c r="N4291" s="5" t="s">
        <v>57</v>
      </c>
      <c r="O4291" s="5" t="s">
        <v>1640</v>
      </c>
      <c r="Q4291" s="5" t="s">
        <v>9391</v>
      </c>
    </row>
    <row r="4292" spans="1:19" x14ac:dyDescent="0.2">
      <c r="A4292" s="5">
        <v>915</v>
      </c>
      <c r="B4292" s="40" t="s">
        <v>9392</v>
      </c>
      <c r="H4292" s="8" t="s">
        <v>9393</v>
      </c>
      <c r="I4292" s="8" t="s">
        <v>9393</v>
      </c>
      <c r="J4292" s="5">
        <f>384</f>
        <v>384</v>
      </c>
      <c r="K4292" s="5" t="s">
        <v>292</v>
      </c>
      <c r="L4292" s="5" t="s">
        <v>9249</v>
      </c>
      <c r="M4292" s="5">
        <v>3</v>
      </c>
      <c r="N4292" s="5" t="s">
        <v>511</v>
      </c>
      <c r="O4292" s="5" t="s">
        <v>1640</v>
      </c>
      <c r="Q4292" s="5" t="s">
        <v>9394</v>
      </c>
    </row>
    <row r="4293" spans="1:19" x14ac:dyDescent="0.2">
      <c r="A4293" s="5">
        <v>916</v>
      </c>
      <c r="B4293" s="140" t="s">
        <v>9395</v>
      </c>
      <c r="H4293" s="8" t="s">
        <v>9396</v>
      </c>
      <c r="I4293" s="8" t="s">
        <v>9396</v>
      </c>
      <c r="J4293" s="5">
        <f>76</f>
        <v>76</v>
      </c>
      <c r="K4293" s="5" t="s">
        <v>292</v>
      </c>
      <c r="L4293" s="5" t="s">
        <v>9249</v>
      </c>
      <c r="M4293" s="5">
        <v>3</v>
      </c>
      <c r="N4293" s="5" t="s">
        <v>511</v>
      </c>
      <c r="O4293" s="5" t="s">
        <v>1640</v>
      </c>
      <c r="Q4293" s="5" t="s">
        <v>9397</v>
      </c>
    </row>
    <row r="4294" spans="1:19" x14ac:dyDescent="0.2">
      <c r="A4294" s="5">
        <v>917</v>
      </c>
      <c r="B4294" s="140" t="s">
        <v>9398</v>
      </c>
      <c r="H4294" s="8" t="s">
        <v>9399</v>
      </c>
      <c r="I4294" s="8" t="s">
        <v>9399</v>
      </c>
      <c r="J4294" s="5">
        <f>11</f>
        <v>11</v>
      </c>
      <c r="K4294" s="5" t="s">
        <v>292</v>
      </c>
      <c r="L4294" s="5" t="s">
        <v>9249</v>
      </c>
      <c r="M4294" s="5">
        <v>3</v>
      </c>
      <c r="N4294" s="5" t="s">
        <v>57</v>
      </c>
      <c r="O4294" s="5" t="s">
        <v>1640</v>
      </c>
      <c r="Q4294" s="5" t="s">
        <v>9381</v>
      </c>
    </row>
    <row r="4295" spans="1:19" x14ac:dyDescent="0.2">
      <c r="A4295" s="5">
        <v>918</v>
      </c>
      <c r="B4295" s="140" t="s">
        <v>9400</v>
      </c>
      <c r="H4295" s="8" t="s">
        <v>9401</v>
      </c>
      <c r="I4295" s="8" t="s">
        <v>9401</v>
      </c>
      <c r="J4295" s="5">
        <f>52</f>
        <v>52</v>
      </c>
      <c r="K4295" s="5" t="s">
        <v>292</v>
      </c>
      <c r="L4295" s="5" t="s">
        <v>9249</v>
      </c>
      <c r="M4295" s="5">
        <v>3</v>
      </c>
      <c r="N4295" s="5" t="s">
        <v>57</v>
      </c>
      <c r="O4295" s="5" t="s">
        <v>1640</v>
      </c>
      <c r="Q4295" s="5" t="s">
        <v>9381</v>
      </c>
    </row>
    <row r="4296" spans="1:19" x14ac:dyDescent="0.2">
      <c r="A4296" s="5">
        <v>919</v>
      </c>
      <c r="B4296" s="40" t="s">
        <v>9402</v>
      </c>
      <c r="H4296" s="8" t="s">
        <v>9403</v>
      </c>
      <c r="I4296" s="8" t="s">
        <v>9403</v>
      </c>
      <c r="J4296" s="5">
        <f>12</f>
        <v>12</v>
      </c>
      <c r="K4296" s="5" t="s">
        <v>292</v>
      </c>
      <c r="L4296" s="5" t="s">
        <v>9249</v>
      </c>
      <c r="M4296" s="5">
        <v>3</v>
      </c>
      <c r="N4296" s="5" t="s">
        <v>57</v>
      </c>
      <c r="O4296" s="5" t="s">
        <v>1640</v>
      </c>
      <c r="Q4296" s="5" t="s">
        <v>9397</v>
      </c>
      <c r="S4296" s="5" t="s">
        <v>9404</v>
      </c>
    </row>
    <row r="4297" spans="1:19" x14ac:dyDescent="0.2">
      <c r="A4297" s="5">
        <v>920</v>
      </c>
      <c r="B4297" s="140" t="s">
        <v>9405</v>
      </c>
      <c r="H4297" s="8" t="s">
        <v>9378</v>
      </c>
      <c r="I4297" s="8" t="s">
        <v>9378</v>
      </c>
      <c r="J4297" s="5">
        <v>53</v>
      </c>
      <c r="K4297" s="5" t="s">
        <v>292</v>
      </c>
      <c r="L4297" s="5" t="s">
        <v>9249</v>
      </c>
      <c r="M4297" s="5">
        <v>3</v>
      </c>
      <c r="N4297" s="5" t="s">
        <v>511</v>
      </c>
      <c r="O4297" s="5" t="s">
        <v>1640</v>
      </c>
      <c r="Q4297" s="33" t="s">
        <v>9406</v>
      </c>
    </row>
    <row r="4298" spans="1:19" x14ac:dyDescent="0.2">
      <c r="A4298" s="70"/>
      <c r="B4298" s="8" t="s">
        <v>9407</v>
      </c>
      <c r="I4298" s="8" t="s">
        <v>9408</v>
      </c>
      <c r="J4298" s="5">
        <f>1000</f>
        <v>1000</v>
      </c>
      <c r="K4298" s="5" t="s">
        <v>292</v>
      </c>
      <c r="L4298" s="5" t="s">
        <v>9249</v>
      </c>
      <c r="M4298" s="5">
        <v>3</v>
      </c>
      <c r="Q4298" s="33"/>
    </row>
    <row r="4299" spans="1:19" x14ac:dyDescent="0.2">
      <c r="A4299" s="5">
        <v>932</v>
      </c>
      <c r="B4299" s="8" t="s">
        <v>9409</v>
      </c>
      <c r="H4299" s="8" t="s">
        <v>9410</v>
      </c>
      <c r="I4299" s="8" t="s">
        <v>9410</v>
      </c>
      <c r="J4299" s="5">
        <f>10</f>
        <v>10</v>
      </c>
      <c r="K4299" s="5" t="s">
        <v>292</v>
      </c>
      <c r="L4299" s="5" t="s">
        <v>9249</v>
      </c>
      <c r="M4299" s="5">
        <v>4</v>
      </c>
      <c r="N4299" s="5" t="s">
        <v>609</v>
      </c>
      <c r="O4299" s="5" t="s">
        <v>1640</v>
      </c>
      <c r="Q4299" s="5" t="s">
        <v>553</v>
      </c>
      <c r="R4299" s="5" t="s">
        <v>9409</v>
      </c>
    </row>
    <row r="4300" spans="1:19" x14ac:dyDescent="0.2">
      <c r="A4300" s="5"/>
      <c r="B4300" s="8" t="s">
        <v>9411</v>
      </c>
      <c r="I4300" s="8" t="s">
        <v>9412</v>
      </c>
      <c r="J4300" s="5">
        <f>32-1</f>
        <v>31</v>
      </c>
      <c r="K4300" s="5" t="s">
        <v>292</v>
      </c>
      <c r="L4300" s="5" t="s">
        <v>9249</v>
      </c>
      <c r="M4300" s="5">
        <v>4</v>
      </c>
    </row>
    <row r="4301" spans="1:19" x14ac:dyDescent="0.2">
      <c r="A4301" s="5"/>
      <c r="B4301" s="140" t="s">
        <v>9413</v>
      </c>
      <c r="I4301" s="8" t="s">
        <v>9414</v>
      </c>
      <c r="J4301" s="5">
        <f>822-1-8-5+2000</f>
        <v>2808</v>
      </c>
      <c r="K4301" s="5" t="s">
        <v>292</v>
      </c>
      <c r="L4301" s="5" t="s">
        <v>9249</v>
      </c>
      <c r="M4301" s="5">
        <v>4</v>
      </c>
    </row>
    <row r="4302" spans="1:19" x14ac:dyDescent="0.2">
      <c r="A4302" s="5"/>
      <c r="B4302" s="8" t="s">
        <v>9415</v>
      </c>
      <c r="I4302" s="8" t="s">
        <v>9416</v>
      </c>
      <c r="J4302" s="5">
        <f>68-8+3-1-8-5</f>
        <v>49</v>
      </c>
      <c r="K4302" s="5" t="s">
        <v>292</v>
      </c>
      <c r="L4302" s="5" t="s">
        <v>9249</v>
      </c>
      <c r="M4302" s="5">
        <v>4</v>
      </c>
    </row>
    <row r="4303" spans="1:19" x14ac:dyDescent="0.2">
      <c r="A4303" s="56">
        <v>1037</v>
      </c>
      <c r="B4303" s="140" t="s">
        <v>9417</v>
      </c>
      <c r="H4303" s="8" t="s">
        <v>9418</v>
      </c>
      <c r="I4303" s="8" t="s">
        <v>9418</v>
      </c>
      <c r="J4303" s="5">
        <f>200-10</f>
        <v>190</v>
      </c>
      <c r="K4303" s="5" t="s">
        <v>292</v>
      </c>
      <c r="L4303" s="5" t="s">
        <v>9249</v>
      </c>
      <c r="M4303" s="5">
        <v>5</v>
      </c>
      <c r="N4303" s="5" t="s">
        <v>9418</v>
      </c>
      <c r="O4303" s="5" t="s">
        <v>1640</v>
      </c>
      <c r="Q4303" s="5" t="s">
        <v>553</v>
      </c>
    </row>
    <row r="4304" spans="1:19" x14ac:dyDescent="0.2">
      <c r="A4304" s="5">
        <v>1038</v>
      </c>
      <c r="B4304" s="140" t="s">
        <v>9419</v>
      </c>
      <c r="H4304" s="8" t="s">
        <v>9420</v>
      </c>
      <c r="I4304" s="8" t="s">
        <v>9420</v>
      </c>
      <c r="J4304" s="5">
        <v>28</v>
      </c>
      <c r="K4304" s="5" t="s">
        <v>292</v>
      </c>
      <c r="L4304" s="5" t="s">
        <v>9249</v>
      </c>
      <c r="M4304" s="5">
        <v>5</v>
      </c>
      <c r="N4304" s="5" t="s">
        <v>9330</v>
      </c>
      <c r="O4304" s="5" t="s">
        <v>1640</v>
      </c>
      <c r="Q4304" s="5" t="s">
        <v>553</v>
      </c>
    </row>
    <row r="4305" spans="1:17" x14ac:dyDescent="0.2">
      <c r="A4305" s="5">
        <v>1039</v>
      </c>
      <c r="B4305" s="140">
        <v>9693793</v>
      </c>
      <c r="H4305" s="8" t="s">
        <v>9421</v>
      </c>
      <c r="I4305" s="8" t="s">
        <v>9421</v>
      </c>
      <c r="J4305" s="5">
        <v>0</v>
      </c>
      <c r="K4305" s="5" t="s">
        <v>292</v>
      </c>
      <c r="L4305" s="5" t="s">
        <v>9249</v>
      </c>
      <c r="M4305" s="5">
        <v>5</v>
      </c>
      <c r="N4305" s="5" t="s">
        <v>9422</v>
      </c>
      <c r="O4305" s="5" t="s">
        <v>1640</v>
      </c>
      <c r="Q4305" s="5" t="s">
        <v>9423</v>
      </c>
    </row>
    <row r="4306" spans="1:17" x14ac:dyDescent="0.2">
      <c r="A4306" s="5">
        <v>1040</v>
      </c>
      <c r="B4306" s="140">
        <v>330410</v>
      </c>
      <c r="H4306" s="8" t="s">
        <v>9424</v>
      </c>
      <c r="I4306" s="8" t="s">
        <v>9424</v>
      </c>
      <c r="J4306" s="5">
        <f>158-8-44</f>
        <v>106</v>
      </c>
      <c r="K4306" s="5" t="s">
        <v>292</v>
      </c>
      <c r="L4306" s="5" t="s">
        <v>9249</v>
      </c>
      <c r="M4306" s="5">
        <v>5</v>
      </c>
      <c r="N4306" s="5" t="s">
        <v>9330</v>
      </c>
      <c r="O4306" s="5" t="s">
        <v>1640</v>
      </c>
      <c r="Q4306" s="5" t="s">
        <v>9425</v>
      </c>
    </row>
    <row r="4307" spans="1:17" x14ac:dyDescent="0.2">
      <c r="A4307" s="5"/>
      <c r="B4307" s="140" t="s">
        <v>9426</v>
      </c>
      <c r="H4307" s="8" t="s">
        <v>9427</v>
      </c>
      <c r="I4307" s="8" t="s">
        <v>9427</v>
      </c>
      <c r="J4307" s="5">
        <f>100-14</f>
        <v>86</v>
      </c>
      <c r="K4307" s="5" t="s">
        <v>292</v>
      </c>
      <c r="L4307" s="5" t="s">
        <v>9249</v>
      </c>
      <c r="M4307" s="5">
        <v>5</v>
      </c>
      <c r="N4307" s="5" t="s">
        <v>9330</v>
      </c>
      <c r="Q4307" s="5" t="s">
        <v>7375</v>
      </c>
    </row>
    <row r="4308" spans="1:17" x14ac:dyDescent="0.2">
      <c r="A4308" s="5">
        <v>1042</v>
      </c>
      <c r="B4308" s="140" t="s">
        <v>9428</v>
      </c>
      <c r="H4308" s="8" t="s">
        <v>9429</v>
      </c>
      <c r="I4308" s="8" t="s">
        <v>9429</v>
      </c>
      <c r="J4308" s="5">
        <v>6</v>
      </c>
      <c r="K4308" s="5" t="s">
        <v>292</v>
      </c>
      <c r="L4308" s="5" t="s">
        <v>9249</v>
      </c>
      <c r="M4308" s="5">
        <v>5</v>
      </c>
      <c r="N4308" s="5" t="s">
        <v>81</v>
      </c>
      <c r="O4308" s="5" t="s">
        <v>1640</v>
      </c>
      <c r="Q4308" s="5" t="s">
        <v>2071</v>
      </c>
    </row>
    <row r="4309" spans="1:17" x14ac:dyDescent="0.2">
      <c r="A4309" s="5">
        <v>1043</v>
      </c>
      <c r="B4309" s="140" t="s">
        <v>9430</v>
      </c>
      <c r="H4309" s="8" t="s">
        <v>9431</v>
      </c>
      <c r="I4309" s="8" t="s">
        <v>9431</v>
      </c>
      <c r="J4309" s="5">
        <v>100</v>
      </c>
      <c r="K4309" s="5" t="s">
        <v>292</v>
      </c>
      <c r="L4309" s="5" t="s">
        <v>9249</v>
      </c>
      <c r="M4309" s="5">
        <v>5</v>
      </c>
      <c r="N4309" s="5" t="s">
        <v>43</v>
      </c>
      <c r="O4309" s="5" t="s">
        <v>1640</v>
      </c>
      <c r="Q4309" s="5" t="s">
        <v>9432</v>
      </c>
    </row>
    <row r="4310" spans="1:17" x14ac:dyDescent="0.2">
      <c r="A4310" s="5">
        <v>1044</v>
      </c>
      <c r="B4310" s="140" t="s">
        <v>9433</v>
      </c>
      <c r="H4310" s="8" t="s">
        <v>9434</v>
      </c>
      <c r="I4310" s="8" t="s">
        <v>9434</v>
      </c>
      <c r="J4310" s="5">
        <v>2</v>
      </c>
      <c r="K4310" s="5" t="s">
        <v>292</v>
      </c>
      <c r="L4310" s="5" t="s">
        <v>9249</v>
      </c>
      <c r="M4310" s="5">
        <v>5</v>
      </c>
      <c r="N4310" s="5" t="s">
        <v>43</v>
      </c>
      <c r="O4310" s="5" t="s">
        <v>1640</v>
      </c>
      <c r="Q4310" s="5" t="s">
        <v>9435</v>
      </c>
    </row>
    <row r="4311" spans="1:17" x14ac:dyDescent="0.2">
      <c r="A4311" s="5">
        <v>1045</v>
      </c>
      <c r="B4311" s="140" t="s">
        <v>9436</v>
      </c>
      <c r="H4311" s="8" t="s">
        <v>9437</v>
      </c>
      <c r="I4311" s="8" t="s">
        <v>9437</v>
      </c>
      <c r="J4311" s="5">
        <v>33</v>
      </c>
      <c r="K4311" s="5" t="s">
        <v>292</v>
      </c>
      <c r="L4311" s="5" t="s">
        <v>9249</v>
      </c>
      <c r="M4311" s="5">
        <v>5</v>
      </c>
      <c r="N4311" s="5" t="s">
        <v>43</v>
      </c>
      <c r="O4311" s="5" t="s">
        <v>1640</v>
      </c>
      <c r="Q4311" s="5" t="s">
        <v>9432</v>
      </c>
    </row>
    <row r="4312" spans="1:17" x14ac:dyDescent="0.2">
      <c r="A4312" s="5">
        <v>1046</v>
      </c>
      <c r="B4312" s="140">
        <v>2397323</v>
      </c>
      <c r="H4312" s="8" t="s">
        <v>2566</v>
      </c>
      <c r="I4312" s="8" t="s">
        <v>2566</v>
      </c>
      <c r="J4312" s="5">
        <v>9000</v>
      </c>
      <c r="K4312" s="5" t="s">
        <v>292</v>
      </c>
      <c r="L4312" s="5" t="s">
        <v>9249</v>
      </c>
      <c r="M4312" s="5">
        <v>5</v>
      </c>
      <c r="N4312" s="5" t="s">
        <v>57</v>
      </c>
      <c r="O4312" s="5" t="s">
        <v>1640</v>
      </c>
      <c r="Q4312" s="5" t="s">
        <v>9438</v>
      </c>
    </row>
    <row r="4313" spans="1:17" x14ac:dyDescent="0.2">
      <c r="A4313" s="5">
        <v>1047</v>
      </c>
      <c r="B4313" s="140" t="s">
        <v>2560</v>
      </c>
      <c r="H4313" s="8" t="s">
        <v>2562</v>
      </c>
      <c r="I4313" s="8" t="s">
        <v>2562</v>
      </c>
      <c r="J4313" s="5">
        <v>1500</v>
      </c>
      <c r="K4313" s="5" t="s">
        <v>292</v>
      </c>
      <c r="L4313" s="5" t="s">
        <v>9249</v>
      </c>
      <c r="M4313" s="5">
        <v>5</v>
      </c>
      <c r="N4313" s="5" t="s">
        <v>9327</v>
      </c>
      <c r="O4313" s="5" t="s">
        <v>1640</v>
      </c>
      <c r="Q4313" s="5" t="s">
        <v>9438</v>
      </c>
    </row>
    <row r="4314" spans="1:17" x14ac:dyDescent="0.2">
      <c r="A4314" s="5">
        <v>2348</v>
      </c>
      <c r="B4314" s="40" t="s">
        <v>9439</v>
      </c>
      <c r="H4314" s="8" t="s">
        <v>9440</v>
      </c>
      <c r="I4314" s="8" t="s">
        <v>9440</v>
      </c>
      <c r="J4314" s="5">
        <v>90</v>
      </c>
      <c r="K4314" s="5" t="s">
        <v>292</v>
      </c>
      <c r="L4314" s="5" t="s">
        <v>9249</v>
      </c>
      <c r="M4314" s="5">
        <v>5</v>
      </c>
      <c r="N4314" s="5" t="s">
        <v>9330</v>
      </c>
      <c r="O4314" s="5" t="s">
        <v>789</v>
      </c>
      <c r="Q4314" s="5" t="s">
        <v>1960</v>
      </c>
    </row>
    <row r="4315" spans="1:17" x14ac:dyDescent="0.2">
      <c r="A4315" s="5"/>
      <c r="B4315" s="140" t="s">
        <v>9441</v>
      </c>
      <c r="H4315" s="8" t="s">
        <v>9442</v>
      </c>
      <c r="I4315" s="8" t="s">
        <v>9442</v>
      </c>
      <c r="J4315" s="5">
        <f>100-13</f>
        <v>87</v>
      </c>
      <c r="K4315" s="5" t="s">
        <v>292</v>
      </c>
      <c r="L4315" s="5" t="s">
        <v>9249</v>
      </c>
      <c r="M4315" s="5">
        <v>5</v>
      </c>
      <c r="N4315" s="5" t="s">
        <v>9443</v>
      </c>
      <c r="Q4315" s="5" t="s">
        <v>2574</v>
      </c>
    </row>
    <row r="4316" spans="1:17" x14ac:dyDescent="0.2">
      <c r="A4316" s="5"/>
      <c r="B4316" s="140" t="s">
        <v>9444</v>
      </c>
      <c r="H4316" s="8" t="s">
        <v>9445</v>
      </c>
      <c r="I4316" s="8" t="s">
        <v>9445</v>
      </c>
      <c r="J4316" s="5">
        <f>32</f>
        <v>32</v>
      </c>
      <c r="K4316" s="5" t="s">
        <v>292</v>
      </c>
      <c r="L4316" s="5" t="s">
        <v>9249</v>
      </c>
      <c r="M4316" s="5">
        <v>6</v>
      </c>
      <c r="N4316" s="5" t="s">
        <v>553</v>
      </c>
      <c r="Q4316" s="107" t="s">
        <v>9446</v>
      </c>
    </row>
    <row r="4317" spans="1:17" x14ac:dyDescent="0.2">
      <c r="A4317" s="5"/>
      <c r="B4317" s="140" t="s">
        <v>9447</v>
      </c>
      <c r="H4317" s="8" t="s">
        <v>9448</v>
      </c>
      <c r="I4317" s="8" t="s">
        <v>9448</v>
      </c>
      <c r="J4317" s="5">
        <f>15</f>
        <v>15</v>
      </c>
      <c r="K4317" s="5" t="s">
        <v>292</v>
      </c>
      <c r="L4317" s="5" t="s">
        <v>9249</v>
      </c>
      <c r="M4317" s="5">
        <v>6</v>
      </c>
      <c r="N4317" s="5" t="s">
        <v>8053</v>
      </c>
      <c r="Q4317" s="107" t="s">
        <v>553</v>
      </c>
    </row>
    <row r="4318" spans="1:17" x14ac:dyDescent="0.2">
      <c r="A4318" s="5"/>
      <c r="B4318" s="140" t="s">
        <v>9449</v>
      </c>
      <c r="H4318" s="8" t="s">
        <v>9450</v>
      </c>
      <c r="I4318" s="8" t="s">
        <v>9450</v>
      </c>
      <c r="J4318" s="5">
        <f>7-1</f>
        <v>6</v>
      </c>
      <c r="K4318" s="5" t="s">
        <v>292</v>
      </c>
      <c r="L4318" s="5" t="s">
        <v>9249</v>
      </c>
      <c r="M4318" s="5">
        <v>6</v>
      </c>
      <c r="N4318" s="5" t="s">
        <v>553</v>
      </c>
      <c r="Q4318" s="107" t="s">
        <v>6899</v>
      </c>
    </row>
    <row r="4319" spans="1:17" x14ac:dyDescent="0.2">
      <c r="A4319" s="5"/>
      <c r="B4319" s="140" t="s">
        <v>9451</v>
      </c>
      <c r="H4319" s="8" t="s">
        <v>9452</v>
      </c>
      <c r="J4319" s="5">
        <v>4</v>
      </c>
      <c r="K4319" s="5" t="s">
        <v>292</v>
      </c>
      <c r="L4319" s="5" t="s">
        <v>9249</v>
      </c>
      <c r="M4319" s="5">
        <v>6</v>
      </c>
      <c r="N4319" s="5" t="s">
        <v>8053</v>
      </c>
      <c r="Q4319" s="107" t="s">
        <v>553</v>
      </c>
    </row>
    <row r="4320" spans="1:17" x14ac:dyDescent="0.2">
      <c r="A4320" s="5">
        <v>989</v>
      </c>
      <c r="B4320" s="140" t="s">
        <v>9453</v>
      </c>
      <c r="H4320" s="8" t="s">
        <v>9454</v>
      </c>
      <c r="I4320" s="8" t="s">
        <v>9454</v>
      </c>
      <c r="J4320" s="5">
        <v>7</v>
      </c>
      <c r="K4320" s="5" t="s">
        <v>292</v>
      </c>
      <c r="L4320" s="5" t="s">
        <v>9249</v>
      </c>
      <c r="M4320" s="5">
        <v>6</v>
      </c>
      <c r="N4320" s="5" t="s">
        <v>9455</v>
      </c>
      <c r="O4320" s="5" t="s">
        <v>1640</v>
      </c>
      <c r="Q4320" s="5" t="s">
        <v>553</v>
      </c>
    </row>
    <row r="4321" spans="1:17" x14ac:dyDescent="0.2">
      <c r="A4321" s="5">
        <v>990</v>
      </c>
      <c r="B4321" s="140" t="s">
        <v>9456</v>
      </c>
      <c r="C4321" s="8" t="s">
        <v>9456</v>
      </c>
      <c r="D4321" s="8" t="s">
        <v>9457</v>
      </c>
      <c r="E4321" s="24">
        <v>43687</v>
      </c>
      <c r="F4321" s="8" t="s">
        <v>259</v>
      </c>
      <c r="G4321" s="8" t="s">
        <v>1967</v>
      </c>
      <c r="H4321" s="8" t="s">
        <v>9458</v>
      </c>
      <c r="I4321" s="8" t="s">
        <v>9459</v>
      </c>
      <c r="J4321" s="5">
        <v>32</v>
      </c>
      <c r="K4321" s="5" t="s">
        <v>292</v>
      </c>
      <c r="L4321" s="5" t="s">
        <v>9249</v>
      </c>
      <c r="M4321" s="5">
        <v>6</v>
      </c>
      <c r="N4321" s="5" t="s">
        <v>9455</v>
      </c>
      <c r="O4321" s="5" t="s">
        <v>1640</v>
      </c>
      <c r="Q4321" s="5" t="s">
        <v>553</v>
      </c>
    </row>
    <row r="4322" spans="1:17" x14ac:dyDescent="0.2">
      <c r="A4322" s="5">
        <v>991</v>
      </c>
      <c r="B4322" s="140" t="s">
        <v>9460</v>
      </c>
      <c r="H4322" s="8" t="s">
        <v>9461</v>
      </c>
      <c r="I4322" s="8" t="s">
        <v>9461</v>
      </c>
      <c r="J4322" s="5">
        <v>3</v>
      </c>
      <c r="K4322" s="5" t="s">
        <v>292</v>
      </c>
      <c r="L4322" s="5" t="s">
        <v>9249</v>
      </c>
      <c r="M4322" s="5">
        <v>6</v>
      </c>
      <c r="N4322" s="5" t="s">
        <v>8053</v>
      </c>
      <c r="O4322" s="5" t="s">
        <v>1640</v>
      </c>
      <c r="Q4322" s="5" t="s">
        <v>553</v>
      </c>
    </row>
    <row r="4323" spans="1:17" x14ac:dyDescent="0.2">
      <c r="A4323" s="5">
        <v>992</v>
      </c>
      <c r="B4323" s="140" t="s">
        <v>9462</v>
      </c>
      <c r="H4323" s="8" t="s">
        <v>9463</v>
      </c>
      <c r="I4323" s="8" t="s">
        <v>9464</v>
      </c>
      <c r="J4323" s="5">
        <f>19-4-2-4-1+4-1</f>
        <v>11</v>
      </c>
      <c r="K4323" s="5" t="s">
        <v>292</v>
      </c>
      <c r="L4323" s="5" t="s">
        <v>9249</v>
      </c>
      <c r="M4323" s="5">
        <v>6</v>
      </c>
      <c r="N4323" s="5" t="s">
        <v>8053</v>
      </c>
      <c r="O4323" s="5" t="s">
        <v>1640</v>
      </c>
      <c r="Q4323" s="5" t="s">
        <v>9465</v>
      </c>
    </row>
    <row r="4324" spans="1:17" x14ac:dyDescent="0.2">
      <c r="A4324" s="5"/>
      <c r="B4324" s="140" t="s">
        <v>9466</v>
      </c>
      <c r="H4324" s="8" t="s">
        <v>9467</v>
      </c>
      <c r="I4324" s="8" t="s">
        <v>9467</v>
      </c>
      <c r="J4324" s="5">
        <f>100</f>
        <v>100</v>
      </c>
      <c r="K4324" s="5" t="s">
        <v>292</v>
      </c>
      <c r="L4324" s="5" t="s">
        <v>9249</v>
      </c>
      <c r="M4324" s="5">
        <v>7</v>
      </c>
      <c r="N4324" s="5" t="s">
        <v>57</v>
      </c>
      <c r="Q4324" s="107" t="s">
        <v>9350</v>
      </c>
    </row>
    <row r="4325" spans="1:17" x14ac:dyDescent="0.2">
      <c r="A4325" s="5">
        <v>309</v>
      </c>
      <c r="B4325" s="8" t="s">
        <v>9468</v>
      </c>
      <c r="H4325" s="8" t="s">
        <v>9469</v>
      </c>
      <c r="I4325" s="8" t="s">
        <v>9469</v>
      </c>
      <c r="J4325" s="5">
        <v>500</v>
      </c>
      <c r="K4325" s="5" t="s">
        <v>292</v>
      </c>
      <c r="L4325" s="5" t="s">
        <v>9249</v>
      </c>
      <c r="M4325" s="5">
        <v>7</v>
      </c>
      <c r="N4325" s="5" t="s">
        <v>57</v>
      </c>
      <c r="Q4325" s="5" t="s">
        <v>861</v>
      </c>
    </row>
    <row r="4326" spans="1:17" x14ac:dyDescent="0.2">
      <c r="A4326" s="5">
        <v>310</v>
      </c>
      <c r="B4326" s="140" t="s">
        <v>9470</v>
      </c>
      <c r="H4326" s="8" t="s">
        <v>9471</v>
      </c>
      <c r="I4326" s="8" t="s">
        <v>9471</v>
      </c>
      <c r="J4326" s="5">
        <v>29</v>
      </c>
      <c r="K4326" s="5" t="s">
        <v>292</v>
      </c>
      <c r="L4326" s="5" t="s">
        <v>9249</v>
      </c>
      <c r="M4326" s="5">
        <v>7</v>
      </c>
      <c r="N4326" s="5" t="s">
        <v>57</v>
      </c>
      <c r="Q4326" s="33" t="s">
        <v>9472</v>
      </c>
    </row>
    <row r="4327" spans="1:17" x14ac:dyDescent="0.2">
      <c r="A4327" s="5">
        <v>314</v>
      </c>
      <c r="B4327" s="140" t="s">
        <v>9473</v>
      </c>
      <c r="H4327" s="8" t="s">
        <v>9474</v>
      </c>
      <c r="I4327" s="8" t="s">
        <v>9474</v>
      </c>
      <c r="J4327" s="5">
        <v>5000</v>
      </c>
      <c r="K4327" s="5" t="s">
        <v>292</v>
      </c>
      <c r="L4327" s="5" t="s">
        <v>9249</v>
      </c>
      <c r="M4327" s="5">
        <v>7</v>
      </c>
      <c r="N4327" s="5" t="s">
        <v>57</v>
      </c>
      <c r="Q4327" s="5" t="s">
        <v>9475</v>
      </c>
    </row>
    <row r="4328" spans="1:17" x14ac:dyDescent="0.2">
      <c r="A4328" s="5">
        <v>315</v>
      </c>
      <c r="B4328" s="8" t="s">
        <v>9476</v>
      </c>
      <c r="H4328" s="8" t="s">
        <v>9477</v>
      </c>
      <c r="I4328" s="8" t="s">
        <v>9477</v>
      </c>
      <c r="J4328" s="5">
        <v>110</v>
      </c>
      <c r="K4328" s="5" t="s">
        <v>292</v>
      </c>
      <c r="L4328" s="5" t="s">
        <v>9249</v>
      </c>
      <c r="M4328" s="5">
        <v>7</v>
      </c>
      <c r="N4328" s="5" t="s">
        <v>3099</v>
      </c>
      <c r="Q4328" s="5" t="s">
        <v>553</v>
      </c>
    </row>
    <row r="4329" spans="1:17" x14ac:dyDescent="0.2">
      <c r="A4329" s="5">
        <v>316</v>
      </c>
      <c r="B4329" s="8" t="s">
        <v>9478</v>
      </c>
      <c r="H4329" s="8" t="s">
        <v>9479</v>
      </c>
      <c r="I4329" s="8" t="s">
        <v>9479</v>
      </c>
      <c r="J4329" s="5">
        <v>150</v>
      </c>
      <c r="K4329" s="5" t="s">
        <v>292</v>
      </c>
      <c r="L4329" s="5" t="s">
        <v>9249</v>
      </c>
      <c r="M4329" s="5">
        <v>7</v>
      </c>
      <c r="N4329" s="5" t="s">
        <v>3099</v>
      </c>
      <c r="Q4329" s="5" t="s">
        <v>949</v>
      </c>
    </row>
    <row r="4330" spans="1:17" x14ac:dyDescent="0.2">
      <c r="A4330" s="5">
        <v>317</v>
      </c>
      <c r="B4330" s="140" t="s">
        <v>9480</v>
      </c>
      <c r="H4330" s="8" t="s">
        <v>9481</v>
      </c>
      <c r="I4330" s="8" t="s">
        <v>9481</v>
      </c>
      <c r="J4330" s="5">
        <f>95</f>
        <v>95</v>
      </c>
      <c r="K4330" s="5" t="s">
        <v>292</v>
      </c>
      <c r="L4330" s="5" t="s">
        <v>9249</v>
      </c>
      <c r="M4330" s="5">
        <v>7</v>
      </c>
      <c r="N4330" s="5" t="s">
        <v>57</v>
      </c>
      <c r="Q4330" s="5" t="s">
        <v>9482</v>
      </c>
    </row>
    <row r="4331" spans="1:17" x14ac:dyDescent="0.2">
      <c r="A4331" s="5"/>
      <c r="B4331" s="140" t="s">
        <v>9483</v>
      </c>
      <c r="H4331" s="8" t="s">
        <v>9481</v>
      </c>
      <c r="I4331" s="8" t="s">
        <v>9481</v>
      </c>
      <c r="J4331" s="5">
        <f>65</f>
        <v>65</v>
      </c>
      <c r="K4331" s="5" t="s">
        <v>292</v>
      </c>
      <c r="L4331" s="5" t="s">
        <v>9249</v>
      </c>
      <c r="M4331" s="5">
        <v>7</v>
      </c>
      <c r="N4331" s="5" t="s">
        <v>57</v>
      </c>
      <c r="Q4331" s="107" t="s">
        <v>942</v>
      </c>
    </row>
    <row r="4332" spans="1:17" x14ac:dyDescent="0.2">
      <c r="A4332" s="5">
        <v>318</v>
      </c>
      <c r="B4332" s="8" t="s">
        <v>9484</v>
      </c>
      <c r="H4332" s="8" t="s">
        <v>9380</v>
      </c>
      <c r="I4332" s="8" t="s">
        <v>9380</v>
      </c>
      <c r="J4332" s="5">
        <v>70</v>
      </c>
      <c r="K4332" s="5" t="s">
        <v>292</v>
      </c>
      <c r="L4332" s="5" t="s">
        <v>9249</v>
      </c>
      <c r="M4332" s="5">
        <v>7</v>
      </c>
      <c r="N4332" s="5" t="s">
        <v>3099</v>
      </c>
      <c r="Q4332" s="5" t="s">
        <v>926</v>
      </c>
    </row>
    <row r="4333" spans="1:17" x14ac:dyDescent="0.2">
      <c r="A4333" s="5">
        <v>319</v>
      </c>
      <c r="B4333" s="140" t="s">
        <v>9485</v>
      </c>
      <c r="H4333" s="8" t="s">
        <v>9486</v>
      </c>
      <c r="I4333" s="8" t="s">
        <v>9486</v>
      </c>
      <c r="J4333" s="5">
        <v>3000</v>
      </c>
      <c r="K4333" s="5" t="s">
        <v>292</v>
      </c>
      <c r="L4333" s="5" t="s">
        <v>9249</v>
      </c>
      <c r="M4333" s="5">
        <v>7</v>
      </c>
      <c r="N4333" s="5" t="s">
        <v>57</v>
      </c>
      <c r="Q4333" s="5" t="s">
        <v>9365</v>
      </c>
    </row>
    <row r="4334" spans="1:17" x14ac:dyDescent="0.2">
      <c r="A4334" s="5">
        <v>321</v>
      </c>
      <c r="B4334" s="140" t="s">
        <v>9487</v>
      </c>
      <c r="H4334" s="8" t="s">
        <v>9488</v>
      </c>
      <c r="I4334" s="8" t="s">
        <v>9488</v>
      </c>
      <c r="J4334" s="5">
        <f>100+4-6</f>
        <v>98</v>
      </c>
      <c r="K4334" s="5" t="s">
        <v>292</v>
      </c>
      <c r="L4334" s="5" t="s">
        <v>9249</v>
      </c>
      <c r="M4334" s="5">
        <v>7</v>
      </c>
      <c r="N4334" s="5" t="s">
        <v>3099</v>
      </c>
      <c r="Q4334" s="107" t="s">
        <v>9353</v>
      </c>
    </row>
    <row r="4335" spans="1:17" x14ac:dyDescent="0.2">
      <c r="A4335" s="5">
        <v>322</v>
      </c>
      <c r="B4335" s="8" t="s">
        <v>9489</v>
      </c>
      <c r="H4335" s="8" t="s">
        <v>9490</v>
      </c>
      <c r="I4335" s="8" t="s">
        <v>9490</v>
      </c>
      <c r="J4335" s="5">
        <f>25-25</f>
        <v>0</v>
      </c>
      <c r="K4335" s="5" t="s">
        <v>292</v>
      </c>
      <c r="L4335" s="5" t="s">
        <v>9249</v>
      </c>
      <c r="M4335" s="5">
        <v>7</v>
      </c>
      <c r="N4335" s="5" t="s">
        <v>9491</v>
      </c>
      <c r="Q4335" s="5" t="s">
        <v>9353</v>
      </c>
    </row>
    <row r="4336" spans="1:17" x14ac:dyDescent="0.2">
      <c r="A4336" s="5">
        <v>333</v>
      </c>
      <c r="B4336" s="8" t="s">
        <v>9492</v>
      </c>
      <c r="H4336" s="8" t="s">
        <v>9493</v>
      </c>
      <c r="I4336" s="8" t="s">
        <v>9493</v>
      </c>
      <c r="J4336" s="5">
        <v>29</v>
      </c>
      <c r="K4336" s="5" t="s">
        <v>292</v>
      </c>
      <c r="L4336" s="5" t="s">
        <v>9249</v>
      </c>
      <c r="M4336" s="5">
        <v>7</v>
      </c>
      <c r="N4336" s="5" t="s">
        <v>9362</v>
      </c>
    </row>
    <row r="4337" spans="1:17" x14ac:dyDescent="0.2">
      <c r="A4337" s="5">
        <v>334</v>
      </c>
      <c r="B4337" s="140" t="s">
        <v>9494</v>
      </c>
      <c r="H4337" s="8" t="s">
        <v>9495</v>
      </c>
      <c r="I4337" s="8" t="s">
        <v>9496</v>
      </c>
      <c r="J4337" s="5">
        <f>58</f>
        <v>58</v>
      </c>
      <c r="K4337" s="5" t="s">
        <v>292</v>
      </c>
      <c r="L4337" s="5" t="s">
        <v>9249</v>
      </c>
      <c r="M4337" s="5">
        <v>7</v>
      </c>
      <c r="N4337" s="5" t="s">
        <v>9286</v>
      </c>
      <c r="Q4337" s="5" t="s">
        <v>9497</v>
      </c>
    </row>
    <row r="4338" spans="1:17" x14ac:dyDescent="0.2">
      <c r="A4338" s="5">
        <v>335</v>
      </c>
      <c r="B4338" s="140" t="s">
        <v>9498</v>
      </c>
      <c r="H4338" s="8" t="s">
        <v>9499</v>
      </c>
      <c r="I4338" s="8" t="s">
        <v>9499</v>
      </c>
      <c r="J4338" s="5">
        <f>11</f>
        <v>11</v>
      </c>
      <c r="K4338" s="5" t="s">
        <v>292</v>
      </c>
      <c r="L4338" s="5" t="s">
        <v>9249</v>
      </c>
      <c r="M4338" s="5">
        <v>7</v>
      </c>
      <c r="N4338" s="5" t="s">
        <v>3099</v>
      </c>
      <c r="Q4338" s="5" t="s">
        <v>942</v>
      </c>
    </row>
    <row r="4339" spans="1:17" x14ac:dyDescent="0.2">
      <c r="A4339" s="5">
        <v>336</v>
      </c>
      <c r="B4339" s="140" t="s">
        <v>9500</v>
      </c>
      <c r="H4339" s="8" t="s">
        <v>9501</v>
      </c>
      <c r="I4339" s="8" t="s">
        <v>9501</v>
      </c>
      <c r="J4339" s="5">
        <f>100</f>
        <v>100</v>
      </c>
      <c r="K4339" s="5" t="s">
        <v>292</v>
      </c>
      <c r="L4339" s="5" t="s">
        <v>9249</v>
      </c>
      <c r="M4339" s="5">
        <v>7</v>
      </c>
      <c r="N4339" s="5" t="s">
        <v>3099</v>
      </c>
      <c r="Q4339" s="5" t="s">
        <v>9353</v>
      </c>
    </row>
    <row r="4340" spans="1:17" x14ac:dyDescent="0.2">
      <c r="A4340" s="5">
        <v>366</v>
      </c>
      <c r="B4340" s="140" t="s">
        <v>9502</v>
      </c>
      <c r="H4340" s="8" t="s">
        <v>9503</v>
      </c>
      <c r="I4340" s="8" t="s">
        <v>9503</v>
      </c>
      <c r="J4340" s="5">
        <f>7</f>
        <v>7</v>
      </c>
      <c r="K4340" s="5" t="s">
        <v>292</v>
      </c>
      <c r="L4340" s="5" t="s">
        <v>9249</v>
      </c>
      <c r="M4340" s="5">
        <v>7</v>
      </c>
      <c r="N4340" s="5" t="s">
        <v>57</v>
      </c>
      <c r="Q4340" s="107" t="s">
        <v>9504</v>
      </c>
    </row>
    <row r="4341" spans="1:17" x14ac:dyDescent="0.2">
      <c r="A4341" s="5"/>
      <c r="B4341" s="140" t="s">
        <v>9502</v>
      </c>
      <c r="H4341" s="8" t="s">
        <v>9505</v>
      </c>
      <c r="I4341" s="8" t="s">
        <v>9505</v>
      </c>
      <c r="J4341" s="5">
        <v>100</v>
      </c>
      <c r="K4341" s="5" t="s">
        <v>292</v>
      </c>
      <c r="L4341" s="5" t="s">
        <v>9249</v>
      </c>
      <c r="M4341" s="5">
        <v>7</v>
      </c>
      <c r="N4341" s="5" t="s">
        <v>57</v>
      </c>
      <c r="Q4341" s="5" t="s">
        <v>9506</v>
      </c>
    </row>
    <row r="4342" spans="1:17" x14ac:dyDescent="0.2">
      <c r="A4342" s="5">
        <v>367</v>
      </c>
      <c r="B4342" s="140" t="s">
        <v>9507</v>
      </c>
      <c r="H4342" s="8" t="s">
        <v>9508</v>
      </c>
      <c r="I4342" s="8" t="s">
        <v>9508</v>
      </c>
      <c r="J4342" s="5">
        <f>540</f>
        <v>540</v>
      </c>
      <c r="K4342" s="5" t="s">
        <v>292</v>
      </c>
      <c r="L4342" s="5" t="s">
        <v>9249</v>
      </c>
      <c r="M4342" s="5">
        <v>7</v>
      </c>
      <c r="N4342" s="5" t="s">
        <v>57</v>
      </c>
      <c r="Q4342" s="5" t="s">
        <v>9509</v>
      </c>
    </row>
    <row r="4343" spans="1:17" x14ac:dyDescent="0.2">
      <c r="A4343" s="5">
        <v>908</v>
      </c>
      <c r="B4343" s="140" t="s">
        <v>9510</v>
      </c>
      <c r="H4343" s="8" t="s">
        <v>9511</v>
      </c>
      <c r="I4343" s="8" t="s">
        <v>9511</v>
      </c>
      <c r="J4343" s="5">
        <f>76</f>
        <v>76</v>
      </c>
      <c r="K4343" s="5" t="s">
        <v>292</v>
      </c>
      <c r="L4343" s="5" t="s">
        <v>9249</v>
      </c>
      <c r="M4343" s="5">
        <v>7</v>
      </c>
      <c r="N4343" s="5" t="s">
        <v>57</v>
      </c>
      <c r="O4343" s="5" t="s">
        <v>1640</v>
      </c>
      <c r="Q4343" s="5" t="s">
        <v>9512</v>
      </c>
    </row>
    <row r="4344" spans="1:17" x14ac:dyDescent="0.2">
      <c r="A4344" s="5">
        <v>942</v>
      </c>
      <c r="B4344" s="140" t="s">
        <v>9513</v>
      </c>
      <c r="H4344" s="8" t="s">
        <v>9514</v>
      </c>
      <c r="I4344" s="8" t="s">
        <v>9514</v>
      </c>
      <c r="J4344" s="5">
        <v>41</v>
      </c>
      <c r="K4344" s="5" t="s">
        <v>292</v>
      </c>
      <c r="L4344" s="5" t="s">
        <v>9249</v>
      </c>
      <c r="M4344" s="5">
        <v>7</v>
      </c>
      <c r="N4344" s="5" t="s">
        <v>8053</v>
      </c>
      <c r="O4344" s="5" t="s">
        <v>1640</v>
      </c>
      <c r="Q4344" s="5" t="s">
        <v>9515</v>
      </c>
    </row>
    <row r="4345" spans="1:17" x14ac:dyDescent="0.2">
      <c r="A4345" s="5">
        <v>943</v>
      </c>
      <c r="B4345" s="8" t="s">
        <v>9516</v>
      </c>
      <c r="H4345" s="8" t="s">
        <v>9517</v>
      </c>
      <c r="I4345" s="8" t="s">
        <v>9517</v>
      </c>
      <c r="J4345" s="5">
        <v>25</v>
      </c>
      <c r="K4345" s="5" t="s">
        <v>292</v>
      </c>
      <c r="L4345" s="5" t="s">
        <v>9249</v>
      </c>
      <c r="M4345" s="5">
        <v>7</v>
      </c>
      <c r="N4345" s="5" t="s">
        <v>8053</v>
      </c>
      <c r="O4345" s="5" t="s">
        <v>1640</v>
      </c>
      <c r="Q4345" s="5" t="s">
        <v>9518</v>
      </c>
    </row>
    <row r="4346" spans="1:17" x14ac:dyDescent="0.2">
      <c r="A4346" s="5">
        <v>944</v>
      </c>
      <c r="B4346" s="8" t="s">
        <v>9519</v>
      </c>
      <c r="H4346" s="8" t="s">
        <v>9520</v>
      </c>
      <c r="I4346" s="8" t="s">
        <v>9520</v>
      </c>
      <c r="J4346" s="5">
        <v>70</v>
      </c>
      <c r="K4346" s="5" t="s">
        <v>292</v>
      </c>
      <c r="L4346" s="5" t="s">
        <v>9249</v>
      </c>
      <c r="M4346" s="5">
        <v>7</v>
      </c>
      <c r="N4346" s="5" t="s">
        <v>9330</v>
      </c>
      <c r="O4346" s="5" t="s">
        <v>1640</v>
      </c>
      <c r="Q4346" s="5" t="s">
        <v>553</v>
      </c>
    </row>
    <row r="4347" spans="1:17" x14ac:dyDescent="0.2">
      <c r="A4347" s="5">
        <v>945</v>
      </c>
      <c r="B4347" s="140" t="s">
        <v>4771</v>
      </c>
      <c r="H4347" s="8" t="s">
        <v>9521</v>
      </c>
      <c r="I4347" s="8" t="s">
        <v>9522</v>
      </c>
      <c r="J4347" s="5">
        <v>50</v>
      </c>
      <c r="K4347" s="5" t="s">
        <v>292</v>
      </c>
      <c r="L4347" s="5" t="s">
        <v>9249</v>
      </c>
      <c r="M4347" s="5">
        <v>7</v>
      </c>
      <c r="N4347" s="5" t="s">
        <v>9523</v>
      </c>
      <c r="O4347" s="5" t="s">
        <v>1640</v>
      </c>
      <c r="Q4347" s="107" t="s">
        <v>9524</v>
      </c>
    </row>
    <row r="4348" spans="1:17" x14ac:dyDescent="0.2">
      <c r="A4348" s="5">
        <v>946</v>
      </c>
      <c r="B4348" s="140" t="s">
        <v>9525</v>
      </c>
      <c r="H4348" s="8" t="s">
        <v>9526</v>
      </c>
      <c r="I4348" s="8" t="s">
        <v>9527</v>
      </c>
      <c r="J4348" s="5">
        <f>46</f>
        <v>46</v>
      </c>
      <c r="K4348" s="5" t="s">
        <v>292</v>
      </c>
      <c r="L4348" s="5" t="s">
        <v>9249</v>
      </c>
      <c r="M4348" s="5">
        <v>7</v>
      </c>
      <c r="N4348" s="5" t="s">
        <v>57</v>
      </c>
      <c r="O4348" s="5" t="s">
        <v>1640</v>
      </c>
      <c r="Q4348" s="5" t="s">
        <v>553</v>
      </c>
    </row>
    <row r="4349" spans="1:17" x14ac:dyDescent="0.2">
      <c r="A4349" s="5">
        <v>947</v>
      </c>
      <c r="B4349" s="140" t="s">
        <v>9528</v>
      </c>
      <c r="C4349" s="8" t="s">
        <v>9529</v>
      </c>
      <c r="D4349" s="8" t="s">
        <v>9530</v>
      </c>
      <c r="E4349" s="24">
        <v>43687</v>
      </c>
      <c r="F4349" s="8" t="s">
        <v>259</v>
      </c>
      <c r="G4349" s="8" t="s">
        <v>276</v>
      </c>
      <c r="H4349" s="8" t="s">
        <v>9531</v>
      </c>
      <c r="I4349" s="8" t="s">
        <v>9532</v>
      </c>
      <c r="J4349" s="5">
        <v>50</v>
      </c>
      <c r="K4349" s="5" t="s">
        <v>292</v>
      </c>
      <c r="L4349" s="5" t="s">
        <v>9249</v>
      </c>
      <c r="M4349" s="5">
        <v>7</v>
      </c>
      <c r="N4349" s="5" t="s">
        <v>9533</v>
      </c>
      <c r="O4349" s="5" t="s">
        <v>1640</v>
      </c>
      <c r="Q4349" s="107" t="s">
        <v>9350</v>
      </c>
    </row>
    <row r="4350" spans="1:17" x14ac:dyDescent="0.2">
      <c r="A4350" s="5">
        <v>948</v>
      </c>
      <c r="B4350" s="140" t="s">
        <v>9534</v>
      </c>
      <c r="H4350" s="8" t="s">
        <v>9535</v>
      </c>
      <c r="I4350" s="8" t="s">
        <v>9535</v>
      </c>
      <c r="J4350" s="5">
        <v>50</v>
      </c>
      <c r="K4350" s="5" t="s">
        <v>292</v>
      </c>
      <c r="L4350" s="5" t="s">
        <v>9249</v>
      </c>
      <c r="M4350" s="5">
        <v>7</v>
      </c>
      <c r="N4350" s="5" t="s">
        <v>57</v>
      </c>
      <c r="O4350" s="5" t="s">
        <v>1640</v>
      </c>
      <c r="Q4350" s="5" t="s">
        <v>553</v>
      </c>
    </row>
    <row r="4351" spans="1:17" x14ac:dyDescent="0.2">
      <c r="A4351" s="5">
        <v>949</v>
      </c>
      <c r="B4351" s="140" t="s">
        <v>9536</v>
      </c>
      <c r="H4351" s="8" t="s">
        <v>9537</v>
      </c>
      <c r="I4351" s="8" t="s">
        <v>9538</v>
      </c>
      <c r="J4351" s="5">
        <v>50</v>
      </c>
      <c r="K4351" s="5" t="s">
        <v>292</v>
      </c>
      <c r="L4351" s="5" t="s">
        <v>9249</v>
      </c>
      <c r="M4351" s="5">
        <v>7</v>
      </c>
      <c r="N4351" s="5" t="s">
        <v>9330</v>
      </c>
      <c r="O4351" s="5" t="s">
        <v>1640</v>
      </c>
      <c r="Q4351" s="107" t="s">
        <v>9539</v>
      </c>
    </row>
    <row r="4352" spans="1:17" x14ac:dyDescent="0.2">
      <c r="A4352" s="5">
        <v>950</v>
      </c>
      <c r="B4352" s="140" t="s">
        <v>9540</v>
      </c>
      <c r="H4352" s="8" t="s">
        <v>9541</v>
      </c>
      <c r="I4352" s="8" t="s">
        <v>9541</v>
      </c>
      <c r="J4352" s="5">
        <v>4000</v>
      </c>
      <c r="K4352" s="5" t="s">
        <v>292</v>
      </c>
      <c r="L4352" s="5" t="s">
        <v>9249</v>
      </c>
      <c r="M4352" s="5">
        <v>7</v>
      </c>
      <c r="N4352" s="5" t="s">
        <v>57</v>
      </c>
      <c r="O4352" s="5" t="s">
        <v>1640</v>
      </c>
      <c r="Q4352" s="107" t="s">
        <v>9350</v>
      </c>
    </row>
    <row r="4353" spans="1:17" x14ac:dyDescent="0.2">
      <c r="A4353" s="5">
        <v>968</v>
      </c>
      <c r="B4353" s="8" t="s">
        <v>9542</v>
      </c>
      <c r="H4353" s="8" t="s">
        <v>9543</v>
      </c>
      <c r="I4353" s="8" t="s">
        <v>9543</v>
      </c>
      <c r="J4353" s="5">
        <v>48</v>
      </c>
      <c r="K4353" s="5" t="s">
        <v>292</v>
      </c>
      <c r="L4353" s="5" t="s">
        <v>9249</v>
      </c>
      <c r="M4353" s="5">
        <v>8</v>
      </c>
      <c r="N4353" s="5" t="s">
        <v>8053</v>
      </c>
      <c r="O4353" s="5" t="s">
        <v>1640</v>
      </c>
      <c r="Q4353" s="5" t="s">
        <v>553</v>
      </c>
    </row>
    <row r="4354" spans="1:17" x14ac:dyDescent="0.2">
      <c r="A4354" s="5">
        <v>969</v>
      </c>
      <c r="B4354" s="140">
        <v>1098521</v>
      </c>
      <c r="H4354" s="8" t="s">
        <v>9544</v>
      </c>
      <c r="I4354" s="8" t="s">
        <v>9544</v>
      </c>
      <c r="J4354" s="5">
        <v>31</v>
      </c>
      <c r="K4354" s="5" t="s">
        <v>292</v>
      </c>
      <c r="L4354" s="5" t="s">
        <v>9249</v>
      </c>
      <c r="M4354" s="5">
        <v>8</v>
      </c>
      <c r="N4354" s="5" t="s">
        <v>43</v>
      </c>
      <c r="O4354" s="5" t="s">
        <v>1640</v>
      </c>
      <c r="Q4354" s="5" t="s">
        <v>9423</v>
      </c>
    </row>
    <row r="4355" spans="1:17" x14ac:dyDescent="0.2">
      <c r="A4355" s="5">
        <v>971</v>
      </c>
      <c r="B4355" s="140">
        <v>8395969</v>
      </c>
      <c r="H4355" s="8" t="s">
        <v>9545</v>
      </c>
      <c r="I4355" s="8" t="s">
        <v>9545</v>
      </c>
      <c r="J4355" s="5">
        <v>31</v>
      </c>
      <c r="K4355" s="5" t="s">
        <v>292</v>
      </c>
      <c r="L4355" s="5" t="s">
        <v>9249</v>
      </c>
      <c r="M4355" s="5">
        <v>8</v>
      </c>
      <c r="N4355" s="5" t="s">
        <v>43</v>
      </c>
      <c r="O4355" s="5" t="s">
        <v>1640</v>
      </c>
      <c r="Q4355" s="5" t="s">
        <v>9423</v>
      </c>
    </row>
    <row r="4356" spans="1:17" x14ac:dyDescent="0.2">
      <c r="A4356" s="5">
        <v>972</v>
      </c>
      <c r="B4356" s="140">
        <v>8395934</v>
      </c>
      <c r="H4356" s="8" t="s">
        <v>9546</v>
      </c>
      <c r="I4356" s="8" t="s">
        <v>9546</v>
      </c>
      <c r="J4356" s="5">
        <v>36</v>
      </c>
      <c r="K4356" s="5" t="s">
        <v>292</v>
      </c>
      <c r="L4356" s="5" t="s">
        <v>9249</v>
      </c>
      <c r="M4356" s="5">
        <v>8</v>
      </c>
      <c r="N4356" s="5" t="s">
        <v>43</v>
      </c>
      <c r="O4356" s="5" t="s">
        <v>1640</v>
      </c>
      <c r="Q4356" s="5" t="s">
        <v>9423</v>
      </c>
    </row>
    <row r="4357" spans="1:17" x14ac:dyDescent="0.2">
      <c r="A4357" s="5">
        <v>973</v>
      </c>
      <c r="B4357" s="140" t="s">
        <v>9547</v>
      </c>
      <c r="H4357" s="8" t="s">
        <v>9548</v>
      </c>
      <c r="I4357" s="8" t="s">
        <v>9548</v>
      </c>
      <c r="J4357" s="5">
        <v>106</v>
      </c>
      <c r="K4357" s="5" t="s">
        <v>292</v>
      </c>
      <c r="L4357" s="5" t="s">
        <v>9249</v>
      </c>
      <c r="M4357" s="5">
        <v>8</v>
      </c>
      <c r="N4357" s="5" t="s">
        <v>43</v>
      </c>
      <c r="O4357" s="5" t="s">
        <v>1640</v>
      </c>
      <c r="Q4357" s="5" t="s">
        <v>9549</v>
      </c>
    </row>
    <row r="4358" spans="1:17" x14ac:dyDescent="0.2">
      <c r="A4358" s="5">
        <v>974</v>
      </c>
      <c r="B4358" s="140" t="s">
        <v>9550</v>
      </c>
      <c r="H4358" s="8" t="s">
        <v>9551</v>
      </c>
      <c r="I4358" s="8" t="s">
        <v>9551</v>
      </c>
      <c r="J4358" s="5">
        <v>269</v>
      </c>
      <c r="K4358" s="5" t="s">
        <v>292</v>
      </c>
      <c r="L4358" s="5" t="s">
        <v>9249</v>
      </c>
      <c r="M4358" s="5">
        <v>8</v>
      </c>
      <c r="N4358" s="5" t="s">
        <v>43</v>
      </c>
      <c r="O4358" s="5" t="s">
        <v>1640</v>
      </c>
      <c r="Q4358" s="5" t="s">
        <v>9549</v>
      </c>
    </row>
    <row r="4359" spans="1:17" x14ac:dyDescent="0.2">
      <c r="A4359" s="5">
        <v>975</v>
      </c>
      <c r="B4359" s="140" t="s">
        <v>9552</v>
      </c>
      <c r="H4359" s="8" t="s">
        <v>9553</v>
      </c>
      <c r="I4359" s="8" t="s">
        <v>9553</v>
      </c>
      <c r="J4359" s="5">
        <v>26</v>
      </c>
      <c r="K4359" s="5" t="s">
        <v>292</v>
      </c>
      <c r="L4359" s="5" t="s">
        <v>9249</v>
      </c>
      <c r="M4359" s="5">
        <v>8</v>
      </c>
      <c r="N4359" s="5" t="s">
        <v>43</v>
      </c>
      <c r="O4359" s="5" t="s">
        <v>1640</v>
      </c>
      <c r="Q4359" s="5" t="s">
        <v>9554</v>
      </c>
    </row>
    <row r="4360" spans="1:17" x14ac:dyDescent="0.2">
      <c r="A4360" s="5">
        <v>976</v>
      </c>
      <c r="B4360" s="140" t="s">
        <v>9555</v>
      </c>
      <c r="H4360" s="8" t="s">
        <v>9556</v>
      </c>
      <c r="I4360" s="8" t="s">
        <v>9556</v>
      </c>
      <c r="J4360" s="5">
        <v>269</v>
      </c>
      <c r="K4360" s="5" t="s">
        <v>292</v>
      </c>
      <c r="L4360" s="5" t="s">
        <v>9249</v>
      </c>
      <c r="M4360" s="5">
        <v>8</v>
      </c>
      <c r="N4360" s="5" t="s">
        <v>43</v>
      </c>
      <c r="O4360" s="5" t="s">
        <v>1640</v>
      </c>
      <c r="Q4360" s="5" t="s">
        <v>9557</v>
      </c>
    </row>
    <row r="4361" spans="1:17" x14ac:dyDescent="0.2">
      <c r="A4361" s="5">
        <v>977</v>
      </c>
      <c r="B4361" s="140" t="s">
        <v>9558</v>
      </c>
      <c r="H4361" s="8" t="s">
        <v>9559</v>
      </c>
      <c r="I4361" s="8" t="s">
        <v>9559</v>
      </c>
      <c r="J4361" s="5">
        <v>31</v>
      </c>
      <c r="K4361" s="5" t="s">
        <v>292</v>
      </c>
      <c r="L4361" s="5" t="s">
        <v>9249</v>
      </c>
      <c r="M4361" s="5">
        <v>8</v>
      </c>
      <c r="N4361" s="5" t="s">
        <v>43</v>
      </c>
      <c r="O4361" s="5" t="s">
        <v>1640</v>
      </c>
      <c r="Q4361" s="5" t="s">
        <v>9549</v>
      </c>
    </row>
    <row r="4362" spans="1:17" x14ac:dyDescent="0.2">
      <c r="A4362" s="5">
        <v>978</v>
      </c>
      <c r="B4362" s="140" t="s">
        <v>9560</v>
      </c>
      <c r="H4362" s="8" t="s">
        <v>9561</v>
      </c>
      <c r="I4362" s="8" t="s">
        <v>9561</v>
      </c>
      <c r="J4362" s="5">
        <v>1000</v>
      </c>
      <c r="K4362" s="5" t="s">
        <v>292</v>
      </c>
      <c r="L4362" s="5" t="s">
        <v>9249</v>
      </c>
      <c r="M4362" s="5">
        <v>8</v>
      </c>
      <c r="N4362" s="5" t="s">
        <v>81</v>
      </c>
      <c r="O4362" s="5" t="s">
        <v>1640</v>
      </c>
      <c r="Q4362" s="5" t="s">
        <v>9435</v>
      </c>
    </row>
    <row r="4363" spans="1:17" x14ac:dyDescent="0.2">
      <c r="A4363" s="5">
        <v>979</v>
      </c>
      <c r="B4363" s="140" t="s">
        <v>9562</v>
      </c>
      <c r="H4363" s="8" t="s">
        <v>9563</v>
      </c>
      <c r="I4363" s="8" t="s">
        <v>9563</v>
      </c>
      <c r="J4363" s="5">
        <f>528</f>
        <v>528</v>
      </c>
      <c r="K4363" s="5" t="s">
        <v>292</v>
      </c>
      <c r="L4363" s="5" t="s">
        <v>9249</v>
      </c>
      <c r="M4363" s="5">
        <v>8</v>
      </c>
      <c r="N4363" s="5" t="s">
        <v>9562</v>
      </c>
      <c r="O4363" s="5" t="s">
        <v>1640</v>
      </c>
      <c r="Q4363" s="5" t="s">
        <v>553</v>
      </c>
    </row>
    <row r="4364" spans="1:17" x14ac:dyDescent="0.2">
      <c r="A4364" s="5">
        <v>1032</v>
      </c>
      <c r="B4364" s="140" t="s">
        <v>9564</v>
      </c>
      <c r="H4364" s="8" t="s">
        <v>9565</v>
      </c>
      <c r="I4364" s="8" t="s">
        <v>9565</v>
      </c>
      <c r="J4364" s="5">
        <f>20</f>
        <v>20</v>
      </c>
      <c r="K4364" s="5" t="s">
        <v>292</v>
      </c>
      <c r="L4364" s="5" t="s">
        <v>9249</v>
      </c>
      <c r="M4364" s="5">
        <v>9</v>
      </c>
      <c r="N4364" s="5" t="s">
        <v>8053</v>
      </c>
      <c r="O4364" s="5" t="s">
        <v>1640</v>
      </c>
      <c r="Q4364" s="5" t="s">
        <v>553</v>
      </c>
    </row>
    <row r="4365" spans="1:17" x14ac:dyDescent="0.2">
      <c r="A4365" s="5">
        <v>1033</v>
      </c>
      <c r="B4365" s="140" t="s">
        <v>9566</v>
      </c>
      <c r="H4365" s="8" t="s">
        <v>9567</v>
      </c>
      <c r="I4365" s="8" t="s">
        <v>9567</v>
      </c>
      <c r="J4365" s="5">
        <f>23</f>
        <v>23</v>
      </c>
      <c r="K4365" s="5" t="s">
        <v>292</v>
      </c>
      <c r="L4365" s="5" t="s">
        <v>9249</v>
      </c>
      <c r="M4365" s="5">
        <v>9</v>
      </c>
      <c r="N4365" s="5" t="s">
        <v>8053</v>
      </c>
      <c r="O4365" s="5" t="s">
        <v>1640</v>
      </c>
      <c r="Q4365" s="5" t="s">
        <v>553</v>
      </c>
    </row>
    <row r="4366" spans="1:17" x14ac:dyDescent="0.2">
      <c r="A4366" s="5">
        <v>1034</v>
      </c>
      <c r="B4366" s="140" t="s">
        <v>9568</v>
      </c>
      <c r="H4366" s="8" t="s">
        <v>9569</v>
      </c>
      <c r="I4366" s="8" t="s">
        <v>9569</v>
      </c>
      <c r="J4366" s="5">
        <v>3032</v>
      </c>
      <c r="K4366" s="5" t="s">
        <v>292</v>
      </c>
      <c r="L4366" s="5" t="s">
        <v>9249</v>
      </c>
      <c r="M4366" s="5">
        <v>9</v>
      </c>
      <c r="N4366" s="5" t="s">
        <v>57</v>
      </c>
      <c r="O4366" s="5" t="s">
        <v>1640</v>
      </c>
      <c r="Q4366" s="5" t="s">
        <v>553</v>
      </c>
    </row>
    <row r="4367" spans="1:17" x14ac:dyDescent="0.2">
      <c r="A4367" s="5">
        <v>1035</v>
      </c>
      <c r="B4367" s="140" t="s">
        <v>9570</v>
      </c>
      <c r="H4367" s="8" t="s">
        <v>9571</v>
      </c>
      <c r="I4367" s="8" t="s">
        <v>9571</v>
      </c>
      <c r="J4367" s="5">
        <f>3263-4-5</f>
        <v>3254</v>
      </c>
      <c r="K4367" s="5" t="s">
        <v>292</v>
      </c>
      <c r="L4367" s="5" t="s">
        <v>9249</v>
      </c>
      <c r="M4367" s="5">
        <v>9</v>
      </c>
      <c r="N4367" s="5">
        <v>56</v>
      </c>
      <c r="O4367" s="5" t="s">
        <v>1640</v>
      </c>
      <c r="Q4367" s="5" t="s">
        <v>553</v>
      </c>
    </row>
    <row r="4368" spans="1:17" x14ac:dyDescent="0.2">
      <c r="A4368" s="5">
        <v>356</v>
      </c>
      <c r="B4368" s="8" t="s">
        <v>553</v>
      </c>
      <c r="H4368" s="8" t="s">
        <v>9572</v>
      </c>
      <c r="I4368" s="8" t="s">
        <v>9572</v>
      </c>
      <c r="K4368" s="5" t="s">
        <v>553</v>
      </c>
      <c r="L4368" s="5" t="s">
        <v>9249</v>
      </c>
      <c r="M4368" s="5">
        <v>10</v>
      </c>
      <c r="N4368" s="5" t="s">
        <v>553</v>
      </c>
      <c r="Q4368" s="5" t="s">
        <v>553</v>
      </c>
    </row>
    <row r="4369" spans="1:21" x14ac:dyDescent="0.2">
      <c r="A4369" s="5">
        <v>2360</v>
      </c>
      <c r="B4369" s="140" t="s">
        <v>9573</v>
      </c>
      <c r="H4369" s="8" t="s">
        <v>9574</v>
      </c>
      <c r="I4369" s="8" t="s">
        <v>9574</v>
      </c>
      <c r="J4369" s="5">
        <v>7</v>
      </c>
      <c r="K4369" s="5" t="s">
        <v>292</v>
      </c>
      <c r="L4369" s="5" t="s">
        <v>9249</v>
      </c>
      <c r="M4369" s="5">
        <v>11</v>
      </c>
      <c r="N4369" s="5" t="s">
        <v>8231</v>
      </c>
      <c r="O4369" s="5" t="s">
        <v>789</v>
      </c>
      <c r="Q4369" s="5" t="s">
        <v>9575</v>
      </c>
    </row>
    <row r="4370" spans="1:21" x14ac:dyDescent="0.2">
      <c r="A4370" s="5">
        <v>2362</v>
      </c>
      <c r="B4370" s="140" t="s">
        <v>9576</v>
      </c>
      <c r="H4370" s="8" t="s">
        <v>9577</v>
      </c>
      <c r="I4370" s="8" t="s">
        <v>9577</v>
      </c>
      <c r="J4370" s="5">
        <f>0</f>
        <v>0</v>
      </c>
      <c r="K4370" s="5" t="s">
        <v>292</v>
      </c>
      <c r="L4370" s="5" t="s">
        <v>9249</v>
      </c>
      <c r="M4370" s="5">
        <v>11</v>
      </c>
      <c r="N4370" s="5" t="s">
        <v>8231</v>
      </c>
      <c r="O4370" s="5" t="s">
        <v>789</v>
      </c>
      <c r="Q4370" s="5" t="s">
        <v>9578</v>
      </c>
    </row>
    <row r="4371" spans="1:21" x14ac:dyDescent="0.2">
      <c r="A4371" s="5">
        <v>2365</v>
      </c>
      <c r="B4371" s="140" t="s">
        <v>9579</v>
      </c>
      <c r="H4371" s="8" t="s">
        <v>9580</v>
      </c>
      <c r="I4371" s="8" t="s">
        <v>9580</v>
      </c>
      <c r="J4371" s="5">
        <v>0</v>
      </c>
      <c r="K4371" s="5" t="s">
        <v>292</v>
      </c>
      <c r="L4371" s="5" t="s">
        <v>9249</v>
      </c>
      <c r="M4371" s="5">
        <v>11</v>
      </c>
      <c r="N4371" s="5" t="s">
        <v>8231</v>
      </c>
      <c r="O4371" s="5" t="s">
        <v>789</v>
      </c>
      <c r="Q4371" s="5" t="s">
        <v>9581</v>
      </c>
    </row>
    <row r="4372" spans="1:21" x14ac:dyDescent="0.2">
      <c r="A4372" s="5">
        <v>2366</v>
      </c>
      <c r="B4372" s="140" t="s">
        <v>9582</v>
      </c>
      <c r="H4372" s="8" t="s">
        <v>9583</v>
      </c>
      <c r="I4372" s="8" t="s">
        <v>9584</v>
      </c>
      <c r="J4372" s="5">
        <f>19-18</f>
        <v>1</v>
      </c>
      <c r="K4372" s="5" t="s">
        <v>292</v>
      </c>
      <c r="L4372" s="5" t="s">
        <v>9249</v>
      </c>
      <c r="M4372" s="5">
        <v>11</v>
      </c>
      <c r="N4372" s="5" t="s">
        <v>8231</v>
      </c>
      <c r="O4372" s="5" t="s">
        <v>789</v>
      </c>
      <c r="Q4372" s="5" t="s">
        <v>9585</v>
      </c>
    </row>
    <row r="4373" spans="1:21" x14ac:dyDescent="0.2">
      <c r="A4373" s="5"/>
      <c r="B4373" s="145" t="s">
        <v>9586</v>
      </c>
      <c r="H4373" s="8" t="s">
        <v>9587</v>
      </c>
      <c r="I4373" s="8" t="s">
        <v>9587</v>
      </c>
      <c r="J4373" s="5">
        <f>50-49</f>
        <v>1</v>
      </c>
      <c r="K4373" s="5" t="s">
        <v>292</v>
      </c>
      <c r="L4373" s="5" t="s">
        <v>9249</v>
      </c>
      <c r="M4373" s="5">
        <v>12</v>
      </c>
      <c r="N4373" s="5" t="s">
        <v>57</v>
      </c>
      <c r="Q4373" s="5" t="s">
        <v>553</v>
      </c>
      <c r="U4373" t="s">
        <v>321</v>
      </c>
    </row>
    <row r="4374" spans="1:21" x14ac:dyDescent="0.2">
      <c r="A4374" s="5"/>
      <c r="B4374" s="140">
        <v>3600036</v>
      </c>
      <c r="H4374" s="8" t="s">
        <v>9588</v>
      </c>
      <c r="I4374" s="8" t="s">
        <v>9588</v>
      </c>
      <c r="J4374" s="5">
        <f>300</f>
        <v>300</v>
      </c>
      <c r="K4374" s="5" t="s">
        <v>292</v>
      </c>
      <c r="L4374" s="5" t="s">
        <v>9249</v>
      </c>
      <c r="M4374" s="5">
        <v>12</v>
      </c>
      <c r="N4374" s="5" t="s">
        <v>553</v>
      </c>
      <c r="Q4374" s="5" t="s">
        <v>553</v>
      </c>
      <c r="U4374" t="s">
        <v>321</v>
      </c>
    </row>
    <row r="4375" spans="1:21" x14ac:dyDescent="0.2">
      <c r="A4375" s="5"/>
      <c r="B4375" s="142" t="s">
        <v>9589</v>
      </c>
      <c r="H4375" s="108" t="s">
        <v>9590</v>
      </c>
      <c r="I4375" s="108" t="s">
        <v>9590</v>
      </c>
      <c r="J4375" s="5">
        <f>400</f>
        <v>400</v>
      </c>
      <c r="K4375" s="5" t="s">
        <v>292</v>
      </c>
      <c r="L4375" s="5" t="s">
        <v>9249</v>
      </c>
      <c r="M4375" s="5">
        <v>12</v>
      </c>
      <c r="N4375" s="5" t="s">
        <v>3099</v>
      </c>
      <c r="Q4375" s="5" t="s">
        <v>9591</v>
      </c>
      <c r="U4375" t="s">
        <v>321</v>
      </c>
    </row>
    <row r="4376" spans="1:21" x14ac:dyDescent="0.2">
      <c r="A4376" s="5"/>
      <c r="B4376" s="142" t="s">
        <v>9592</v>
      </c>
      <c r="H4376" s="108" t="s">
        <v>9593</v>
      </c>
      <c r="I4376" s="108" t="s">
        <v>9593</v>
      </c>
      <c r="J4376" s="5">
        <f>100</f>
        <v>100</v>
      </c>
      <c r="K4376" s="5" t="s">
        <v>292</v>
      </c>
      <c r="L4376" s="5" t="s">
        <v>9249</v>
      </c>
      <c r="M4376" s="5">
        <v>12</v>
      </c>
      <c r="N4376" s="5" t="s">
        <v>3099</v>
      </c>
      <c r="Q4376" s="107" t="s">
        <v>9350</v>
      </c>
    </row>
    <row r="4377" spans="1:21" x14ac:dyDescent="0.2">
      <c r="A4377" s="5"/>
      <c r="B4377" s="142" t="s">
        <v>9594</v>
      </c>
      <c r="H4377" s="108" t="s">
        <v>9595</v>
      </c>
      <c r="I4377" s="108" t="s">
        <v>9595</v>
      </c>
      <c r="J4377" s="5">
        <f>500</f>
        <v>500</v>
      </c>
      <c r="K4377" s="5" t="s">
        <v>292</v>
      </c>
      <c r="L4377" s="5" t="s">
        <v>9249</v>
      </c>
      <c r="M4377" s="5">
        <v>12</v>
      </c>
      <c r="N4377" s="5" t="s">
        <v>57</v>
      </c>
      <c r="Q4377" s="107" t="s">
        <v>9596</v>
      </c>
    </row>
    <row r="4378" spans="1:21" x14ac:dyDescent="0.2">
      <c r="A4378" s="5"/>
      <c r="B4378" s="142" t="s">
        <v>9597</v>
      </c>
      <c r="H4378" s="108" t="s">
        <v>9598</v>
      </c>
      <c r="I4378" s="108" t="s">
        <v>9598</v>
      </c>
      <c r="J4378" s="5">
        <f>200</f>
        <v>200</v>
      </c>
      <c r="K4378" s="5" t="s">
        <v>292</v>
      </c>
      <c r="L4378" s="5" t="s">
        <v>9249</v>
      </c>
      <c r="M4378" s="5">
        <v>12</v>
      </c>
      <c r="N4378" s="5" t="s">
        <v>3099</v>
      </c>
      <c r="Q4378" s="107" t="s">
        <v>9599</v>
      </c>
      <c r="U4378" t="s">
        <v>321</v>
      </c>
    </row>
    <row r="4379" spans="1:21" x14ac:dyDescent="0.2">
      <c r="A4379" s="5"/>
      <c r="B4379" s="142" t="s">
        <v>9600</v>
      </c>
      <c r="H4379" s="108" t="s">
        <v>9601</v>
      </c>
      <c r="I4379" s="108" t="s">
        <v>9601</v>
      </c>
      <c r="J4379" s="5">
        <f>100</f>
        <v>100</v>
      </c>
      <c r="K4379" s="5" t="s">
        <v>292</v>
      </c>
      <c r="L4379" s="5" t="s">
        <v>9249</v>
      </c>
      <c r="M4379" s="5">
        <v>12</v>
      </c>
      <c r="N4379" s="5" t="s">
        <v>553</v>
      </c>
      <c r="Q4379" s="107" t="s">
        <v>9350</v>
      </c>
    </row>
    <row r="4380" spans="1:21" x14ac:dyDescent="0.2">
      <c r="A4380" s="5"/>
      <c r="B4380" s="143" t="s">
        <v>9602</v>
      </c>
      <c r="H4380" s="108" t="s">
        <v>9603</v>
      </c>
      <c r="I4380" s="108" t="s">
        <v>9603</v>
      </c>
      <c r="J4380" s="5">
        <f>4400</f>
        <v>4400</v>
      </c>
      <c r="K4380" s="5" t="s">
        <v>292</v>
      </c>
      <c r="L4380" s="5" t="s">
        <v>9249</v>
      </c>
      <c r="M4380" s="5">
        <v>12</v>
      </c>
      <c r="N4380" s="5" t="s">
        <v>57</v>
      </c>
      <c r="Q4380" s="107" t="s">
        <v>9283</v>
      </c>
      <c r="U4380" t="s">
        <v>321</v>
      </c>
    </row>
    <row r="4381" spans="1:21" x14ac:dyDescent="0.2">
      <c r="A4381" s="5"/>
      <c r="B4381" s="143" t="s">
        <v>9604</v>
      </c>
      <c r="H4381" s="108" t="s">
        <v>9605</v>
      </c>
      <c r="I4381" s="108" t="s">
        <v>9605</v>
      </c>
      <c r="J4381" s="5">
        <f>150</f>
        <v>150</v>
      </c>
      <c r="K4381" s="5" t="s">
        <v>292</v>
      </c>
      <c r="L4381" s="5" t="s">
        <v>9249</v>
      </c>
      <c r="M4381" s="5">
        <v>12</v>
      </c>
      <c r="N4381" s="5" t="s">
        <v>3099</v>
      </c>
      <c r="Q4381" s="5" t="s">
        <v>2262</v>
      </c>
      <c r="U4381" t="s">
        <v>321</v>
      </c>
    </row>
    <row r="4382" spans="1:21" x14ac:dyDescent="0.2">
      <c r="A4382" s="5"/>
      <c r="B4382" s="143" t="s">
        <v>9606</v>
      </c>
      <c r="H4382" s="108" t="s">
        <v>9607</v>
      </c>
      <c r="I4382" s="108" t="s">
        <v>9607</v>
      </c>
      <c r="J4382" s="5">
        <f>30</f>
        <v>30</v>
      </c>
      <c r="K4382" s="5" t="s">
        <v>292</v>
      </c>
      <c r="L4382" s="5" t="s">
        <v>9249</v>
      </c>
      <c r="M4382" s="5">
        <v>12</v>
      </c>
      <c r="N4382" s="5" t="s">
        <v>3099</v>
      </c>
      <c r="Q4382" s="5" t="s">
        <v>553</v>
      </c>
      <c r="U4382" t="s">
        <v>321</v>
      </c>
    </row>
    <row r="4383" spans="1:21" x14ac:dyDescent="0.2">
      <c r="A4383" s="5"/>
      <c r="B4383" s="142" t="s">
        <v>9608</v>
      </c>
      <c r="H4383" s="108" t="s">
        <v>9609</v>
      </c>
      <c r="I4383" s="108" t="s">
        <v>9609</v>
      </c>
      <c r="J4383" s="5">
        <f>400</f>
        <v>400</v>
      </c>
      <c r="K4383" s="5" t="s">
        <v>292</v>
      </c>
      <c r="L4383" s="5" t="s">
        <v>9249</v>
      </c>
      <c r="M4383" s="5">
        <v>12</v>
      </c>
      <c r="N4383" s="5" t="s">
        <v>3099</v>
      </c>
      <c r="Q4383" s="107" t="s">
        <v>9524</v>
      </c>
      <c r="U4383" t="s">
        <v>321</v>
      </c>
    </row>
    <row r="4384" spans="1:21" x14ac:dyDescent="0.2">
      <c r="A4384" s="5"/>
      <c r="B4384" s="142" t="s">
        <v>9610</v>
      </c>
      <c r="H4384" s="108" t="s">
        <v>9611</v>
      </c>
      <c r="I4384" s="108" t="s">
        <v>9611</v>
      </c>
      <c r="J4384" s="5">
        <f>5000</f>
        <v>5000</v>
      </c>
      <c r="K4384" s="5" t="s">
        <v>292</v>
      </c>
      <c r="L4384" s="5" t="s">
        <v>9249</v>
      </c>
      <c r="M4384" s="5">
        <v>12</v>
      </c>
      <c r="N4384" s="5" t="s">
        <v>57</v>
      </c>
      <c r="Q4384" s="107" t="s">
        <v>9612</v>
      </c>
      <c r="U4384" t="s">
        <v>321</v>
      </c>
    </row>
    <row r="4385" spans="1:21" x14ac:dyDescent="0.2">
      <c r="A4385" s="5"/>
      <c r="B4385" s="142" t="s">
        <v>9613</v>
      </c>
      <c r="G4385" s="108"/>
      <c r="H4385" s="108" t="s">
        <v>9614</v>
      </c>
      <c r="I4385" s="108" t="s">
        <v>9614</v>
      </c>
      <c r="J4385" s="5">
        <f>150</f>
        <v>150</v>
      </c>
      <c r="K4385" s="5" t="s">
        <v>292</v>
      </c>
      <c r="L4385" s="5" t="s">
        <v>9249</v>
      </c>
      <c r="M4385" s="5">
        <v>12</v>
      </c>
      <c r="N4385" s="5" t="s">
        <v>553</v>
      </c>
      <c r="Q4385" s="5" t="s">
        <v>2262</v>
      </c>
      <c r="U4385" t="s">
        <v>321</v>
      </c>
    </row>
    <row r="4386" spans="1:21" x14ac:dyDescent="0.2">
      <c r="A4386" s="5"/>
      <c r="B4386" s="142" t="s">
        <v>9615</v>
      </c>
      <c r="G4386" s="108"/>
      <c r="H4386" s="108" t="s">
        <v>9616</v>
      </c>
      <c r="I4386" s="108" t="s">
        <v>9616</v>
      </c>
      <c r="J4386" s="5">
        <f>200</f>
        <v>200</v>
      </c>
      <c r="K4386" s="5" t="s">
        <v>292</v>
      </c>
      <c r="L4386" s="5" t="s">
        <v>9249</v>
      </c>
      <c r="M4386" s="5">
        <v>12</v>
      </c>
      <c r="N4386" s="5" t="s">
        <v>57</v>
      </c>
      <c r="Q4386" s="5" t="s">
        <v>9596</v>
      </c>
      <c r="U4386" t="s">
        <v>321</v>
      </c>
    </row>
    <row r="4387" spans="1:21" x14ac:dyDescent="0.2">
      <c r="A4387" s="5"/>
      <c r="B4387" s="143" t="s">
        <v>9617</v>
      </c>
      <c r="H4387" s="108" t="s">
        <v>9618</v>
      </c>
      <c r="I4387" s="108" t="s">
        <v>9618</v>
      </c>
      <c r="J4387" s="5">
        <f>50</f>
        <v>50</v>
      </c>
      <c r="K4387" s="5" t="s">
        <v>292</v>
      </c>
      <c r="L4387" s="5" t="s">
        <v>9249</v>
      </c>
      <c r="M4387" s="5">
        <v>12</v>
      </c>
      <c r="N4387" s="5" t="s">
        <v>9327</v>
      </c>
      <c r="Q4387" s="5" t="s">
        <v>553</v>
      </c>
    </row>
    <row r="4388" spans="1:21" x14ac:dyDescent="0.2">
      <c r="A4388" s="5">
        <v>357</v>
      </c>
      <c r="B4388" s="140" t="s">
        <v>9619</v>
      </c>
      <c r="H4388" s="108" t="s">
        <v>9620</v>
      </c>
      <c r="I4388" s="136" t="s">
        <v>9620</v>
      </c>
      <c r="J4388" s="5">
        <v>50</v>
      </c>
      <c r="K4388" s="5" t="s">
        <v>292</v>
      </c>
      <c r="L4388" s="5" t="s">
        <v>9249</v>
      </c>
      <c r="M4388" s="5">
        <v>12</v>
      </c>
      <c r="N4388" s="5" t="s">
        <v>9327</v>
      </c>
      <c r="Q4388" s="5" t="s">
        <v>9621</v>
      </c>
    </row>
    <row r="4389" spans="1:21" x14ac:dyDescent="0.2">
      <c r="A4389" s="5">
        <v>358</v>
      </c>
      <c r="B4389" s="140" t="s">
        <v>9622</v>
      </c>
      <c r="H4389" s="8" t="s">
        <v>9623</v>
      </c>
      <c r="I4389" s="8" t="s">
        <v>9623</v>
      </c>
      <c r="J4389" s="5">
        <f>1000</f>
        <v>1000</v>
      </c>
      <c r="K4389" s="5" t="s">
        <v>292</v>
      </c>
      <c r="L4389" s="5" t="s">
        <v>9249</v>
      </c>
      <c r="M4389" s="5">
        <v>12</v>
      </c>
      <c r="N4389" s="5" t="s">
        <v>3099</v>
      </c>
      <c r="Q4389" s="5" t="s">
        <v>9624</v>
      </c>
    </row>
    <row r="4390" spans="1:21" x14ac:dyDescent="0.2">
      <c r="A4390" s="5">
        <v>359</v>
      </c>
      <c r="B4390" s="140" t="s">
        <v>9625</v>
      </c>
      <c r="H4390" s="8" t="s">
        <v>9626</v>
      </c>
      <c r="I4390" s="8" t="s">
        <v>9626</v>
      </c>
      <c r="J4390" s="5">
        <v>100</v>
      </c>
      <c r="K4390" s="5" t="s">
        <v>292</v>
      </c>
      <c r="L4390" s="5" t="s">
        <v>9249</v>
      </c>
      <c r="M4390" s="5">
        <v>12</v>
      </c>
      <c r="N4390" s="5" t="s">
        <v>553</v>
      </c>
      <c r="Q4390" s="5" t="s">
        <v>2262</v>
      </c>
    </row>
    <row r="4391" spans="1:21" x14ac:dyDescent="0.2">
      <c r="A4391" s="5">
        <v>360</v>
      </c>
      <c r="B4391" s="8" t="s">
        <v>9627</v>
      </c>
      <c r="H4391" s="8" t="s">
        <v>2531</v>
      </c>
      <c r="I4391" s="8" t="s">
        <v>2531</v>
      </c>
      <c r="J4391" s="5">
        <v>50</v>
      </c>
      <c r="K4391" s="5" t="s">
        <v>292</v>
      </c>
      <c r="L4391" s="5" t="s">
        <v>9249</v>
      </c>
      <c r="M4391" s="5">
        <v>12</v>
      </c>
      <c r="N4391" s="5" t="s">
        <v>57</v>
      </c>
      <c r="Q4391" s="5" t="s">
        <v>2528</v>
      </c>
    </row>
    <row r="4392" spans="1:21" x14ac:dyDescent="0.2">
      <c r="A4392" s="5">
        <v>361</v>
      </c>
      <c r="B4392" s="8" t="s">
        <v>9628</v>
      </c>
      <c r="H4392" s="8" t="s">
        <v>9629</v>
      </c>
      <c r="I4392" s="8" t="s">
        <v>9629</v>
      </c>
      <c r="J4392" s="5">
        <v>30</v>
      </c>
      <c r="K4392" s="5" t="s">
        <v>292</v>
      </c>
      <c r="L4392" s="5" t="s">
        <v>9249</v>
      </c>
      <c r="M4392" s="5">
        <v>12</v>
      </c>
      <c r="N4392" s="5" t="s">
        <v>3099</v>
      </c>
      <c r="Q4392" s="5" t="s">
        <v>9630</v>
      </c>
    </row>
    <row r="4393" spans="1:21" x14ac:dyDescent="0.2">
      <c r="A4393" s="5">
        <v>362</v>
      </c>
      <c r="B4393" s="144" t="s">
        <v>9631</v>
      </c>
      <c r="H4393" s="8" t="s">
        <v>9632</v>
      </c>
      <c r="I4393" s="8" t="s">
        <v>9632</v>
      </c>
      <c r="J4393" s="5">
        <v>300</v>
      </c>
      <c r="K4393" s="5" t="s">
        <v>292</v>
      </c>
      <c r="L4393" s="5" t="s">
        <v>9249</v>
      </c>
      <c r="M4393" s="5">
        <v>12</v>
      </c>
      <c r="N4393" s="5" t="s">
        <v>57</v>
      </c>
      <c r="Q4393" s="5" t="s">
        <v>9633</v>
      </c>
      <c r="U4393" t="s">
        <v>321</v>
      </c>
    </row>
    <row r="4394" spans="1:21" x14ac:dyDescent="0.2">
      <c r="A4394" s="5">
        <v>363</v>
      </c>
      <c r="B4394" s="140" t="s">
        <v>9634</v>
      </c>
      <c r="H4394" s="8" t="s">
        <v>9635</v>
      </c>
      <c r="I4394" s="8" t="s">
        <v>9635</v>
      </c>
      <c r="J4394" s="5">
        <v>500</v>
      </c>
      <c r="K4394" s="5" t="s">
        <v>292</v>
      </c>
      <c r="L4394" s="5" t="s">
        <v>9249</v>
      </c>
      <c r="M4394" s="5">
        <v>12</v>
      </c>
      <c r="N4394" s="5" t="s">
        <v>57</v>
      </c>
      <c r="Q4394" s="5" t="s">
        <v>9596</v>
      </c>
    </row>
    <row r="4395" spans="1:21" x14ac:dyDescent="0.2">
      <c r="A4395" s="5">
        <v>364</v>
      </c>
      <c r="B4395" s="140" t="s">
        <v>9636</v>
      </c>
      <c r="H4395" s="8" t="s">
        <v>9637</v>
      </c>
      <c r="I4395" s="8" t="s">
        <v>9637</v>
      </c>
      <c r="J4395" s="5">
        <v>5000</v>
      </c>
      <c r="K4395" s="5" t="s">
        <v>292</v>
      </c>
      <c r="L4395" s="5" t="s">
        <v>9249</v>
      </c>
      <c r="M4395" s="5">
        <v>12</v>
      </c>
      <c r="N4395" s="5" t="s">
        <v>57</v>
      </c>
      <c r="Q4395" s="5" t="s">
        <v>9283</v>
      </c>
    </row>
    <row r="4396" spans="1:21" x14ac:dyDescent="0.2">
      <c r="A4396" s="5">
        <v>1207</v>
      </c>
      <c r="B4396" s="140" t="s">
        <v>9519</v>
      </c>
      <c r="H4396" s="8" t="s">
        <v>9520</v>
      </c>
      <c r="I4396" s="8" t="s">
        <v>9520</v>
      </c>
      <c r="J4396" s="5">
        <f>70</f>
        <v>70</v>
      </c>
      <c r="K4396" s="5" t="s">
        <v>292</v>
      </c>
      <c r="L4396" s="5" t="s">
        <v>9249</v>
      </c>
      <c r="M4396" s="5">
        <v>12</v>
      </c>
      <c r="N4396" s="5" t="s">
        <v>9330</v>
      </c>
      <c r="O4396" s="5" t="s">
        <v>1640</v>
      </c>
      <c r="Q4396" s="5" t="s">
        <v>553</v>
      </c>
    </row>
    <row r="4397" spans="1:21" x14ac:dyDescent="0.2">
      <c r="A4397" s="5">
        <v>1102</v>
      </c>
      <c r="B4397" s="140" t="s">
        <v>9638</v>
      </c>
      <c r="H4397" s="8" t="s">
        <v>9639</v>
      </c>
      <c r="I4397" s="8" t="s">
        <v>9639</v>
      </c>
      <c r="J4397" s="5">
        <f>4</f>
        <v>4</v>
      </c>
      <c r="K4397" s="5" t="s">
        <v>292</v>
      </c>
      <c r="L4397" s="5" t="s">
        <v>9249</v>
      </c>
      <c r="M4397" s="5">
        <v>13</v>
      </c>
      <c r="N4397" s="5" t="s">
        <v>8053</v>
      </c>
      <c r="O4397" s="5" t="s">
        <v>1640</v>
      </c>
      <c r="Q4397" s="5" t="s">
        <v>553</v>
      </c>
    </row>
    <row r="4398" spans="1:21" x14ac:dyDescent="0.2">
      <c r="A4398" s="5">
        <v>1103</v>
      </c>
      <c r="B4398" s="140" t="s">
        <v>9640</v>
      </c>
      <c r="H4398" s="8" t="s">
        <v>9641</v>
      </c>
      <c r="I4398" s="8" t="s">
        <v>9641</v>
      </c>
      <c r="J4398" s="5">
        <f>3-1</f>
        <v>2</v>
      </c>
      <c r="K4398" s="5" t="s">
        <v>292</v>
      </c>
      <c r="L4398" s="5" t="s">
        <v>9249</v>
      </c>
      <c r="M4398" s="5">
        <v>13</v>
      </c>
      <c r="N4398" s="5" t="s">
        <v>8053</v>
      </c>
      <c r="O4398" s="5" t="s">
        <v>1640</v>
      </c>
    </row>
    <row r="4399" spans="1:21" x14ac:dyDescent="0.2">
      <c r="A4399" s="5">
        <v>1104</v>
      </c>
      <c r="B4399" s="140" t="s">
        <v>9642</v>
      </c>
      <c r="H4399" s="8" t="s">
        <v>9643</v>
      </c>
      <c r="I4399" s="8" t="s">
        <v>9643</v>
      </c>
      <c r="J4399" s="5">
        <v>1</v>
      </c>
      <c r="K4399" s="5" t="s">
        <v>292</v>
      </c>
      <c r="L4399" s="5" t="s">
        <v>9249</v>
      </c>
      <c r="M4399" s="5">
        <v>13</v>
      </c>
      <c r="N4399" s="5" t="s">
        <v>9644</v>
      </c>
      <c r="O4399" s="5" t="s">
        <v>1640</v>
      </c>
      <c r="Q4399" s="5" t="s">
        <v>9645</v>
      </c>
    </row>
    <row r="4400" spans="1:21" x14ac:dyDescent="0.2">
      <c r="A4400" s="5">
        <v>1105</v>
      </c>
      <c r="H4400" s="8" t="s">
        <v>9639</v>
      </c>
      <c r="I4400" s="8" t="s">
        <v>9639</v>
      </c>
      <c r="J4400" s="5">
        <v>0</v>
      </c>
      <c r="K4400" s="5" t="s">
        <v>292</v>
      </c>
      <c r="L4400" s="5" t="s">
        <v>9249</v>
      </c>
      <c r="M4400" s="5">
        <v>13</v>
      </c>
      <c r="N4400" s="5" t="s">
        <v>8053</v>
      </c>
      <c r="O4400" s="5" t="s">
        <v>1640</v>
      </c>
      <c r="Q4400" s="5" t="s">
        <v>9311</v>
      </c>
    </row>
    <row r="4401" spans="1:21" x14ac:dyDescent="0.2">
      <c r="A4401" s="5">
        <v>1106</v>
      </c>
      <c r="B4401" s="140" t="s">
        <v>9646</v>
      </c>
      <c r="H4401" s="8" t="s">
        <v>9647</v>
      </c>
      <c r="I4401" s="8" t="s">
        <v>9648</v>
      </c>
      <c r="J4401" s="5">
        <f>1</f>
        <v>1</v>
      </c>
      <c r="K4401" s="5" t="s">
        <v>292</v>
      </c>
      <c r="L4401" s="5" t="s">
        <v>9249</v>
      </c>
      <c r="M4401" s="5">
        <v>13</v>
      </c>
      <c r="N4401" s="5" t="s">
        <v>8053</v>
      </c>
      <c r="O4401" s="5" t="s">
        <v>1640</v>
      </c>
      <c r="Q4401" s="5" t="s">
        <v>9649</v>
      </c>
    </row>
    <row r="4402" spans="1:21" x14ac:dyDescent="0.2">
      <c r="A4402" s="5">
        <v>1107</v>
      </c>
      <c r="B4402" s="140" t="s">
        <v>9650</v>
      </c>
      <c r="H4402" s="8" t="s">
        <v>9651</v>
      </c>
      <c r="I4402" s="8" t="s">
        <v>9652</v>
      </c>
      <c r="J4402" s="5">
        <v>19</v>
      </c>
      <c r="K4402" s="5" t="s">
        <v>292</v>
      </c>
      <c r="L4402" s="5" t="s">
        <v>9249</v>
      </c>
      <c r="M4402" s="5">
        <v>13</v>
      </c>
      <c r="N4402" s="5" t="s">
        <v>5586</v>
      </c>
      <c r="O4402" s="5" t="s">
        <v>1640</v>
      </c>
      <c r="Q4402" s="5" t="s">
        <v>553</v>
      </c>
    </row>
    <row r="4403" spans="1:21" x14ac:dyDescent="0.2">
      <c r="A4403" s="5"/>
      <c r="B4403" s="140" t="s">
        <v>9653</v>
      </c>
      <c r="H4403" s="8" t="s">
        <v>9654</v>
      </c>
      <c r="I4403" s="8" t="s">
        <v>9654</v>
      </c>
      <c r="J4403" s="5">
        <f>1+3</f>
        <v>4</v>
      </c>
      <c r="K4403" s="5" t="s">
        <v>292</v>
      </c>
      <c r="L4403" s="5" t="s">
        <v>9249</v>
      </c>
      <c r="M4403" s="5">
        <v>14</v>
      </c>
      <c r="N4403" s="5" t="s">
        <v>8053</v>
      </c>
    </row>
    <row r="4404" spans="1:21" x14ac:dyDescent="0.2">
      <c r="A4404" s="5">
        <v>925</v>
      </c>
      <c r="B4404" s="8" t="s">
        <v>9655</v>
      </c>
      <c r="H4404" s="8" t="s">
        <v>9656</v>
      </c>
      <c r="I4404" s="8" t="s">
        <v>9656</v>
      </c>
      <c r="J4404" s="5">
        <v>10</v>
      </c>
      <c r="K4404" s="5" t="s">
        <v>292</v>
      </c>
      <c r="L4404" s="5" t="s">
        <v>9249</v>
      </c>
      <c r="M4404" s="5">
        <v>14</v>
      </c>
      <c r="N4404" s="5" t="s">
        <v>8053</v>
      </c>
      <c r="O4404" s="5" t="s">
        <v>1640</v>
      </c>
      <c r="Q4404" s="5" t="s">
        <v>9657</v>
      </c>
    </row>
    <row r="4405" spans="1:21" x14ac:dyDescent="0.2">
      <c r="A4405" s="5">
        <v>926</v>
      </c>
      <c r="B4405" s="140" t="s">
        <v>9658</v>
      </c>
      <c r="H4405" s="8" t="s">
        <v>9659</v>
      </c>
      <c r="I4405" s="8" t="s">
        <v>9659</v>
      </c>
      <c r="J4405" s="5">
        <v>1</v>
      </c>
      <c r="K4405" s="5" t="s">
        <v>292</v>
      </c>
      <c r="L4405" s="5" t="s">
        <v>9249</v>
      </c>
      <c r="M4405" s="5">
        <v>14</v>
      </c>
      <c r="N4405" s="5" t="s">
        <v>8053</v>
      </c>
      <c r="O4405" s="5" t="s">
        <v>1640</v>
      </c>
      <c r="Q4405" s="5" t="s">
        <v>553</v>
      </c>
      <c r="R4405" s="5" t="s">
        <v>9658</v>
      </c>
    </row>
    <row r="4406" spans="1:21" x14ac:dyDescent="0.2">
      <c r="A4406" s="5">
        <v>927</v>
      </c>
      <c r="B4406" s="140" t="s">
        <v>9660</v>
      </c>
      <c r="H4406" s="8" t="s">
        <v>9661</v>
      </c>
      <c r="I4406" s="8" t="s">
        <v>9661</v>
      </c>
      <c r="J4406" s="5">
        <v>5</v>
      </c>
      <c r="K4406" s="5" t="s">
        <v>292</v>
      </c>
      <c r="L4406" s="5" t="s">
        <v>9249</v>
      </c>
      <c r="M4406" s="5">
        <v>14</v>
      </c>
      <c r="N4406" s="5" t="s">
        <v>8053</v>
      </c>
      <c r="O4406" s="5" t="s">
        <v>1640</v>
      </c>
      <c r="Q4406" s="5" t="s">
        <v>9662</v>
      </c>
    </row>
    <row r="4407" spans="1:21" x14ac:dyDescent="0.2">
      <c r="A4407" s="5">
        <v>928</v>
      </c>
      <c r="B4407" s="8" t="s">
        <v>9663</v>
      </c>
      <c r="H4407" s="8" t="s">
        <v>9664</v>
      </c>
      <c r="I4407" s="8" t="s">
        <v>9664</v>
      </c>
      <c r="J4407" s="5">
        <v>4</v>
      </c>
      <c r="K4407" s="5" t="s">
        <v>292</v>
      </c>
      <c r="L4407" s="5" t="s">
        <v>9249</v>
      </c>
      <c r="M4407" s="5">
        <v>14</v>
      </c>
      <c r="N4407" s="5" t="s">
        <v>8053</v>
      </c>
      <c r="O4407" s="5" t="s">
        <v>1640</v>
      </c>
      <c r="Q4407" s="5" t="s">
        <v>9665</v>
      </c>
    </row>
    <row r="4408" spans="1:21" x14ac:dyDescent="0.2">
      <c r="A4408" s="5"/>
      <c r="B4408" s="140" t="s">
        <v>9666</v>
      </c>
      <c r="H4408" s="8" t="s">
        <v>9667</v>
      </c>
      <c r="I4408" s="8" t="s">
        <v>9667</v>
      </c>
      <c r="J4408" s="5">
        <f>23</f>
        <v>23</v>
      </c>
      <c r="K4408" s="5" t="s">
        <v>21</v>
      </c>
      <c r="L4408" s="5" t="s">
        <v>9249</v>
      </c>
      <c r="M4408" s="5">
        <v>14</v>
      </c>
      <c r="N4408" s="5" t="s">
        <v>8231</v>
      </c>
      <c r="O4408" s="5" t="s">
        <v>1640</v>
      </c>
      <c r="U4408" t="s">
        <v>321</v>
      </c>
    </row>
    <row r="4409" spans="1:21" x14ac:dyDescent="0.2">
      <c r="A4409" s="5"/>
      <c r="B4409" s="140" t="s">
        <v>9668</v>
      </c>
      <c r="I4409" s="8" t="s">
        <v>9669</v>
      </c>
      <c r="J4409" s="5">
        <f>10</f>
        <v>10</v>
      </c>
      <c r="K4409" s="5" t="s">
        <v>21</v>
      </c>
      <c r="L4409" s="5" t="s">
        <v>9249</v>
      </c>
      <c r="M4409" s="5">
        <v>14</v>
      </c>
    </row>
    <row r="4410" spans="1:21" x14ac:dyDescent="0.2">
      <c r="A4410" s="5"/>
      <c r="B4410" s="8" t="s">
        <v>9670</v>
      </c>
      <c r="H4410" s="8" t="s">
        <v>9667</v>
      </c>
      <c r="I4410" s="8" t="s">
        <v>9671</v>
      </c>
      <c r="J4410" s="5">
        <v>26</v>
      </c>
      <c r="K4410" s="5" t="s">
        <v>21</v>
      </c>
      <c r="L4410" s="5" t="s">
        <v>9249</v>
      </c>
      <c r="M4410" s="5">
        <v>14</v>
      </c>
      <c r="N4410" s="5" t="s">
        <v>8231</v>
      </c>
      <c r="O4410" s="5" t="s">
        <v>1640</v>
      </c>
    </row>
    <row r="4411" spans="1:21" x14ac:dyDescent="0.2">
      <c r="A4411" s="5">
        <v>921</v>
      </c>
      <c r="B4411" s="140" t="s">
        <v>9672</v>
      </c>
      <c r="H4411" s="8" t="s">
        <v>9673</v>
      </c>
      <c r="I4411" s="8" t="s">
        <v>9674</v>
      </c>
      <c r="J4411" s="5">
        <f>1</f>
        <v>1</v>
      </c>
      <c r="K4411" s="5" t="s">
        <v>292</v>
      </c>
      <c r="L4411" s="5" t="s">
        <v>9249</v>
      </c>
      <c r="M4411" s="5">
        <v>15</v>
      </c>
      <c r="N4411" s="5" t="s">
        <v>8053</v>
      </c>
      <c r="O4411" s="5" t="s">
        <v>1640</v>
      </c>
      <c r="Q4411" s="5" t="s">
        <v>553</v>
      </c>
      <c r="R4411" s="5" t="s">
        <v>9675</v>
      </c>
    </row>
    <row r="4412" spans="1:21" x14ac:dyDescent="0.2">
      <c r="A4412" s="5"/>
      <c r="B4412" s="140" t="s">
        <v>9676</v>
      </c>
      <c r="H4412" s="8" t="s">
        <v>9677</v>
      </c>
      <c r="I4412" s="8" t="s">
        <v>9677</v>
      </c>
      <c r="J4412" s="5">
        <v>3</v>
      </c>
      <c r="K4412" s="5" t="s">
        <v>292</v>
      </c>
      <c r="L4412" s="5" t="s">
        <v>9249</v>
      </c>
      <c r="M4412" s="5">
        <v>15</v>
      </c>
      <c r="N4412" s="5" t="s">
        <v>8053</v>
      </c>
      <c r="Q4412" s="107"/>
    </row>
    <row r="4413" spans="1:21" x14ac:dyDescent="0.2">
      <c r="A4413" s="5"/>
      <c r="B4413" s="140" t="s">
        <v>9678</v>
      </c>
      <c r="H4413" s="8" t="s">
        <v>9679</v>
      </c>
      <c r="I4413" s="8" t="s">
        <v>9679</v>
      </c>
      <c r="J4413" s="5">
        <v>2</v>
      </c>
      <c r="K4413" s="5" t="s">
        <v>292</v>
      </c>
      <c r="L4413" s="5" t="s">
        <v>9249</v>
      </c>
      <c r="M4413" s="5">
        <v>15</v>
      </c>
      <c r="N4413" s="5" t="s">
        <v>8053</v>
      </c>
    </row>
    <row r="4414" spans="1:21" x14ac:dyDescent="0.2">
      <c r="A4414" s="5"/>
      <c r="B4414" s="140" t="s">
        <v>9680</v>
      </c>
      <c r="H4414" s="8" t="s">
        <v>9681</v>
      </c>
      <c r="I4414" s="8" t="s">
        <v>9681</v>
      </c>
      <c r="J4414" s="5">
        <v>2</v>
      </c>
      <c r="K4414" s="5" t="s">
        <v>292</v>
      </c>
      <c r="L4414" s="5" t="s">
        <v>9249</v>
      </c>
      <c r="M4414" s="5">
        <v>15</v>
      </c>
      <c r="N4414" s="5" t="s">
        <v>8053</v>
      </c>
    </row>
    <row r="4415" spans="1:21" x14ac:dyDescent="0.2">
      <c r="A4415" s="5"/>
      <c r="B4415" s="140" t="s">
        <v>9682</v>
      </c>
      <c r="H4415" s="8" t="s">
        <v>9683</v>
      </c>
      <c r="I4415" s="8" t="s">
        <v>9683</v>
      </c>
      <c r="J4415" s="5">
        <v>4</v>
      </c>
      <c r="K4415" s="5" t="s">
        <v>292</v>
      </c>
      <c r="L4415" s="5" t="s">
        <v>9249</v>
      </c>
      <c r="M4415" s="5">
        <v>15</v>
      </c>
      <c r="N4415" s="5" t="s">
        <v>8053</v>
      </c>
    </row>
    <row r="4416" spans="1:21" x14ac:dyDescent="0.2">
      <c r="A4416" s="5"/>
      <c r="B4416" s="140" t="s">
        <v>9684</v>
      </c>
      <c r="H4416" s="8" t="s">
        <v>9685</v>
      </c>
      <c r="I4416" s="8" t="s">
        <v>9686</v>
      </c>
      <c r="J4416" s="5">
        <v>2</v>
      </c>
      <c r="K4416" s="5" t="s">
        <v>292</v>
      </c>
      <c r="L4416" s="5" t="s">
        <v>9249</v>
      </c>
      <c r="M4416" s="5">
        <v>15</v>
      </c>
      <c r="N4416" s="5" t="s">
        <v>8053</v>
      </c>
      <c r="P4416" s="8"/>
      <c r="Q4416" s="8"/>
      <c r="R4416" s="8"/>
      <c r="S4416" s="8"/>
      <c r="T4416" s="8"/>
    </row>
    <row r="4417" spans="1:18" x14ac:dyDescent="0.2">
      <c r="A4417" s="5"/>
      <c r="B4417" s="140" t="s">
        <v>9687</v>
      </c>
      <c r="H4417" s="8" t="s">
        <v>9688</v>
      </c>
      <c r="I4417" s="8" t="s">
        <v>9688</v>
      </c>
      <c r="J4417" s="5">
        <v>2</v>
      </c>
      <c r="K4417" s="5" t="s">
        <v>292</v>
      </c>
      <c r="L4417" s="5" t="s">
        <v>9249</v>
      </c>
      <c r="M4417" s="5">
        <v>15</v>
      </c>
      <c r="N4417" s="5" t="s">
        <v>8053</v>
      </c>
    </row>
    <row r="4418" spans="1:18" x14ac:dyDescent="0.2">
      <c r="A4418" s="5"/>
      <c r="B4418" s="140">
        <v>18010027</v>
      </c>
      <c r="H4418" s="8" t="s">
        <v>9689</v>
      </c>
      <c r="I4418" s="8" t="s">
        <v>9690</v>
      </c>
      <c r="J4418" s="5">
        <f>10-8-1-1</f>
        <v>0</v>
      </c>
      <c r="K4418" s="5" t="s">
        <v>292</v>
      </c>
      <c r="L4418" s="5" t="s">
        <v>9249</v>
      </c>
      <c r="M4418" s="5">
        <v>15</v>
      </c>
      <c r="N4418" s="5" t="s">
        <v>8053</v>
      </c>
    </row>
    <row r="4419" spans="1:18" x14ac:dyDescent="0.2">
      <c r="A4419" s="5">
        <v>934</v>
      </c>
      <c r="B4419" s="140"/>
      <c r="H4419" s="8" t="s">
        <v>9255</v>
      </c>
      <c r="I4419" s="8">
        <v>29221</v>
      </c>
      <c r="J4419" s="5">
        <f>0</f>
        <v>0</v>
      </c>
      <c r="K4419" s="5" t="s">
        <v>292</v>
      </c>
      <c r="L4419" s="5" t="s">
        <v>9249</v>
      </c>
      <c r="M4419" s="5">
        <v>16</v>
      </c>
      <c r="N4419" s="5" t="s">
        <v>8053</v>
      </c>
      <c r="O4419" s="5" t="s">
        <v>1640</v>
      </c>
      <c r="Q4419" s="5" t="s">
        <v>553</v>
      </c>
      <c r="R4419" s="5" t="s">
        <v>9691</v>
      </c>
    </row>
    <row r="4420" spans="1:18" x14ac:dyDescent="0.2">
      <c r="A4420" s="5">
        <v>1196</v>
      </c>
      <c r="B4420" s="8">
        <v>880408</v>
      </c>
      <c r="H4420" s="8" t="s">
        <v>9692</v>
      </c>
      <c r="I4420" s="8" t="s">
        <v>9693</v>
      </c>
      <c r="J4420" s="5">
        <f>26-18-3-3-2</f>
        <v>0</v>
      </c>
      <c r="K4420" s="5" t="s">
        <v>292</v>
      </c>
      <c r="L4420" s="5" t="s">
        <v>9249</v>
      </c>
      <c r="M4420" s="5">
        <v>16</v>
      </c>
      <c r="N4420" s="5" t="s">
        <v>43</v>
      </c>
      <c r="O4420" s="5" t="s">
        <v>1640</v>
      </c>
      <c r="Q4420" s="5" t="s">
        <v>9694</v>
      </c>
    </row>
    <row r="4421" spans="1:18" x14ac:dyDescent="0.2">
      <c r="A4421" s="5">
        <v>1198</v>
      </c>
      <c r="B4421" s="40" t="s">
        <v>9695</v>
      </c>
      <c r="H4421" s="8" t="s">
        <v>9696</v>
      </c>
      <c r="I4421" s="8" t="s">
        <v>9697</v>
      </c>
      <c r="J4421" s="5">
        <f>20-14+39-9-8-5</f>
        <v>23</v>
      </c>
      <c r="K4421" s="5" t="s">
        <v>292</v>
      </c>
      <c r="L4421" s="5" t="s">
        <v>9249</v>
      </c>
      <c r="M4421" s="5">
        <v>16</v>
      </c>
      <c r="N4421" s="5" t="s">
        <v>3971</v>
      </c>
      <c r="O4421" s="5" t="s">
        <v>1640</v>
      </c>
      <c r="Q4421" s="5" t="s">
        <v>9698</v>
      </c>
    </row>
    <row r="4422" spans="1:18" x14ac:dyDescent="0.2">
      <c r="A4422" s="5">
        <v>1199</v>
      </c>
      <c r="B4422" s="40" t="s">
        <v>9699</v>
      </c>
      <c r="H4422" s="8" t="s">
        <v>9700</v>
      </c>
      <c r="I4422" s="8" t="s">
        <v>9701</v>
      </c>
      <c r="J4422" s="5">
        <f>39-14-7-6+108-10-9-1-8-5</f>
        <v>87</v>
      </c>
      <c r="K4422" s="5" t="s">
        <v>292</v>
      </c>
      <c r="L4422" s="5" t="s">
        <v>9249</v>
      </c>
      <c r="M4422" s="5">
        <v>16</v>
      </c>
      <c r="N4422" s="5" t="s">
        <v>3971</v>
      </c>
      <c r="O4422" s="5" t="s">
        <v>1640</v>
      </c>
      <c r="Q4422" s="5" t="s">
        <v>9702</v>
      </c>
    </row>
    <row r="4423" spans="1:18" x14ac:dyDescent="0.2">
      <c r="A4423" s="5">
        <v>1200</v>
      </c>
      <c r="B4423" s="40" t="s">
        <v>9703</v>
      </c>
      <c r="H4423" s="8" t="s">
        <v>9704</v>
      </c>
      <c r="I4423" s="8" t="s">
        <v>9705</v>
      </c>
      <c r="J4423" s="5">
        <f>100-42+225-24-24-3-32-23-15</f>
        <v>162</v>
      </c>
      <c r="K4423" s="5" t="s">
        <v>292</v>
      </c>
      <c r="L4423" s="5" t="s">
        <v>9249</v>
      </c>
      <c r="M4423" s="5">
        <v>16</v>
      </c>
      <c r="N4423" s="5" t="s">
        <v>3971</v>
      </c>
      <c r="O4423" s="5" t="s">
        <v>1640</v>
      </c>
      <c r="Q4423" s="5" t="s">
        <v>9698</v>
      </c>
    </row>
    <row r="4424" spans="1:18" x14ac:dyDescent="0.2">
      <c r="A4424" s="5">
        <v>1202</v>
      </c>
      <c r="B4424" s="40" t="s">
        <v>3101</v>
      </c>
      <c r="H4424" s="8" t="s">
        <v>3102</v>
      </c>
      <c r="I4424" s="8" t="s">
        <v>3102</v>
      </c>
      <c r="J4424" s="5">
        <f>0</f>
        <v>0</v>
      </c>
      <c r="K4424" s="5" t="s">
        <v>292</v>
      </c>
      <c r="L4424" s="5" t="s">
        <v>9249</v>
      </c>
      <c r="M4424" s="5">
        <v>16</v>
      </c>
      <c r="N4424" s="5" t="s">
        <v>3099</v>
      </c>
      <c r="O4424" s="5" t="s">
        <v>1640</v>
      </c>
      <c r="Q4424" s="5" t="s">
        <v>553</v>
      </c>
    </row>
    <row r="4425" spans="1:18" x14ac:dyDescent="0.2">
      <c r="A4425" s="5">
        <v>1203</v>
      </c>
      <c r="B4425" s="40" t="s">
        <v>9706</v>
      </c>
      <c r="H4425" s="8" t="s">
        <v>9707</v>
      </c>
      <c r="I4425" s="8" t="s">
        <v>9708</v>
      </c>
      <c r="J4425" s="5">
        <f>45-45</f>
        <v>0</v>
      </c>
      <c r="K4425" s="5" t="s">
        <v>292</v>
      </c>
      <c r="L4425" s="5" t="s">
        <v>9249</v>
      </c>
      <c r="M4425" s="5">
        <v>16</v>
      </c>
      <c r="N4425" s="5" t="s">
        <v>57</v>
      </c>
      <c r="O4425" s="5" t="s">
        <v>1640</v>
      </c>
      <c r="Q4425" s="5" t="s">
        <v>9698</v>
      </c>
    </row>
    <row r="4426" spans="1:18" x14ac:dyDescent="0.2">
      <c r="A4426" s="5">
        <v>1204</v>
      </c>
      <c r="B4426" s="8" t="s">
        <v>9709</v>
      </c>
      <c r="H4426" s="8" t="s">
        <v>9710</v>
      </c>
      <c r="I4426" s="8" t="s">
        <v>9711</v>
      </c>
      <c r="J4426" s="5">
        <f>119-1-8-13</f>
        <v>97</v>
      </c>
      <c r="K4426" s="5" t="s">
        <v>292</v>
      </c>
      <c r="L4426" s="5" t="s">
        <v>9249</v>
      </c>
      <c r="M4426" s="5">
        <v>16</v>
      </c>
      <c r="N4426" s="5" t="s">
        <v>6923</v>
      </c>
      <c r="O4426" s="5" t="s">
        <v>1640</v>
      </c>
      <c r="Q4426" s="5" t="s">
        <v>553</v>
      </c>
    </row>
    <row r="4427" spans="1:18" x14ac:dyDescent="0.2">
      <c r="A4427" s="5">
        <v>1205</v>
      </c>
      <c r="B4427" s="40" t="s">
        <v>9712</v>
      </c>
      <c r="H4427" s="8" t="s">
        <v>9713</v>
      </c>
      <c r="I4427" s="8" t="s">
        <v>9714</v>
      </c>
      <c r="J4427" s="5">
        <f>48-14-34</f>
        <v>0</v>
      </c>
      <c r="K4427" s="5" t="s">
        <v>292</v>
      </c>
      <c r="L4427" s="5" t="s">
        <v>9249</v>
      </c>
      <c r="M4427" s="5">
        <v>16</v>
      </c>
      <c r="N4427" s="5" t="s">
        <v>3099</v>
      </c>
      <c r="O4427" s="5" t="s">
        <v>1640</v>
      </c>
      <c r="Q4427" s="5" t="s">
        <v>9715</v>
      </c>
    </row>
    <row r="4428" spans="1:18" x14ac:dyDescent="0.2">
      <c r="A4428" s="5">
        <v>1206</v>
      </c>
      <c r="B4428" s="8" t="s">
        <v>9716</v>
      </c>
      <c r="H4428" s="8" t="s">
        <v>9717</v>
      </c>
      <c r="I4428" s="8" t="s">
        <v>9718</v>
      </c>
      <c r="J4428" s="5">
        <f>107-9-11</f>
        <v>87</v>
      </c>
      <c r="K4428" s="5" t="s">
        <v>292</v>
      </c>
      <c r="L4428" s="5" t="s">
        <v>9249</v>
      </c>
      <c r="M4428" s="5">
        <v>16</v>
      </c>
      <c r="N4428" s="5" t="s">
        <v>9719</v>
      </c>
      <c r="O4428" s="5" t="s">
        <v>1640</v>
      </c>
      <c r="Q4428" s="5" t="s">
        <v>9720</v>
      </c>
    </row>
    <row r="4429" spans="1:18" x14ac:dyDescent="0.2">
      <c r="A4429" s="5"/>
      <c r="B4429" s="8" t="s">
        <v>9716</v>
      </c>
      <c r="I4429" s="8" t="s">
        <v>9721</v>
      </c>
      <c r="J4429" s="5">
        <f>468-88-55</f>
        <v>325</v>
      </c>
      <c r="K4429" s="5" t="s">
        <v>292</v>
      </c>
      <c r="L4429" s="5" t="s">
        <v>9249</v>
      </c>
      <c r="M4429" s="5">
        <v>16</v>
      </c>
    </row>
    <row r="4430" spans="1:18" x14ac:dyDescent="0.2">
      <c r="A4430" s="5"/>
      <c r="B4430" s="8" t="s">
        <v>9691</v>
      </c>
      <c r="H4430" s="8" t="s">
        <v>9722</v>
      </c>
      <c r="I4430" s="8" t="s">
        <v>9722</v>
      </c>
      <c r="J4430" s="5">
        <f>0</f>
        <v>0</v>
      </c>
      <c r="K4430" s="5" t="s">
        <v>292</v>
      </c>
      <c r="L4430" s="5" t="s">
        <v>9249</v>
      </c>
      <c r="M4430" s="5">
        <v>16</v>
      </c>
      <c r="N4430" s="5" t="s">
        <v>8053</v>
      </c>
    </row>
    <row r="4431" spans="1:18" x14ac:dyDescent="0.2">
      <c r="A4431" s="5">
        <v>895</v>
      </c>
      <c r="B4431" s="140" t="s">
        <v>9723</v>
      </c>
      <c r="H4431" s="8" t="s">
        <v>9724</v>
      </c>
      <c r="I4431" s="8" t="s">
        <v>9724</v>
      </c>
      <c r="J4431" s="5">
        <f>49</f>
        <v>49</v>
      </c>
      <c r="K4431" s="5" t="s">
        <v>292</v>
      </c>
      <c r="L4431" s="5" t="s">
        <v>9249</v>
      </c>
      <c r="M4431" s="5">
        <v>17</v>
      </c>
      <c r="N4431" s="5" t="s">
        <v>8053</v>
      </c>
      <c r="O4431" s="5" t="s">
        <v>1640</v>
      </c>
      <c r="Q4431" s="107" t="s">
        <v>9725</v>
      </c>
      <c r="R4431" s="5" t="s">
        <v>9726</v>
      </c>
    </row>
    <row r="4432" spans="1:18" x14ac:dyDescent="0.2">
      <c r="A4432" s="5">
        <v>896</v>
      </c>
      <c r="B4432" s="140" t="s">
        <v>9727</v>
      </c>
      <c r="H4432" s="8" t="s">
        <v>9728</v>
      </c>
      <c r="I4432" s="8" t="s">
        <v>9728</v>
      </c>
      <c r="J4432" s="5">
        <f>11-5-2-1-1</f>
        <v>2</v>
      </c>
      <c r="K4432" s="5" t="s">
        <v>292</v>
      </c>
      <c r="L4432" s="5" t="s">
        <v>9249</v>
      </c>
      <c r="M4432" s="5">
        <v>17</v>
      </c>
      <c r="N4432" s="5" t="s">
        <v>8053</v>
      </c>
      <c r="O4432" s="5" t="s">
        <v>1640</v>
      </c>
      <c r="Q4432" s="5" t="s">
        <v>553</v>
      </c>
      <c r="R4432" s="5" t="s">
        <v>9727</v>
      </c>
    </row>
    <row r="4433" spans="1:21" x14ac:dyDescent="0.2">
      <c r="A4433" s="5"/>
      <c r="B4433" s="140" t="s">
        <v>9729</v>
      </c>
      <c r="H4433" s="8" t="s">
        <v>9730</v>
      </c>
      <c r="I4433" s="8" t="s">
        <v>9730</v>
      </c>
      <c r="J4433" s="5">
        <f>1</f>
        <v>1</v>
      </c>
      <c r="K4433" s="5" t="s">
        <v>292</v>
      </c>
      <c r="L4433" s="5" t="s">
        <v>9249</v>
      </c>
      <c r="M4433" s="5">
        <v>18</v>
      </c>
      <c r="N4433" s="5" t="s">
        <v>8053</v>
      </c>
      <c r="Q4433" s="107" t="s">
        <v>9731</v>
      </c>
    </row>
    <row r="4434" spans="1:21" x14ac:dyDescent="0.2">
      <c r="A4434" s="5"/>
      <c r="B4434" s="140" t="s">
        <v>9732</v>
      </c>
      <c r="H4434" s="108" t="s">
        <v>9733</v>
      </c>
      <c r="I4434" s="108" t="s">
        <v>9733</v>
      </c>
      <c r="J4434" s="5">
        <f>2</f>
        <v>2</v>
      </c>
      <c r="K4434" s="5" t="s">
        <v>292</v>
      </c>
      <c r="L4434" s="5" t="s">
        <v>9249</v>
      </c>
      <c r="M4434" s="5">
        <v>18</v>
      </c>
      <c r="N4434" s="5" t="s">
        <v>8053</v>
      </c>
      <c r="Q4434" s="107" t="s">
        <v>9734</v>
      </c>
      <c r="U4434" t="s">
        <v>321</v>
      </c>
    </row>
    <row r="4435" spans="1:21" x14ac:dyDescent="0.2">
      <c r="A4435" s="5"/>
      <c r="B4435" s="140" t="s">
        <v>9735</v>
      </c>
      <c r="H4435" s="108" t="s">
        <v>9736</v>
      </c>
      <c r="I4435" s="108" t="s">
        <v>9736</v>
      </c>
      <c r="J4435" s="5">
        <f>2</f>
        <v>2</v>
      </c>
      <c r="K4435" s="5" t="s">
        <v>292</v>
      </c>
      <c r="L4435" s="5" t="s">
        <v>9249</v>
      </c>
      <c r="M4435" s="5">
        <v>18</v>
      </c>
      <c r="N4435" s="5" t="s">
        <v>8053</v>
      </c>
      <c r="Q4435" s="107" t="s">
        <v>9737</v>
      </c>
    </row>
    <row r="4436" spans="1:21" x14ac:dyDescent="0.2">
      <c r="A4436" s="5">
        <v>887</v>
      </c>
      <c r="B4436" s="140" t="s">
        <v>9738</v>
      </c>
      <c r="H4436" s="8" t="s">
        <v>9738</v>
      </c>
      <c r="I4436" s="8" t="s">
        <v>9738</v>
      </c>
      <c r="J4436" s="5">
        <v>0</v>
      </c>
      <c r="K4436" s="5" t="s">
        <v>292</v>
      </c>
      <c r="L4436" s="5" t="s">
        <v>9249</v>
      </c>
      <c r="M4436" s="5">
        <v>18</v>
      </c>
      <c r="N4436" s="5" t="s">
        <v>8053</v>
      </c>
      <c r="O4436" s="5" t="s">
        <v>1640</v>
      </c>
      <c r="Q4436" s="5" t="s">
        <v>9739</v>
      </c>
    </row>
    <row r="4437" spans="1:21" x14ac:dyDescent="0.2">
      <c r="A4437" s="5">
        <v>888</v>
      </c>
      <c r="B4437" s="140" t="s">
        <v>9740</v>
      </c>
      <c r="H4437" s="8" t="s">
        <v>9741</v>
      </c>
      <c r="I4437" s="8" t="s">
        <v>9741</v>
      </c>
      <c r="J4437" s="5">
        <v>5</v>
      </c>
      <c r="K4437" s="5" t="s">
        <v>292</v>
      </c>
      <c r="L4437" s="5" t="s">
        <v>9249</v>
      </c>
      <c r="M4437" s="5">
        <v>18</v>
      </c>
      <c r="N4437" s="5" t="s">
        <v>8053</v>
      </c>
      <c r="O4437" s="5" t="s">
        <v>1640</v>
      </c>
      <c r="Q4437" s="5" t="s">
        <v>553</v>
      </c>
      <c r="R4437" s="5" t="s">
        <v>9742</v>
      </c>
    </row>
    <row r="4438" spans="1:21" x14ac:dyDescent="0.2">
      <c r="A4438" s="5">
        <v>889</v>
      </c>
      <c r="B4438" s="140" t="s">
        <v>9743</v>
      </c>
      <c r="H4438" s="8" t="s">
        <v>9743</v>
      </c>
      <c r="I4438" s="8" t="s">
        <v>9744</v>
      </c>
      <c r="J4438" s="5">
        <f>6</f>
        <v>6</v>
      </c>
      <c r="K4438" s="5" t="s">
        <v>292</v>
      </c>
      <c r="L4438" s="5" t="s">
        <v>9249</v>
      </c>
      <c r="M4438" s="5">
        <v>18</v>
      </c>
      <c r="N4438" s="5" t="s">
        <v>8053</v>
      </c>
      <c r="O4438" s="5" t="s">
        <v>1640</v>
      </c>
      <c r="Q4438" s="5" t="s">
        <v>553</v>
      </c>
      <c r="R4438" s="5" t="s">
        <v>9745</v>
      </c>
    </row>
    <row r="4439" spans="1:21" x14ac:dyDescent="0.2">
      <c r="A4439" s="5">
        <v>890</v>
      </c>
      <c r="B4439" s="140" t="s">
        <v>9746</v>
      </c>
      <c r="H4439" s="8" t="s">
        <v>9747</v>
      </c>
      <c r="I4439" s="8" t="s">
        <v>9747</v>
      </c>
      <c r="J4439" s="5">
        <v>5</v>
      </c>
      <c r="K4439" s="5" t="s">
        <v>292</v>
      </c>
      <c r="L4439" s="5" t="s">
        <v>9249</v>
      </c>
      <c r="M4439" s="5">
        <v>18</v>
      </c>
      <c r="N4439" s="5" t="s">
        <v>8053</v>
      </c>
      <c r="O4439" s="5" t="s">
        <v>1640</v>
      </c>
      <c r="Q4439" s="5" t="s">
        <v>553</v>
      </c>
      <c r="R4439" s="5" t="s">
        <v>9746</v>
      </c>
    </row>
    <row r="4440" spans="1:21" x14ac:dyDescent="0.2">
      <c r="A4440" s="5">
        <v>891</v>
      </c>
      <c r="B4440" s="140" t="s">
        <v>9748</v>
      </c>
      <c r="H4440" s="8" t="s">
        <v>9749</v>
      </c>
      <c r="I4440" s="8" t="s">
        <v>9749</v>
      </c>
      <c r="J4440" s="5">
        <v>5</v>
      </c>
      <c r="K4440" s="5" t="s">
        <v>292</v>
      </c>
      <c r="L4440" s="5" t="s">
        <v>9249</v>
      </c>
      <c r="M4440" s="5">
        <v>18</v>
      </c>
      <c r="N4440" s="5" t="s">
        <v>8053</v>
      </c>
      <c r="O4440" s="5" t="s">
        <v>1640</v>
      </c>
      <c r="Q4440" s="5" t="s">
        <v>553</v>
      </c>
      <c r="R4440" s="5" t="s">
        <v>9750</v>
      </c>
    </row>
    <row r="4441" spans="1:21" x14ac:dyDescent="0.2">
      <c r="A4441" s="5">
        <v>1215</v>
      </c>
      <c r="B4441" s="8" t="s">
        <v>9751</v>
      </c>
      <c r="H4441" s="8" t="s">
        <v>9747</v>
      </c>
      <c r="I4441" s="8" t="s">
        <v>9747</v>
      </c>
      <c r="J4441" s="5">
        <v>5</v>
      </c>
      <c r="K4441" s="5" t="s">
        <v>292</v>
      </c>
      <c r="L4441" s="5" t="s">
        <v>9249</v>
      </c>
      <c r="M4441" s="5">
        <v>18</v>
      </c>
      <c r="N4441" s="5" t="s">
        <v>8053</v>
      </c>
      <c r="O4441" s="5" t="s">
        <v>1640</v>
      </c>
      <c r="Q4441" s="10" t="s">
        <v>553</v>
      </c>
    </row>
    <row r="4442" spans="1:21" x14ac:dyDescent="0.2">
      <c r="A4442" s="5"/>
      <c r="B4442" s="140" t="s">
        <v>9752</v>
      </c>
      <c r="H4442" s="8" t="s">
        <v>9753</v>
      </c>
      <c r="I4442" s="8" t="s">
        <v>9753</v>
      </c>
      <c r="J4442" s="5">
        <f>82</f>
        <v>82</v>
      </c>
      <c r="K4442" s="5" t="s">
        <v>292</v>
      </c>
      <c r="L4442" s="5" t="s">
        <v>9249</v>
      </c>
      <c r="M4442" s="5">
        <v>19</v>
      </c>
      <c r="N4442" s="5" t="s">
        <v>8053</v>
      </c>
      <c r="Q4442" s="10" t="s">
        <v>553</v>
      </c>
    </row>
    <row r="4443" spans="1:21" x14ac:dyDescent="0.2">
      <c r="A4443" s="5">
        <v>922</v>
      </c>
      <c r="B4443" s="140" t="s">
        <v>9754</v>
      </c>
      <c r="H4443" s="8" t="s">
        <v>9755</v>
      </c>
      <c r="I4443" s="8" t="s">
        <v>9755</v>
      </c>
      <c r="J4443" s="5">
        <f>97</f>
        <v>97</v>
      </c>
      <c r="K4443" s="5" t="s">
        <v>292</v>
      </c>
      <c r="L4443" s="5" t="s">
        <v>9249</v>
      </c>
      <c r="M4443" s="5">
        <v>19</v>
      </c>
      <c r="N4443" s="5" t="s">
        <v>43</v>
      </c>
      <c r="O4443" s="5" t="s">
        <v>1640</v>
      </c>
      <c r="Q4443" s="5" t="s">
        <v>553</v>
      </c>
      <c r="R4443" s="5" t="s">
        <v>9754</v>
      </c>
    </row>
    <row r="4444" spans="1:21" x14ac:dyDescent="0.2">
      <c r="A4444" s="5">
        <v>923</v>
      </c>
      <c r="B4444" s="140" t="s">
        <v>553</v>
      </c>
      <c r="H4444" s="8" t="s">
        <v>9756</v>
      </c>
      <c r="I4444" s="8" t="s">
        <v>9756</v>
      </c>
      <c r="J4444" s="5">
        <v>49</v>
      </c>
      <c r="K4444" s="5" t="s">
        <v>292</v>
      </c>
      <c r="L4444" s="5" t="s">
        <v>9249</v>
      </c>
      <c r="M4444" s="5">
        <v>19</v>
      </c>
      <c r="N4444" s="5" t="s">
        <v>43</v>
      </c>
      <c r="O4444" s="5" t="s">
        <v>1640</v>
      </c>
      <c r="Q4444" s="5" t="s">
        <v>553</v>
      </c>
      <c r="U4444" t="s">
        <v>2789</v>
      </c>
    </row>
    <row r="4445" spans="1:21" x14ac:dyDescent="0.2">
      <c r="A4445" s="5"/>
      <c r="B4445" s="140">
        <v>880410</v>
      </c>
      <c r="H4445" s="8" t="s">
        <v>9757</v>
      </c>
      <c r="I4445" s="8" t="s">
        <v>9757</v>
      </c>
      <c r="J4445" s="5">
        <v>174</v>
      </c>
      <c r="K4445" s="5" t="s">
        <v>292</v>
      </c>
      <c r="L4445" s="5" t="s">
        <v>9249</v>
      </c>
      <c r="M4445" s="5">
        <v>19</v>
      </c>
      <c r="N4445" s="5" t="s">
        <v>43</v>
      </c>
    </row>
    <row r="4446" spans="1:21" x14ac:dyDescent="0.2">
      <c r="A4446" s="5">
        <v>993</v>
      </c>
      <c r="B4446" s="8" t="s">
        <v>9758</v>
      </c>
      <c r="H4446" s="8" t="s">
        <v>9431</v>
      </c>
      <c r="I4446" s="8" t="s">
        <v>9431</v>
      </c>
      <c r="J4446" s="5">
        <v>12</v>
      </c>
      <c r="K4446" s="5" t="s">
        <v>292</v>
      </c>
      <c r="L4446" s="5" t="s">
        <v>9249</v>
      </c>
      <c r="M4446" s="5">
        <v>20</v>
      </c>
      <c r="N4446" s="5" t="s">
        <v>43</v>
      </c>
      <c r="O4446" s="5" t="s">
        <v>1640</v>
      </c>
      <c r="Q4446" s="5" t="s">
        <v>553</v>
      </c>
    </row>
    <row r="4447" spans="1:21" x14ac:dyDescent="0.2">
      <c r="A4447" s="5">
        <v>994</v>
      </c>
      <c r="B4447" s="8" t="s">
        <v>9759</v>
      </c>
      <c r="H4447" s="8" t="s">
        <v>9760</v>
      </c>
      <c r="I4447" s="8" t="s">
        <v>9760</v>
      </c>
      <c r="J4447" s="5">
        <v>4</v>
      </c>
      <c r="K4447" s="5" t="s">
        <v>292</v>
      </c>
      <c r="L4447" s="5" t="s">
        <v>9249</v>
      </c>
      <c r="M4447" s="5">
        <v>20</v>
      </c>
      <c r="N4447" s="5" t="s">
        <v>43</v>
      </c>
      <c r="O4447" s="5" t="s">
        <v>1640</v>
      </c>
      <c r="Q4447" s="5" t="s">
        <v>553</v>
      </c>
    </row>
    <row r="4448" spans="1:21" x14ac:dyDescent="0.2">
      <c r="A4448" s="5">
        <v>995</v>
      </c>
      <c r="B4448" s="8" t="s">
        <v>9761</v>
      </c>
      <c r="H4448" s="8" t="s">
        <v>9762</v>
      </c>
      <c r="I4448" s="8" t="s">
        <v>9762</v>
      </c>
      <c r="J4448" s="5">
        <v>37</v>
      </c>
      <c r="K4448" s="5" t="s">
        <v>292</v>
      </c>
      <c r="L4448" s="5" t="s">
        <v>9249</v>
      </c>
      <c r="M4448" s="5">
        <v>20</v>
      </c>
      <c r="N4448" s="5" t="s">
        <v>43</v>
      </c>
      <c r="O4448" s="5" t="s">
        <v>1640</v>
      </c>
      <c r="Q4448" s="5" t="s">
        <v>553</v>
      </c>
    </row>
    <row r="4449" spans="1:19" x14ac:dyDescent="0.2">
      <c r="A4449" s="5">
        <v>996</v>
      </c>
      <c r="B4449" s="8" t="s">
        <v>9763</v>
      </c>
      <c r="H4449" s="8" t="s">
        <v>9764</v>
      </c>
      <c r="I4449" s="8" t="s">
        <v>9764</v>
      </c>
      <c r="J4449" s="5">
        <v>36</v>
      </c>
      <c r="K4449" s="5" t="s">
        <v>292</v>
      </c>
      <c r="L4449" s="5" t="s">
        <v>9249</v>
      </c>
      <c r="M4449" s="5">
        <v>20</v>
      </c>
      <c r="N4449" s="5" t="s">
        <v>8053</v>
      </c>
      <c r="O4449" s="5" t="s">
        <v>1640</v>
      </c>
      <c r="Q4449" s="5" t="s">
        <v>553</v>
      </c>
    </row>
    <row r="4450" spans="1:19" x14ac:dyDescent="0.2">
      <c r="A4450" s="5">
        <v>997</v>
      </c>
      <c r="B4450" s="8" t="s">
        <v>9765</v>
      </c>
      <c r="H4450" s="8" t="s">
        <v>9766</v>
      </c>
      <c r="I4450" s="8" t="s">
        <v>9766</v>
      </c>
      <c r="J4450" s="5">
        <v>20</v>
      </c>
      <c r="K4450" s="5" t="s">
        <v>9767</v>
      </c>
      <c r="L4450" s="5" t="s">
        <v>9249</v>
      </c>
      <c r="M4450" s="5">
        <v>20</v>
      </c>
      <c r="N4450" s="5" t="s">
        <v>8053</v>
      </c>
      <c r="O4450" s="5" t="s">
        <v>1640</v>
      </c>
      <c r="Q4450" s="5" t="s">
        <v>553</v>
      </c>
    </row>
    <row r="4451" spans="1:19" x14ac:dyDescent="0.2">
      <c r="A4451" s="5">
        <v>998</v>
      </c>
      <c r="B4451" s="8" t="s">
        <v>9768</v>
      </c>
      <c r="H4451" s="8" t="s">
        <v>9769</v>
      </c>
      <c r="I4451" s="8" t="s">
        <v>9769</v>
      </c>
      <c r="J4451" s="5">
        <v>25</v>
      </c>
      <c r="K4451" s="5" t="s">
        <v>292</v>
      </c>
      <c r="L4451" s="5" t="s">
        <v>9249</v>
      </c>
      <c r="M4451" s="5">
        <v>20</v>
      </c>
      <c r="N4451" s="5" t="s">
        <v>8053</v>
      </c>
      <c r="O4451" s="5" t="s">
        <v>1640</v>
      </c>
      <c r="Q4451" s="5" t="s">
        <v>553</v>
      </c>
    </row>
    <row r="4452" spans="1:19" x14ac:dyDescent="0.2">
      <c r="A4452" s="5">
        <v>999</v>
      </c>
      <c r="B4452" s="8" t="s">
        <v>9770</v>
      </c>
      <c r="H4452" s="8" t="s">
        <v>9771</v>
      </c>
      <c r="I4452" s="8" t="s">
        <v>9771</v>
      </c>
      <c r="J4452" s="5">
        <v>8</v>
      </c>
      <c r="K4452" s="5" t="s">
        <v>292</v>
      </c>
      <c r="L4452" s="5" t="s">
        <v>9249</v>
      </c>
      <c r="M4452" s="5">
        <v>20</v>
      </c>
      <c r="N4452" s="5" t="s">
        <v>8053</v>
      </c>
      <c r="O4452" s="5" t="s">
        <v>1640</v>
      </c>
      <c r="Q4452" s="5" t="s">
        <v>553</v>
      </c>
    </row>
    <row r="4453" spans="1:19" x14ac:dyDescent="0.2">
      <c r="A4453" s="5">
        <v>1000</v>
      </c>
      <c r="B4453" s="8" t="s">
        <v>9772</v>
      </c>
      <c r="H4453" s="8" t="s">
        <v>9773</v>
      </c>
      <c r="I4453" s="8" t="s">
        <v>9773</v>
      </c>
      <c r="J4453" s="5">
        <v>13</v>
      </c>
      <c r="K4453" s="5" t="s">
        <v>292</v>
      </c>
      <c r="L4453" s="5" t="s">
        <v>9249</v>
      </c>
      <c r="M4453" s="5">
        <v>20</v>
      </c>
      <c r="N4453" s="5" t="s">
        <v>8053</v>
      </c>
      <c r="O4453" s="5" t="s">
        <v>1640</v>
      </c>
      <c r="Q4453" s="5" t="s">
        <v>553</v>
      </c>
    </row>
    <row r="4454" spans="1:19" x14ac:dyDescent="0.2">
      <c r="A4454" s="5">
        <v>1001</v>
      </c>
      <c r="B4454" s="8" t="s">
        <v>9774</v>
      </c>
      <c r="H4454" s="8" t="s">
        <v>9775</v>
      </c>
      <c r="I4454" s="8" t="s">
        <v>9775</v>
      </c>
      <c r="J4454" s="5">
        <v>38</v>
      </c>
      <c r="K4454" s="5" t="s">
        <v>292</v>
      </c>
      <c r="L4454" s="5" t="s">
        <v>9249</v>
      </c>
      <c r="M4454" s="5">
        <v>20</v>
      </c>
      <c r="N4454" s="5" t="s">
        <v>8053</v>
      </c>
      <c r="O4454" s="5" t="s">
        <v>1640</v>
      </c>
      <c r="Q4454" s="5" t="s">
        <v>553</v>
      </c>
    </row>
    <row r="4455" spans="1:19" x14ac:dyDescent="0.2">
      <c r="A4455" s="5">
        <v>1208</v>
      </c>
      <c r="H4455" s="8" t="s">
        <v>9776</v>
      </c>
      <c r="I4455" s="8" t="s">
        <v>9776</v>
      </c>
      <c r="J4455" s="5">
        <v>1</v>
      </c>
      <c r="K4455" s="5" t="s">
        <v>292</v>
      </c>
      <c r="L4455" s="5" t="s">
        <v>9249</v>
      </c>
      <c r="M4455" s="5">
        <v>20</v>
      </c>
      <c r="N4455" s="5" t="s">
        <v>9330</v>
      </c>
      <c r="O4455" s="5" t="s">
        <v>1640</v>
      </c>
      <c r="S4455" s="5" t="s">
        <v>1139</v>
      </c>
    </row>
    <row r="4456" spans="1:19" x14ac:dyDescent="0.2">
      <c r="A4456" s="5">
        <v>1209</v>
      </c>
      <c r="H4456" s="8" t="s">
        <v>9777</v>
      </c>
      <c r="I4456" s="8" t="s">
        <v>9777</v>
      </c>
      <c r="J4456" s="5">
        <v>54</v>
      </c>
      <c r="K4456" s="5" t="s">
        <v>292</v>
      </c>
      <c r="L4456" s="5" t="s">
        <v>9249</v>
      </c>
      <c r="M4456" s="5">
        <v>20</v>
      </c>
      <c r="N4456" s="5" t="s">
        <v>9330</v>
      </c>
      <c r="O4456" s="5" t="s">
        <v>1640</v>
      </c>
      <c r="S4456" s="5" t="s">
        <v>1139</v>
      </c>
    </row>
    <row r="4457" spans="1:19" x14ac:dyDescent="0.2">
      <c r="A4457" s="5">
        <v>1210</v>
      </c>
      <c r="H4457" s="8" t="s">
        <v>9778</v>
      </c>
      <c r="I4457" s="8" t="s">
        <v>9778</v>
      </c>
      <c r="J4457" s="5">
        <v>26</v>
      </c>
      <c r="K4457" s="5" t="s">
        <v>292</v>
      </c>
      <c r="L4457" s="5" t="s">
        <v>9249</v>
      </c>
      <c r="M4457" s="5">
        <v>20</v>
      </c>
      <c r="N4457" s="5" t="s">
        <v>9330</v>
      </c>
      <c r="O4457" s="5" t="s">
        <v>1640</v>
      </c>
      <c r="S4457" s="5" t="s">
        <v>1139</v>
      </c>
    </row>
    <row r="4458" spans="1:19" x14ac:dyDescent="0.2">
      <c r="A4458" s="5">
        <v>1211</v>
      </c>
      <c r="B4458" s="8" t="s">
        <v>9779</v>
      </c>
      <c r="H4458" s="8" t="s">
        <v>9780</v>
      </c>
      <c r="I4458" s="8" t="s">
        <v>9780</v>
      </c>
      <c r="J4458" s="5">
        <v>10</v>
      </c>
      <c r="K4458" s="5" t="s">
        <v>292</v>
      </c>
      <c r="L4458" s="5" t="s">
        <v>9249</v>
      </c>
      <c r="M4458" s="5">
        <v>20</v>
      </c>
      <c r="N4458" s="5" t="s">
        <v>9330</v>
      </c>
      <c r="O4458" s="5" t="s">
        <v>1640</v>
      </c>
      <c r="S4458" s="5" t="s">
        <v>1139</v>
      </c>
    </row>
    <row r="4459" spans="1:19" x14ac:dyDescent="0.2">
      <c r="A4459" s="5">
        <v>1212</v>
      </c>
      <c r="B4459" s="8" t="s">
        <v>9781</v>
      </c>
      <c r="H4459" s="8" t="s">
        <v>9782</v>
      </c>
      <c r="I4459" s="8" t="s">
        <v>9782</v>
      </c>
      <c r="J4459" s="5">
        <v>11</v>
      </c>
      <c r="K4459" s="5" t="s">
        <v>292</v>
      </c>
      <c r="L4459" s="5" t="s">
        <v>9249</v>
      </c>
      <c r="M4459" s="5">
        <v>20</v>
      </c>
      <c r="N4459" s="5" t="s">
        <v>9330</v>
      </c>
      <c r="O4459" s="5" t="s">
        <v>1640</v>
      </c>
      <c r="S4459" s="5" t="s">
        <v>1139</v>
      </c>
    </row>
    <row r="4460" spans="1:19" x14ac:dyDescent="0.2">
      <c r="A4460" s="5">
        <v>897</v>
      </c>
      <c r="B4460" s="8" t="s">
        <v>9783</v>
      </c>
      <c r="H4460" s="8" t="s">
        <v>9784</v>
      </c>
      <c r="I4460" s="8" t="s">
        <v>9785</v>
      </c>
      <c r="J4460" s="5">
        <v>2</v>
      </c>
      <c r="K4460" s="5" t="s">
        <v>292</v>
      </c>
      <c r="L4460" s="5" t="s">
        <v>9249</v>
      </c>
      <c r="M4460" s="5">
        <v>21</v>
      </c>
      <c r="N4460" s="5" t="s">
        <v>8053</v>
      </c>
      <c r="O4460" s="5" t="s">
        <v>1640</v>
      </c>
      <c r="Q4460" s="5" t="s">
        <v>9786</v>
      </c>
    </row>
    <row r="4461" spans="1:19" x14ac:dyDescent="0.2">
      <c r="A4461" s="5">
        <v>898</v>
      </c>
      <c r="B4461" s="8" t="s">
        <v>9787</v>
      </c>
      <c r="H4461" s="8" t="s">
        <v>9788</v>
      </c>
      <c r="I4461" s="8" t="s">
        <v>9788</v>
      </c>
      <c r="J4461" s="5">
        <v>36</v>
      </c>
      <c r="K4461" s="5" t="s">
        <v>292</v>
      </c>
      <c r="L4461" s="5" t="s">
        <v>9249</v>
      </c>
      <c r="M4461" s="5">
        <v>21</v>
      </c>
      <c r="N4461" s="5" t="s">
        <v>8053</v>
      </c>
      <c r="O4461" s="5" t="s">
        <v>1640</v>
      </c>
      <c r="Q4461" s="5" t="s">
        <v>553</v>
      </c>
      <c r="R4461" s="5" t="s">
        <v>9726</v>
      </c>
    </row>
    <row r="4462" spans="1:19" x14ac:dyDescent="0.2">
      <c r="A4462" s="5">
        <v>899</v>
      </c>
      <c r="B4462" s="8" t="s">
        <v>9783</v>
      </c>
      <c r="H4462" s="8" t="s">
        <v>9784</v>
      </c>
      <c r="I4462" s="8" t="s">
        <v>9785</v>
      </c>
      <c r="J4462" s="5">
        <v>2</v>
      </c>
      <c r="K4462" s="5" t="s">
        <v>292</v>
      </c>
      <c r="L4462" s="5" t="s">
        <v>9249</v>
      </c>
      <c r="M4462" s="5">
        <v>21</v>
      </c>
      <c r="N4462" s="5" t="s">
        <v>8053</v>
      </c>
      <c r="O4462" s="5" t="s">
        <v>1640</v>
      </c>
      <c r="Q4462" s="5" t="s">
        <v>9789</v>
      </c>
    </row>
    <row r="4463" spans="1:19" x14ac:dyDescent="0.2">
      <c r="A4463" s="5">
        <v>900</v>
      </c>
      <c r="B4463" s="8" t="s">
        <v>9790</v>
      </c>
      <c r="H4463" s="8" t="s">
        <v>9791</v>
      </c>
      <c r="I4463" s="8" t="s">
        <v>9791</v>
      </c>
      <c r="J4463" s="5">
        <v>1</v>
      </c>
      <c r="K4463" s="5" t="s">
        <v>292</v>
      </c>
      <c r="L4463" s="5" t="s">
        <v>9249</v>
      </c>
      <c r="M4463" s="5">
        <v>21</v>
      </c>
      <c r="N4463" s="5" t="s">
        <v>8053</v>
      </c>
      <c r="O4463" s="5" t="s">
        <v>1640</v>
      </c>
      <c r="Q4463" s="5" t="s">
        <v>9789</v>
      </c>
    </row>
    <row r="4464" spans="1:19" x14ac:dyDescent="0.2">
      <c r="A4464" s="5">
        <v>901</v>
      </c>
      <c r="B4464" s="8" t="s">
        <v>9792</v>
      </c>
      <c r="H4464" s="8" t="s">
        <v>9793</v>
      </c>
      <c r="I4464" s="8" t="s">
        <v>9793</v>
      </c>
      <c r="J4464" s="5">
        <v>35</v>
      </c>
      <c r="K4464" s="5" t="s">
        <v>292</v>
      </c>
      <c r="L4464" s="5" t="s">
        <v>9249</v>
      </c>
      <c r="M4464" s="5">
        <v>21</v>
      </c>
      <c r="N4464" s="5" t="s">
        <v>8053</v>
      </c>
      <c r="O4464" s="5" t="s">
        <v>1640</v>
      </c>
      <c r="Q4464" s="5" t="s">
        <v>9794</v>
      </c>
    </row>
    <row r="4465" spans="1:17" x14ac:dyDescent="0.2">
      <c r="A4465" s="5">
        <v>1108</v>
      </c>
      <c r="B4465" s="8" t="s">
        <v>9795</v>
      </c>
      <c r="H4465" s="8" t="s">
        <v>9796</v>
      </c>
      <c r="I4465" s="8" t="s">
        <v>9796</v>
      </c>
      <c r="J4465" s="5">
        <v>8</v>
      </c>
      <c r="K4465" s="5" t="s">
        <v>292</v>
      </c>
      <c r="L4465" s="5" t="s">
        <v>9249</v>
      </c>
      <c r="M4465" s="5">
        <v>22</v>
      </c>
      <c r="N4465" s="5" t="s">
        <v>8053</v>
      </c>
      <c r="O4465" s="5" t="s">
        <v>1640</v>
      </c>
      <c r="Q4465" s="5" t="s">
        <v>553</v>
      </c>
    </row>
    <row r="4466" spans="1:17" x14ac:dyDescent="0.2">
      <c r="A4466" s="5">
        <v>1109</v>
      </c>
      <c r="B4466" s="8" t="s">
        <v>9797</v>
      </c>
      <c r="H4466" s="8" t="s">
        <v>9798</v>
      </c>
      <c r="I4466" s="8" t="s">
        <v>9798</v>
      </c>
      <c r="J4466" s="5">
        <v>11</v>
      </c>
      <c r="K4466" s="5" t="s">
        <v>292</v>
      </c>
      <c r="L4466" s="5" t="s">
        <v>9249</v>
      </c>
      <c r="M4466" s="5">
        <v>22</v>
      </c>
      <c r="N4466" s="5" t="s">
        <v>8053</v>
      </c>
      <c r="O4466" s="5" t="s">
        <v>1640</v>
      </c>
      <c r="Q4466" s="5" t="s">
        <v>553</v>
      </c>
    </row>
    <row r="4467" spans="1:17" x14ac:dyDescent="0.2">
      <c r="A4467" s="5">
        <v>1110</v>
      </c>
      <c r="B4467" s="8" t="s">
        <v>9799</v>
      </c>
      <c r="H4467" s="8" t="s">
        <v>9800</v>
      </c>
      <c r="I4467" s="8" t="s">
        <v>9800</v>
      </c>
      <c r="J4467" s="5">
        <v>8</v>
      </c>
      <c r="K4467" s="5" t="s">
        <v>292</v>
      </c>
      <c r="L4467" s="5" t="s">
        <v>9249</v>
      </c>
      <c r="M4467" s="5">
        <v>22</v>
      </c>
      <c r="N4467" s="5" t="s">
        <v>8053</v>
      </c>
      <c r="O4467" s="5" t="s">
        <v>1640</v>
      </c>
      <c r="Q4467" s="5" t="s">
        <v>9801</v>
      </c>
    </row>
    <row r="4468" spans="1:17" x14ac:dyDescent="0.2">
      <c r="A4468" s="5">
        <v>1111</v>
      </c>
      <c r="B4468" s="8" t="s">
        <v>9802</v>
      </c>
      <c r="H4468" s="8" t="s">
        <v>9802</v>
      </c>
      <c r="I4468" s="8" t="s">
        <v>9802</v>
      </c>
      <c r="J4468" s="5">
        <v>8</v>
      </c>
      <c r="K4468" s="5" t="s">
        <v>292</v>
      </c>
      <c r="L4468" s="5" t="s">
        <v>9249</v>
      </c>
      <c r="M4468" s="5">
        <v>22</v>
      </c>
      <c r="N4468" s="5" t="s">
        <v>8053</v>
      </c>
      <c r="O4468" s="5" t="s">
        <v>1640</v>
      </c>
      <c r="Q4468" s="5" t="s">
        <v>9801</v>
      </c>
    </row>
    <row r="4469" spans="1:17" x14ac:dyDescent="0.2">
      <c r="A4469" s="5">
        <v>1112</v>
      </c>
      <c r="B4469" s="8" t="s">
        <v>9803</v>
      </c>
      <c r="H4469" s="8" t="s">
        <v>9804</v>
      </c>
      <c r="I4469" s="8" t="s">
        <v>9804</v>
      </c>
      <c r="J4469" s="5">
        <v>8</v>
      </c>
      <c r="K4469" s="5" t="s">
        <v>292</v>
      </c>
      <c r="L4469" s="5" t="s">
        <v>9249</v>
      </c>
      <c r="M4469" s="5">
        <v>22</v>
      </c>
      <c r="N4469" s="5" t="s">
        <v>8053</v>
      </c>
      <c r="O4469" s="5" t="s">
        <v>1640</v>
      </c>
      <c r="Q4469" s="5" t="s">
        <v>9801</v>
      </c>
    </row>
    <row r="4470" spans="1:17" x14ac:dyDescent="0.2">
      <c r="A4470" s="5">
        <v>1113</v>
      </c>
      <c r="B4470" s="34" t="s">
        <v>9805</v>
      </c>
      <c r="H4470" s="8" t="s">
        <v>9806</v>
      </c>
      <c r="I4470" s="8" t="s">
        <v>9806</v>
      </c>
      <c r="J4470" s="5">
        <v>6</v>
      </c>
      <c r="K4470" s="5" t="s">
        <v>292</v>
      </c>
      <c r="L4470" s="5" t="s">
        <v>9249</v>
      </c>
      <c r="M4470" s="5">
        <v>22</v>
      </c>
      <c r="N4470" s="5" t="s">
        <v>8053</v>
      </c>
      <c r="O4470" s="5" t="s">
        <v>1640</v>
      </c>
      <c r="Q4470" s="5" t="s">
        <v>9801</v>
      </c>
    </row>
    <row r="4471" spans="1:17" x14ac:dyDescent="0.2">
      <c r="A4471" s="5">
        <v>1114</v>
      </c>
      <c r="B4471" s="8" t="s">
        <v>9803</v>
      </c>
      <c r="C4471" s="34"/>
      <c r="H4471" s="8" t="s">
        <v>9804</v>
      </c>
      <c r="I4471" s="8" t="s">
        <v>9804</v>
      </c>
      <c r="J4471" s="5">
        <v>2</v>
      </c>
      <c r="K4471" s="5" t="s">
        <v>292</v>
      </c>
      <c r="L4471" s="5" t="s">
        <v>9249</v>
      </c>
      <c r="M4471" s="5">
        <v>22</v>
      </c>
      <c r="N4471" s="5" t="s">
        <v>8053</v>
      </c>
      <c r="O4471" s="5" t="s">
        <v>1640</v>
      </c>
      <c r="Q4471" s="5" t="s">
        <v>553</v>
      </c>
    </row>
    <row r="4472" spans="1:17" x14ac:dyDescent="0.2">
      <c r="A4472" s="5">
        <v>1115</v>
      </c>
      <c r="B4472" s="8" t="s">
        <v>9807</v>
      </c>
      <c r="C4472" s="34"/>
      <c r="H4472" s="8" t="s">
        <v>9808</v>
      </c>
      <c r="I4472" s="8" t="s">
        <v>9808</v>
      </c>
      <c r="J4472" s="5">
        <v>3</v>
      </c>
      <c r="K4472" s="5" t="s">
        <v>292</v>
      </c>
      <c r="L4472" s="5" t="s">
        <v>9249</v>
      </c>
      <c r="M4472" s="5">
        <v>22</v>
      </c>
      <c r="N4472" s="5" t="s">
        <v>8053</v>
      </c>
      <c r="O4472" s="5" t="s">
        <v>1640</v>
      </c>
      <c r="Q4472" s="5" t="s">
        <v>553</v>
      </c>
    </row>
    <row r="4473" spans="1:17" x14ac:dyDescent="0.2">
      <c r="A4473" s="5">
        <v>1077</v>
      </c>
      <c r="B4473" s="8">
        <v>5009980900</v>
      </c>
      <c r="H4473" s="8" t="s">
        <v>9809</v>
      </c>
      <c r="I4473" s="8" t="s">
        <v>9809</v>
      </c>
      <c r="J4473" s="5">
        <v>24</v>
      </c>
      <c r="K4473" s="5" t="s">
        <v>292</v>
      </c>
      <c r="L4473" s="5" t="s">
        <v>9249</v>
      </c>
      <c r="M4473" s="5">
        <v>23</v>
      </c>
      <c r="N4473" s="5" t="s">
        <v>43</v>
      </c>
      <c r="O4473" s="5" t="s">
        <v>1640</v>
      </c>
      <c r="Q4473" s="5" t="s">
        <v>9810</v>
      </c>
    </row>
    <row r="4474" spans="1:17" x14ac:dyDescent="0.2">
      <c r="A4474" s="5">
        <v>1078</v>
      </c>
      <c r="B4474" s="8" t="s">
        <v>9811</v>
      </c>
      <c r="H4474" s="8" t="s">
        <v>9812</v>
      </c>
      <c r="I4474" s="8" t="s">
        <v>9812</v>
      </c>
      <c r="J4474" s="5">
        <v>296</v>
      </c>
      <c r="K4474" s="5" t="s">
        <v>292</v>
      </c>
      <c r="L4474" s="5" t="s">
        <v>9249</v>
      </c>
      <c r="M4474" s="5">
        <v>23</v>
      </c>
      <c r="N4474" s="5" t="s">
        <v>9279</v>
      </c>
      <c r="O4474" s="5" t="s">
        <v>1640</v>
      </c>
      <c r="Q4474" s="5" t="s">
        <v>9813</v>
      </c>
    </row>
    <row r="4475" spans="1:17" x14ac:dyDescent="0.2">
      <c r="A4475" s="5">
        <v>1079</v>
      </c>
      <c r="B4475" s="8" t="s">
        <v>9814</v>
      </c>
      <c r="H4475" s="8" t="s">
        <v>9815</v>
      </c>
      <c r="I4475" s="8" t="s">
        <v>9815</v>
      </c>
      <c r="J4475" s="5">
        <v>42</v>
      </c>
      <c r="K4475" s="5" t="s">
        <v>292</v>
      </c>
      <c r="L4475" s="5" t="s">
        <v>9249</v>
      </c>
      <c r="M4475" s="5">
        <v>23</v>
      </c>
      <c r="N4475" s="5" t="s">
        <v>9279</v>
      </c>
      <c r="O4475" s="5" t="s">
        <v>1640</v>
      </c>
      <c r="Q4475" s="5" t="s">
        <v>9816</v>
      </c>
    </row>
    <row r="4476" spans="1:17" x14ac:dyDescent="0.2">
      <c r="A4476" s="5">
        <v>1080</v>
      </c>
      <c r="B4476" s="8" t="s">
        <v>9817</v>
      </c>
      <c r="H4476" s="8" t="s">
        <v>9818</v>
      </c>
      <c r="I4476" s="8" t="s">
        <v>9818</v>
      </c>
      <c r="J4476" s="5">
        <f>775-50</f>
        <v>725</v>
      </c>
      <c r="K4476" s="5" t="s">
        <v>292</v>
      </c>
      <c r="L4476" s="5" t="s">
        <v>9249</v>
      </c>
      <c r="M4476" s="5">
        <v>23</v>
      </c>
      <c r="N4476" s="5" t="s">
        <v>9279</v>
      </c>
      <c r="O4476" s="5" t="s">
        <v>1640</v>
      </c>
      <c r="Q4476" s="5" t="s">
        <v>9819</v>
      </c>
    </row>
    <row r="4477" spans="1:17" x14ac:dyDescent="0.2">
      <c r="A4477" s="5">
        <v>1081</v>
      </c>
      <c r="B4477" s="8" t="s">
        <v>9820</v>
      </c>
      <c r="H4477" s="8" t="s">
        <v>9821</v>
      </c>
      <c r="I4477" s="8" t="s">
        <v>9821</v>
      </c>
      <c r="J4477" s="5">
        <v>30</v>
      </c>
      <c r="K4477" s="5" t="s">
        <v>292</v>
      </c>
      <c r="L4477" s="5" t="s">
        <v>9249</v>
      </c>
      <c r="M4477" s="5">
        <v>23</v>
      </c>
      <c r="N4477" s="5" t="s">
        <v>9279</v>
      </c>
      <c r="O4477" s="5" t="s">
        <v>1640</v>
      </c>
      <c r="Q4477" s="5" t="s">
        <v>9822</v>
      </c>
    </row>
    <row r="4478" spans="1:17" x14ac:dyDescent="0.2">
      <c r="A4478" s="5">
        <v>1082</v>
      </c>
      <c r="B4478" s="8" t="s">
        <v>9823</v>
      </c>
      <c r="H4478" s="8" t="s">
        <v>9824</v>
      </c>
      <c r="I4478" s="8" t="s">
        <v>9824</v>
      </c>
      <c r="J4478" s="5">
        <v>84</v>
      </c>
      <c r="K4478" s="5" t="s">
        <v>292</v>
      </c>
      <c r="L4478" s="5" t="s">
        <v>9249</v>
      </c>
      <c r="M4478" s="5">
        <v>23</v>
      </c>
      <c r="N4478" s="5" t="s">
        <v>9279</v>
      </c>
      <c r="O4478" s="5" t="s">
        <v>1640</v>
      </c>
      <c r="Q4478" s="5" t="s">
        <v>9825</v>
      </c>
    </row>
    <row r="4479" spans="1:17" x14ac:dyDescent="0.2">
      <c r="A4479" s="5">
        <v>1083</v>
      </c>
      <c r="B4479" s="8" t="s">
        <v>9817</v>
      </c>
      <c r="H4479" s="8" t="s">
        <v>9818</v>
      </c>
      <c r="I4479" s="8" t="s">
        <v>9818</v>
      </c>
      <c r="J4479" s="5">
        <v>890</v>
      </c>
      <c r="K4479" s="5" t="s">
        <v>292</v>
      </c>
      <c r="L4479" s="5" t="s">
        <v>9249</v>
      </c>
      <c r="M4479" s="5">
        <v>23</v>
      </c>
      <c r="N4479" s="5" t="s">
        <v>9279</v>
      </c>
      <c r="O4479" s="5" t="s">
        <v>1640</v>
      </c>
      <c r="Q4479" s="5" t="s">
        <v>9819</v>
      </c>
    </row>
    <row r="4480" spans="1:17" x14ac:dyDescent="0.2">
      <c r="A4480" s="5">
        <v>1085</v>
      </c>
      <c r="B4480" s="8" t="s">
        <v>9277</v>
      </c>
      <c r="H4480" s="8" t="s">
        <v>9278</v>
      </c>
      <c r="I4480" s="8" t="s">
        <v>9278</v>
      </c>
      <c r="J4480" s="5">
        <v>0</v>
      </c>
      <c r="K4480" s="5" t="s">
        <v>292</v>
      </c>
      <c r="L4480" s="5" t="s">
        <v>9249</v>
      </c>
      <c r="M4480" s="5">
        <v>23</v>
      </c>
      <c r="N4480" s="5" t="s">
        <v>9279</v>
      </c>
      <c r="O4480" s="5" t="s">
        <v>1640</v>
      </c>
      <c r="Q4480" s="5" t="s">
        <v>553</v>
      </c>
    </row>
    <row r="4481" spans="1:17" x14ac:dyDescent="0.2">
      <c r="A4481" s="5">
        <v>1086</v>
      </c>
      <c r="B4481" s="8" t="s">
        <v>9826</v>
      </c>
      <c r="H4481" s="8" t="s">
        <v>9827</v>
      </c>
      <c r="I4481" s="8" t="s">
        <v>9827</v>
      </c>
      <c r="J4481" s="5">
        <v>150</v>
      </c>
      <c r="K4481" s="5" t="s">
        <v>292</v>
      </c>
      <c r="L4481" s="5" t="s">
        <v>9249</v>
      </c>
      <c r="M4481" s="5">
        <v>23</v>
      </c>
      <c r="N4481" s="5" t="s">
        <v>9330</v>
      </c>
      <c r="O4481" s="5" t="s">
        <v>1640</v>
      </c>
      <c r="Q4481" s="5" t="s">
        <v>553</v>
      </c>
    </row>
    <row r="4482" spans="1:17" x14ac:dyDescent="0.2">
      <c r="A4482" s="5">
        <v>1087</v>
      </c>
      <c r="B4482" s="8" t="s">
        <v>9828</v>
      </c>
      <c r="H4482" s="8" t="s">
        <v>9829</v>
      </c>
      <c r="I4482" s="8" t="s">
        <v>9829</v>
      </c>
      <c r="J4482" s="5">
        <v>3797</v>
      </c>
      <c r="K4482" s="5" t="s">
        <v>292</v>
      </c>
      <c r="L4482" s="5" t="s">
        <v>9249</v>
      </c>
      <c r="M4482" s="5">
        <v>23</v>
      </c>
      <c r="N4482" s="5" t="s">
        <v>9301</v>
      </c>
      <c r="O4482" s="5" t="s">
        <v>1640</v>
      </c>
      <c r="Q4482" s="5" t="s">
        <v>9386</v>
      </c>
    </row>
    <row r="4483" spans="1:17" x14ac:dyDescent="0.2">
      <c r="A4483" s="5">
        <v>1088</v>
      </c>
      <c r="B4483" s="8" t="s">
        <v>9830</v>
      </c>
      <c r="H4483" s="8" t="s">
        <v>9831</v>
      </c>
      <c r="I4483" s="8" t="s">
        <v>9831</v>
      </c>
      <c r="J4483" s="5">
        <v>3000</v>
      </c>
      <c r="K4483" s="5" t="s">
        <v>292</v>
      </c>
      <c r="L4483" s="5" t="s">
        <v>9249</v>
      </c>
      <c r="M4483" s="5">
        <v>23</v>
      </c>
      <c r="N4483" s="5" t="s">
        <v>9832</v>
      </c>
      <c r="O4483" s="5" t="s">
        <v>1640</v>
      </c>
      <c r="Q4483" s="5" t="s">
        <v>553</v>
      </c>
    </row>
    <row r="4484" spans="1:17" x14ac:dyDescent="0.2">
      <c r="A4484" s="5">
        <v>1089</v>
      </c>
      <c r="B4484" s="8" t="s">
        <v>9833</v>
      </c>
      <c r="D4484" s="8" t="s">
        <v>9834</v>
      </c>
      <c r="E4484" s="24">
        <v>43687</v>
      </c>
      <c r="F4484" s="8" t="s">
        <v>259</v>
      </c>
      <c r="G4484" s="8" t="s">
        <v>260</v>
      </c>
      <c r="H4484" s="8" t="s">
        <v>9835</v>
      </c>
      <c r="I4484" s="8" t="s">
        <v>9836</v>
      </c>
      <c r="J4484" s="5">
        <v>3800</v>
      </c>
      <c r="K4484" s="5" t="s">
        <v>292</v>
      </c>
      <c r="L4484" s="5" t="s">
        <v>9249</v>
      </c>
      <c r="M4484" s="5">
        <v>23</v>
      </c>
      <c r="N4484" s="5" t="s">
        <v>9832</v>
      </c>
      <c r="O4484" s="5" t="s">
        <v>1640</v>
      </c>
      <c r="Q4484" s="5" t="s">
        <v>553</v>
      </c>
    </row>
    <row r="4485" spans="1:17" x14ac:dyDescent="0.2">
      <c r="A4485" s="5">
        <v>1048</v>
      </c>
      <c r="B4485" s="8" t="s">
        <v>9837</v>
      </c>
      <c r="H4485" s="8" t="s">
        <v>9838</v>
      </c>
      <c r="I4485" s="8" t="s">
        <v>9838</v>
      </c>
      <c r="J4485" s="5">
        <v>10</v>
      </c>
      <c r="K4485" s="5" t="s">
        <v>292</v>
      </c>
      <c r="L4485" s="5" t="s">
        <v>9249</v>
      </c>
      <c r="M4485" s="5">
        <v>24</v>
      </c>
      <c r="N4485" s="5" t="s">
        <v>8053</v>
      </c>
      <c r="O4485" s="5" t="s">
        <v>1640</v>
      </c>
      <c r="Q4485" s="5" t="s">
        <v>553</v>
      </c>
    </row>
    <row r="4486" spans="1:17" x14ac:dyDescent="0.2">
      <c r="A4486" s="5">
        <v>1049</v>
      </c>
      <c r="B4486" s="8" t="s">
        <v>9839</v>
      </c>
      <c r="H4486" s="8" t="s">
        <v>9840</v>
      </c>
      <c r="I4486" s="8" t="s">
        <v>9840</v>
      </c>
      <c r="J4486" s="5">
        <v>8</v>
      </c>
      <c r="K4486" s="5" t="s">
        <v>292</v>
      </c>
      <c r="L4486" s="5" t="s">
        <v>9249</v>
      </c>
      <c r="M4486" s="5">
        <v>24</v>
      </c>
      <c r="N4486" s="5" t="s">
        <v>8053</v>
      </c>
      <c r="O4486" s="5" t="s">
        <v>1640</v>
      </c>
      <c r="Q4486" s="5" t="s">
        <v>553</v>
      </c>
    </row>
    <row r="4487" spans="1:17" x14ac:dyDescent="0.2">
      <c r="A4487" s="5">
        <v>1050</v>
      </c>
      <c r="B4487" s="8" t="s">
        <v>9841</v>
      </c>
      <c r="H4487" s="8" t="s">
        <v>9842</v>
      </c>
      <c r="I4487" s="8" t="s">
        <v>9842</v>
      </c>
      <c r="J4487" s="5">
        <v>8</v>
      </c>
      <c r="K4487" s="5" t="s">
        <v>292</v>
      </c>
      <c r="L4487" s="5" t="s">
        <v>9249</v>
      </c>
      <c r="M4487" s="5">
        <v>24</v>
      </c>
      <c r="N4487" s="5" t="s">
        <v>8053</v>
      </c>
      <c r="O4487" s="5" t="s">
        <v>1640</v>
      </c>
      <c r="Q4487" s="5" t="s">
        <v>553</v>
      </c>
    </row>
    <row r="4488" spans="1:17" x14ac:dyDescent="0.2">
      <c r="A4488" s="5">
        <v>1051</v>
      </c>
      <c r="B4488" s="8" t="s">
        <v>9841</v>
      </c>
      <c r="H4488" s="8" t="s">
        <v>9843</v>
      </c>
      <c r="I4488" s="8" t="s">
        <v>9843</v>
      </c>
      <c r="J4488" s="5">
        <v>10</v>
      </c>
      <c r="K4488" s="5" t="s">
        <v>292</v>
      </c>
      <c r="L4488" s="5" t="s">
        <v>9249</v>
      </c>
      <c r="M4488" s="5">
        <v>24</v>
      </c>
      <c r="N4488" s="5" t="s">
        <v>8053</v>
      </c>
      <c r="O4488" s="5" t="s">
        <v>1640</v>
      </c>
      <c r="Q4488" s="5" t="s">
        <v>553</v>
      </c>
    </row>
    <row r="4489" spans="1:17" x14ac:dyDescent="0.2">
      <c r="A4489" s="5">
        <v>1052</v>
      </c>
      <c r="B4489" s="8" t="s">
        <v>9844</v>
      </c>
      <c r="H4489" s="8" t="s">
        <v>9845</v>
      </c>
      <c r="I4489" s="8" t="s">
        <v>9845</v>
      </c>
      <c r="J4489" s="5">
        <v>3</v>
      </c>
      <c r="K4489" s="5" t="s">
        <v>292</v>
      </c>
      <c r="L4489" s="5" t="s">
        <v>9249</v>
      </c>
      <c r="M4489" s="5">
        <v>24</v>
      </c>
      <c r="N4489" s="5" t="s">
        <v>8053</v>
      </c>
      <c r="O4489" s="5" t="s">
        <v>1640</v>
      </c>
      <c r="Q4489" s="5" t="s">
        <v>553</v>
      </c>
    </row>
    <row r="4490" spans="1:17" x14ac:dyDescent="0.2">
      <c r="A4490" s="5">
        <v>1053</v>
      </c>
      <c r="B4490" s="8" t="s">
        <v>9846</v>
      </c>
      <c r="H4490" s="8" t="s">
        <v>9847</v>
      </c>
      <c r="I4490" s="8" t="s">
        <v>9847</v>
      </c>
      <c r="J4490" s="5">
        <v>13</v>
      </c>
      <c r="K4490" s="5" t="s">
        <v>292</v>
      </c>
      <c r="L4490" s="5" t="s">
        <v>9249</v>
      </c>
      <c r="M4490" s="5">
        <v>24</v>
      </c>
      <c r="N4490" s="5" t="s">
        <v>8053</v>
      </c>
      <c r="O4490" s="5" t="s">
        <v>1640</v>
      </c>
      <c r="Q4490" s="5" t="s">
        <v>553</v>
      </c>
    </row>
    <row r="4491" spans="1:17" x14ac:dyDescent="0.2">
      <c r="A4491" s="5">
        <v>1054</v>
      </c>
      <c r="B4491" s="8" t="s">
        <v>9848</v>
      </c>
      <c r="H4491" s="8" t="s">
        <v>9849</v>
      </c>
      <c r="I4491" s="8" t="s">
        <v>9849</v>
      </c>
      <c r="J4491" s="5">
        <v>307</v>
      </c>
      <c r="K4491" s="5" t="s">
        <v>292</v>
      </c>
      <c r="L4491" s="5" t="s">
        <v>9249</v>
      </c>
      <c r="M4491" s="5">
        <v>24</v>
      </c>
      <c r="N4491" s="5" t="s">
        <v>8053</v>
      </c>
      <c r="O4491" s="5" t="s">
        <v>1640</v>
      </c>
      <c r="Q4491" s="5" t="s">
        <v>553</v>
      </c>
    </row>
    <row r="4492" spans="1:17" x14ac:dyDescent="0.2">
      <c r="A4492" s="5">
        <v>1055</v>
      </c>
      <c r="B4492" s="8" t="s">
        <v>9850</v>
      </c>
      <c r="H4492" s="8" t="s">
        <v>9851</v>
      </c>
      <c r="I4492" s="8" t="s">
        <v>9851</v>
      </c>
      <c r="J4492" s="5">
        <v>80</v>
      </c>
      <c r="K4492" s="5" t="s">
        <v>292</v>
      </c>
      <c r="L4492" s="5" t="s">
        <v>9249</v>
      </c>
      <c r="M4492" s="5">
        <v>24</v>
      </c>
      <c r="N4492" s="5" t="s">
        <v>8053</v>
      </c>
      <c r="O4492" s="5" t="s">
        <v>1640</v>
      </c>
      <c r="Q4492" s="5" t="s">
        <v>9852</v>
      </c>
    </row>
    <row r="4493" spans="1:17" x14ac:dyDescent="0.2">
      <c r="A4493" s="5">
        <v>1056</v>
      </c>
      <c r="B4493" s="8" t="s">
        <v>9853</v>
      </c>
      <c r="H4493" s="8" t="s">
        <v>9854</v>
      </c>
      <c r="I4493" s="8" t="s">
        <v>9855</v>
      </c>
      <c r="J4493" s="5">
        <v>200</v>
      </c>
      <c r="K4493" s="5" t="s">
        <v>292</v>
      </c>
      <c r="L4493" s="5" t="s">
        <v>9249</v>
      </c>
      <c r="M4493" s="5">
        <v>24</v>
      </c>
      <c r="N4493" s="5" t="s">
        <v>8053</v>
      </c>
      <c r="O4493" s="5" t="s">
        <v>1640</v>
      </c>
      <c r="Q4493" s="5" t="s">
        <v>9856</v>
      </c>
    </row>
    <row r="4494" spans="1:17" x14ac:dyDescent="0.2">
      <c r="A4494" s="5">
        <v>1058</v>
      </c>
      <c r="B4494" s="8" t="s">
        <v>9857</v>
      </c>
      <c r="H4494" s="8" t="s">
        <v>9858</v>
      </c>
      <c r="I4494" s="8" t="s">
        <v>9859</v>
      </c>
      <c r="J4494" s="5">
        <f>26</f>
        <v>26</v>
      </c>
      <c r="K4494" s="5" t="s">
        <v>292</v>
      </c>
      <c r="L4494" s="5" t="s">
        <v>9249</v>
      </c>
      <c r="M4494" s="5">
        <v>33</v>
      </c>
      <c r="N4494" s="5" t="s">
        <v>8053</v>
      </c>
      <c r="O4494" s="5" t="s">
        <v>1640</v>
      </c>
      <c r="Q4494" s="5" t="s">
        <v>553</v>
      </c>
    </row>
    <row r="4495" spans="1:17" x14ac:dyDescent="0.2">
      <c r="A4495" s="5">
        <v>1059</v>
      </c>
      <c r="B4495" s="8" t="s">
        <v>9860</v>
      </c>
      <c r="H4495" s="8" t="s">
        <v>9861</v>
      </c>
      <c r="I4495" s="8" t="s">
        <v>9861</v>
      </c>
      <c r="J4495" s="5">
        <v>14</v>
      </c>
      <c r="K4495" s="5" t="s">
        <v>292</v>
      </c>
      <c r="L4495" s="5" t="s">
        <v>9249</v>
      </c>
      <c r="M4495" s="5">
        <v>24</v>
      </c>
      <c r="N4495" s="5" t="s">
        <v>8053</v>
      </c>
      <c r="O4495" s="5" t="s">
        <v>1640</v>
      </c>
      <c r="Q4495" s="5" t="s">
        <v>553</v>
      </c>
    </row>
    <row r="4496" spans="1:17" x14ac:dyDescent="0.2">
      <c r="A4496" s="5">
        <v>1060</v>
      </c>
      <c r="B4496" s="8" t="s">
        <v>9862</v>
      </c>
      <c r="H4496" s="8" t="s">
        <v>9863</v>
      </c>
      <c r="I4496" s="8" t="s">
        <v>9863</v>
      </c>
      <c r="J4496" s="5">
        <v>10</v>
      </c>
      <c r="K4496" s="5" t="s">
        <v>292</v>
      </c>
      <c r="L4496" s="5" t="s">
        <v>9249</v>
      </c>
      <c r="M4496" s="5">
        <v>24</v>
      </c>
      <c r="N4496" s="5" t="s">
        <v>8053</v>
      </c>
      <c r="O4496" s="5" t="s">
        <v>1640</v>
      </c>
      <c r="Q4496" s="5" t="s">
        <v>553</v>
      </c>
    </row>
    <row r="4497" spans="1:18" x14ac:dyDescent="0.2">
      <c r="A4497" s="5">
        <v>1061</v>
      </c>
      <c r="B4497" s="8" t="s">
        <v>9864</v>
      </c>
      <c r="H4497" s="8" t="s">
        <v>9865</v>
      </c>
      <c r="I4497" s="8" t="s">
        <v>9865</v>
      </c>
      <c r="J4497" s="5">
        <v>19</v>
      </c>
      <c r="K4497" s="5" t="s">
        <v>292</v>
      </c>
      <c r="L4497" s="5" t="s">
        <v>9249</v>
      </c>
      <c r="M4497" s="5">
        <v>24</v>
      </c>
      <c r="N4497" s="5" t="s">
        <v>8053</v>
      </c>
      <c r="O4497" s="5" t="s">
        <v>1640</v>
      </c>
      <c r="Q4497" s="5" t="s">
        <v>553</v>
      </c>
    </row>
    <row r="4498" spans="1:18" x14ac:dyDescent="0.2">
      <c r="A4498" s="5">
        <v>1251</v>
      </c>
      <c r="B4498" s="8" t="s">
        <v>9866</v>
      </c>
      <c r="H4498" s="8" t="s">
        <v>9867</v>
      </c>
      <c r="I4498" s="8" t="s">
        <v>9868</v>
      </c>
      <c r="J4498" s="5">
        <v>164</v>
      </c>
      <c r="K4498" s="5" t="s">
        <v>292</v>
      </c>
      <c r="L4498" s="5" t="s">
        <v>9249</v>
      </c>
      <c r="M4498" s="5">
        <v>24</v>
      </c>
      <c r="N4498" s="5" t="s">
        <v>43</v>
      </c>
      <c r="O4498" s="5" t="s">
        <v>1640</v>
      </c>
      <c r="Q4498" s="5" t="s">
        <v>9869</v>
      </c>
    </row>
    <row r="4499" spans="1:18" x14ac:dyDescent="0.2">
      <c r="A4499" s="5">
        <v>1344</v>
      </c>
      <c r="B4499" s="8" t="s">
        <v>9870</v>
      </c>
      <c r="H4499" s="8" t="s">
        <v>9871</v>
      </c>
      <c r="I4499" s="8" t="s">
        <v>9871</v>
      </c>
      <c r="J4499" s="5">
        <v>13</v>
      </c>
      <c r="K4499" s="5" t="s">
        <v>292</v>
      </c>
      <c r="L4499" s="5" t="s">
        <v>9249</v>
      </c>
      <c r="M4499" s="5">
        <v>24</v>
      </c>
      <c r="N4499" s="5" t="s">
        <v>76</v>
      </c>
      <c r="O4499" s="5" t="s">
        <v>520</v>
      </c>
      <c r="Q4499" s="5" t="s">
        <v>9872</v>
      </c>
    </row>
    <row r="4500" spans="1:18" x14ac:dyDescent="0.2">
      <c r="A4500" s="5">
        <v>935</v>
      </c>
      <c r="B4500" s="8" t="s">
        <v>9873</v>
      </c>
      <c r="H4500" s="8" t="s">
        <v>9874</v>
      </c>
      <c r="I4500" s="8" t="s">
        <v>9875</v>
      </c>
      <c r="J4500" s="5">
        <v>7</v>
      </c>
      <c r="K4500" s="5" t="s">
        <v>292</v>
      </c>
      <c r="L4500" s="5" t="s">
        <v>9249</v>
      </c>
      <c r="M4500" s="5">
        <v>25</v>
      </c>
      <c r="N4500" s="5" t="s">
        <v>8053</v>
      </c>
      <c r="O4500" s="5" t="s">
        <v>1640</v>
      </c>
      <c r="Q4500" s="5" t="s">
        <v>553</v>
      </c>
      <c r="R4500" s="5" t="s">
        <v>9873</v>
      </c>
    </row>
    <row r="4501" spans="1:18" x14ac:dyDescent="0.2">
      <c r="A4501" s="5">
        <v>936</v>
      </c>
      <c r="B4501" s="8" t="s">
        <v>9876</v>
      </c>
      <c r="H4501" s="8" t="s">
        <v>9875</v>
      </c>
      <c r="I4501" s="8" t="s">
        <v>9875</v>
      </c>
      <c r="J4501" s="5">
        <v>4</v>
      </c>
      <c r="K4501" s="5" t="s">
        <v>292</v>
      </c>
      <c r="L4501" s="5" t="s">
        <v>9249</v>
      </c>
      <c r="M4501" s="5">
        <v>25</v>
      </c>
      <c r="N4501" s="5" t="s">
        <v>8053</v>
      </c>
      <c r="O4501" s="5" t="s">
        <v>1640</v>
      </c>
      <c r="Q4501" s="5" t="s">
        <v>553</v>
      </c>
      <c r="R4501" s="5" t="s">
        <v>9876</v>
      </c>
    </row>
    <row r="4502" spans="1:18" x14ac:dyDescent="0.2">
      <c r="A4502" s="5">
        <v>937</v>
      </c>
      <c r="B4502" s="8" t="s">
        <v>9877</v>
      </c>
      <c r="H4502" s="8" t="s">
        <v>9878</v>
      </c>
      <c r="I4502" s="8" t="s">
        <v>9878</v>
      </c>
      <c r="J4502" s="5">
        <v>26</v>
      </c>
      <c r="K4502" s="5" t="s">
        <v>292</v>
      </c>
      <c r="L4502" s="5" t="s">
        <v>9249</v>
      </c>
      <c r="M4502" s="5">
        <v>25</v>
      </c>
      <c r="N4502" s="5" t="s">
        <v>43</v>
      </c>
      <c r="O4502" s="5" t="s">
        <v>1640</v>
      </c>
      <c r="Q4502" s="5" t="s">
        <v>553</v>
      </c>
      <c r="R4502" s="5" t="s">
        <v>9877</v>
      </c>
    </row>
    <row r="4503" spans="1:18" x14ac:dyDescent="0.2">
      <c r="A4503" s="5">
        <v>938</v>
      </c>
      <c r="B4503" s="8" t="s">
        <v>9687</v>
      </c>
      <c r="H4503" s="8" t="s">
        <v>9688</v>
      </c>
      <c r="I4503" s="8" t="s">
        <v>9688</v>
      </c>
      <c r="J4503" s="5">
        <v>24</v>
      </c>
      <c r="K4503" s="5" t="s">
        <v>292</v>
      </c>
      <c r="L4503" s="5" t="s">
        <v>9249</v>
      </c>
      <c r="M4503" s="5">
        <v>25</v>
      </c>
      <c r="N4503" s="5" t="s">
        <v>8053</v>
      </c>
      <c r="O4503" s="5" t="s">
        <v>1640</v>
      </c>
      <c r="Q4503" s="5" t="s">
        <v>553</v>
      </c>
      <c r="R4503" s="5" t="s">
        <v>9687</v>
      </c>
    </row>
    <row r="4504" spans="1:18" x14ac:dyDescent="0.2">
      <c r="A4504" s="5">
        <v>939</v>
      </c>
      <c r="B4504" s="8" t="s">
        <v>9879</v>
      </c>
      <c r="H4504" s="8" t="s">
        <v>9875</v>
      </c>
      <c r="I4504" s="8" t="s">
        <v>9875</v>
      </c>
      <c r="J4504" s="5">
        <v>2</v>
      </c>
      <c r="K4504" s="5" t="s">
        <v>292</v>
      </c>
      <c r="L4504" s="5" t="s">
        <v>9249</v>
      </c>
      <c r="M4504" s="5">
        <v>25</v>
      </c>
      <c r="N4504" s="5" t="s">
        <v>8053</v>
      </c>
      <c r="O4504" s="5" t="s">
        <v>1640</v>
      </c>
      <c r="Q4504" s="5" t="s">
        <v>553</v>
      </c>
      <c r="R4504" s="5" t="s">
        <v>9879</v>
      </c>
    </row>
    <row r="4505" spans="1:18" x14ac:dyDescent="0.2">
      <c r="A4505" s="5">
        <v>940</v>
      </c>
      <c r="B4505" s="8" t="s">
        <v>9880</v>
      </c>
      <c r="H4505" s="8" t="s">
        <v>9880</v>
      </c>
      <c r="I4505" s="8" t="s">
        <v>9880</v>
      </c>
      <c r="J4505" s="5">
        <v>10</v>
      </c>
      <c r="K4505" s="5" t="s">
        <v>292</v>
      </c>
      <c r="L4505" s="5" t="s">
        <v>9249</v>
      </c>
      <c r="M4505" s="5">
        <v>25</v>
      </c>
      <c r="N4505" s="5" t="s">
        <v>8053</v>
      </c>
      <c r="O4505" s="5" t="s">
        <v>1640</v>
      </c>
      <c r="Q4505" s="5" t="s">
        <v>553</v>
      </c>
      <c r="R4505" s="5" t="s">
        <v>9880</v>
      </c>
    </row>
    <row r="4506" spans="1:18" x14ac:dyDescent="0.2">
      <c r="A4506" s="5">
        <v>941</v>
      </c>
      <c r="B4506" s="8" t="s">
        <v>9881</v>
      </c>
      <c r="H4506" s="8" t="s">
        <v>9882</v>
      </c>
      <c r="I4506" s="8" t="s">
        <v>9883</v>
      </c>
      <c r="J4506" s="5">
        <f>32</f>
        <v>32</v>
      </c>
      <c r="K4506" s="5" t="s">
        <v>292</v>
      </c>
      <c r="L4506" s="5" t="s">
        <v>9249</v>
      </c>
      <c r="M4506" s="5">
        <v>25</v>
      </c>
      <c r="N4506" s="5" t="s">
        <v>8053</v>
      </c>
      <c r="O4506" s="5" t="s">
        <v>1640</v>
      </c>
      <c r="Q4506" s="5" t="s">
        <v>9884</v>
      </c>
    </row>
    <row r="4507" spans="1:18" x14ac:dyDescent="0.2">
      <c r="A4507" s="5">
        <v>307</v>
      </c>
      <c r="B4507" s="8" t="s">
        <v>9885</v>
      </c>
      <c r="H4507" s="8" t="s">
        <v>9886</v>
      </c>
      <c r="I4507" s="8" t="s">
        <v>9886</v>
      </c>
      <c r="J4507" s="5">
        <v>8</v>
      </c>
      <c r="K4507" s="5" t="s">
        <v>292</v>
      </c>
      <c r="L4507" s="5" t="s">
        <v>9249</v>
      </c>
      <c r="M4507" s="5">
        <v>26</v>
      </c>
      <c r="N4507" s="5" t="s">
        <v>1418</v>
      </c>
      <c r="O4507" s="5" t="s">
        <v>266</v>
      </c>
      <c r="Q4507" s="5" t="s">
        <v>9887</v>
      </c>
    </row>
    <row r="4508" spans="1:18" x14ac:dyDescent="0.2">
      <c r="A4508" s="5">
        <v>308</v>
      </c>
      <c r="B4508" s="8" t="s">
        <v>9888</v>
      </c>
      <c r="H4508" s="8" t="s">
        <v>9889</v>
      </c>
      <c r="I4508" s="8" t="s">
        <v>9889</v>
      </c>
      <c r="J4508" s="5">
        <v>500</v>
      </c>
      <c r="K4508" s="5" t="s">
        <v>292</v>
      </c>
      <c r="L4508" s="5" t="s">
        <v>9249</v>
      </c>
      <c r="M4508" s="5">
        <v>26</v>
      </c>
      <c r="N4508" s="5" t="s">
        <v>57</v>
      </c>
      <c r="Q4508" s="5" t="s">
        <v>942</v>
      </c>
    </row>
    <row r="4509" spans="1:18" x14ac:dyDescent="0.2">
      <c r="A4509" s="5">
        <v>313</v>
      </c>
      <c r="B4509" s="8" t="s">
        <v>9890</v>
      </c>
      <c r="H4509" s="8" t="s">
        <v>9891</v>
      </c>
      <c r="I4509" s="8" t="s">
        <v>9891</v>
      </c>
      <c r="J4509" s="5">
        <v>100</v>
      </c>
      <c r="K4509" s="5" t="s">
        <v>292</v>
      </c>
      <c r="L4509" s="5" t="s">
        <v>9249</v>
      </c>
      <c r="M4509" s="5">
        <v>26</v>
      </c>
      <c r="N4509" s="5" t="s">
        <v>57</v>
      </c>
      <c r="Q4509" s="5" t="s">
        <v>9353</v>
      </c>
    </row>
    <row r="4510" spans="1:18" x14ac:dyDescent="0.2">
      <c r="A4510" s="5">
        <v>1176</v>
      </c>
      <c r="B4510" s="8" t="s">
        <v>9892</v>
      </c>
      <c r="H4510" s="8" t="s">
        <v>9367</v>
      </c>
      <c r="I4510" s="8" t="s">
        <v>9367</v>
      </c>
      <c r="J4510" s="5">
        <v>7</v>
      </c>
      <c r="K4510" s="5" t="s">
        <v>292</v>
      </c>
      <c r="L4510" s="5" t="s">
        <v>9249</v>
      </c>
      <c r="M4510" s="5">
        <v>26</v>
      </c>
      <c r="N4510" s="5" t="s">
        <v>9279</v>
      </c>
      <c r="O4510" s="5" t="s">
        <v>1640</v>
      </c>
      <c r="Q4510" s="5" t="s">
        <v>9374</v>
      </c>
    </row>
    <row r="4511" spans="1:18" x14ac:dyDescent="0.2">
      <c r="A4511" s="5">
        <v>1177</v>
      </c>
      <c r="B4511" s="8" t="s">
        <v>9893</v>
      </c>
      <c r="H4511" s="8" t="s">
        <v>9894</v>
      </c>
      <c r="I4511" s="8" t="s">
        <v>9894</v>
      </c>
      <c r="J4511" s="5">
        <v>32</v>
      </c>
      <c r="K4511" s="5" t="s">
        <v>292</v>
      </c>
      <c r="L4511" s="5" t="s">
        <v>9249</v>
      </c>
      <c r="M4511" s="5">
        <v>26</v>
      </c>
      <c r="N4511" s="5" t="s">
        <v>9895</v>
      </c>
      <c r="O4511" s="5" t="s">
        <v>1640</v>
      </c>
      <c r="Q4511" s="5" t="s">
        <v>9896</v>
      </c>
    </row>
    <row r="4512" spans="1:18" x14ac:dyDescent="0.2">
      <c r="A4512" s="5">
        <v>1178</v>
      </c>
      <c r="B4512" s="8" t="s">
        <v>9897</v>
      </c>
      <c r="H4512" s="8" t="s">
        <v>9898</v>
      </c>
      <c r="I4512" s="8" t="s">
        <v>9898</v>
      </c>
      <c r="J4512" s="5">
        <v>10</v>
      </c>
      <c r="K4512" s="5" t="s">
        <v>292</v>
      </c>
      <c r="L4512" s="5" t="s">
        <v>9249</v>
      </c>
      <c r="M4512" s="5">
        <v>26</v>
      </c>
      <c r="N4512" s="5" t="s">
        <v>43</v>
      </c>
      <c r="O4512" s="5" t="s">
        <v>1640</v>
      </c>
      <c r="Q4512" s="5" t="s">
        <v>9896</v>
      </c>
    </row>
    <row r="4513" spans="1:17" x14ac:dyDescent="0.2">
      <c r="A4513" s="5">
        <v>1179</v>
      </c>
      <c r="B4513" s="8" t="s">
        <v>9899</v>
      </c>
      <c r="H4513" s="8" t="s">
        <v>9900</v>
      </c>
      <c r="I4513" s="8" t="s">
        <v>9900</v>
      </c>
      <c r="J4513" s="5">
        <v>10</v>
      </c>
      <c r="K4513" s="5" t="s">
        <v>292</v>
      </c>
      <c r="L4513" s="5" t="s">
        <v>9249</v>
      </c>
      <c r="M4513" s="5">
        <v>26</v>
      </c>
      <c r="N4513" s="5" t="s">
        <v>43</v>
      </c>
      <c r="O4513" s="5" t="s">
        <v>1640</v>
      </c>
      <c r="Q4513" s="5" t="s">
        <v>9896</v>
      </c>
    </row>
    <row r="4514" spans="1:17" x14ac:dyDescent="0.2">
      <c r="A4514" s="5">
        <v>1180</v>
      </c>
      <c r="B4514" s="140" t="s">
        <v>9901</v>
      </c>
      <c r="H4514" s="8" t="s">
        <v>9902</v>
      </c>
      <c r="I4514" s="8" t="s">
        <v>9902</v>
      </c>
      <c r="J4514" s="5">
        <v>4</v>
      </c>
      <c r="K4514" s="5" t="s">
        <v>292</v>
      </c>
      <c r="L4514" s="5" t="s">
        <v>9249</v>
      </c>
      <c r="M4514" s="5">
        <v>26</v>
      </c>
      <c r="N4514" s="5" t="s">
        <v>3243</v>
      </c>
      <c r="O4514" s="5" t="s">
        <v>1640</v>
      </c>
      <c r="Q4514" s="5" t="s">
        <v>9374</v>
      </c>
    </row>
    <row r="4515" spans="1:17" x14ac:dyDescent="0.2">
      <c r="A4515" s="5"/>
      <c r="B4515" s="140" t="s">
        <v>9903</v>
      </c>
      <c r="H4515" s="8" t="s">
        <v>9902</v>
      </c>
      <c r="I4515" s="8" t="s">
        <v>9902</v>
      </c>
      <c r="J4515" s="5">
        <f>12</f>
        <v>12</v>
      </c>
      <c r="K4515" s="5" t="s">
        <v>292</v>
      </c>
      <c r="L4515" s="5" t="s">
        <v>9249</v>
      </c>
      <c r="M4515" s="5">
        <v>26</v>
      </c>
      <c r="N4515" s="5" t="s">
        <v>3243</v>
      </c>
      <c r="Q4515" s="107" t="s">
        <v>9353</v>
      </c>
    </row>
    <row r="4516" spans="1:17" x14ac:dyDescent="0.2">
      <c r="A4516" s="5">
        <v>1182</v>
      </c>
      <c r="B4516" s="8">
        <v>1156283</v>
      </c>
      <c r="H4516" s="8" t="s">
        <v>9904</v>
      </c>
      <c r="I4516" s="8" t="s">
        <v>9904</v>
      </c>
      <c r="J4516" s="5">
        <v>650</v>
      </c>
      <c r="K4516" s="5" t="s">
        <v>292</v>
      </c>
      <c r="L4516" s="5" t="s">
        <v>9249</v>
      </c>
      <c r="M4516" s="5">
        <v>26</v>
      </c>
      <c r="N4516" s="5" t="s">
        <v>896</v>
      </c>
      <c r="O4516" s="5" t="s">
        <v>1640</v>
      </c>
      <c r="Q4516" s="5" t="s">
        <v>9905</v>
      </c>
    </row>
    <row r="4517" spans="1:17" x14ac:dyDescent="0.2">
      <c r="A4517" s="5">
        <v>1183</v>
      </c>
      <c r="B4517" s="40" t="s">
        <v>9906</v>
      </c>
      <c r="H4517" s="8" t="s">
        <v>9907</v>
      </c>
      <c r="I4517" s="8" t="s">
        <v>9907</v>
      </c>
      <c r="J4517" s="5">
        <f>217</f>
        <v>217</v>
      </c>
      <c r="K4517" s="5" t="s">
        <v>292</v>
      </c>
      <c r="L4517" s="5" t="s">
        <v>9249</v>
      </c>
      <c r="M4517" s="5">
        <v>26</v>
      </c>
      <c r="N4517" s="5" t="s">
        <v>9908</v>
      </c>
      <c r="O4517" s="5" t="s">
        <v>1640</v>
      </c>
      <c r="Q4517" s="5" t="s">
        <v>9368</v>
      </c>
    </row>
    <row r="4518" spans="1:17" x14ac:dyDescent="0.2">
      <c r="A4518" s="5">
        <v>1184</v>
      </c>
      <c r="B4518" s="8" t="s">
        <v>9909</v>
      </c>
      <c r="H4518" s="8" t="s">
        <v>9910</v>
      </c>
      <c r="I4518" s="8" t="s">
        <v>9910</v>
      </c>
      <c r="J4518" s="5">
        <v>14</v>
      </c>
      <c r="K4518" s="5" t="s">
        <v>292</v>
      </c>
      <c r="L4518" s="5" t="s">
        <v>9249</v>
      </c>
      <c r="M4518" s="5">
        <v>26</v>
      </c>
      <c r="N4518" s="5" t="s">
        <v>9330</v>
      </c>
      <c r="O4518" s="5" t="s">
        <v>1640</v>
      </c>
      <c r="Q4518" s="5" t="s">
        <v>9911</v>
      </c>
    </row>
    <row r="4519" spans="1:17" x14ac:dyDescent="0.2">
      <c r="A4519" s="5">
        <v>1185</v>
      </c>
      <c r="B4519" s="8" t="s">
        <v>9912</v>
      </c>
      <c r="H4519" s="8" t="s">
        <v>9913</v>
      </c>
      <c r="I4519" s="8" t="s">
        <v>9913</v>
      </c>
      <c r="J4519" s="5">
        <v>14</v>
      </c>
      <c r="K4519" s="5" t="s">
        <v>292</v>
      </c>
      <c r="L4519" s="5" t="s">
        <v>9249</v>
      </c>
      <c r="M4519" s="5">
        <v>26</v>
      </c>
      <c r="N4519" s="5" t="s">
        <v>43</v>
      </c>
      <c r="O4519" s="5" t="s">
        <v>1640</v>
      </c>
      <c r="Q4519" s="5" t="s">
        <v>9896</v>
      </c>
    </row>
    <row r="4520" spans="1:17" x14ac:dyDescent="0.2">
      <c r="A4520" s="5">
        <v>1186</v>
      </c>
      <c r="B4520" s="8" t="s">
        <v>9914</v>
      </c>
      <c r="H4520" s="8" t="s">
        <v>9915</v>
      </c>
      <c r="I4520" s="8" t="s">
        <v>9915</v>
      </c>
      <c r="J4520" s="5">
        <v>56</v>
      </c>
      <c r="K4520" s="5" t="s">
        <v>292</v>
      </c>
      <c r="L4520" s="5" t="s">
        <v>9249</v>
      </c>
      <c r="M4520" s="5">
        <v>26</v>
      </c>
      <c r="N4520" s="5" t="s">
        <v>3243</v>
      </c>
      <c r="O4520" s="5" t="s">
        <v>1640</v>
      </c>
      <c r="Q4520" s="5" t="s">
        <v>9916</v>
      </c>
    </row>
    <row r="4521" spans="1:17" x14ac:dyDescent="0.2">
      <c r="A4521" s="5">
        <v>1187</v>
      </c>
      <c r="B4521" s="8" t="s">
        <v>9917</v>
      </c>
      <c r="H4521" s="8" t="s">
        <v>9918</v>
      </c>
      <c r="I4521" s="8" t="s">
        <v>9918</v>
      </c>
      <c r="J4521" s="5">
        <v>16</v>
      </c>
      <c r="K4521" s="5" t="s">
        <v>292</v>
      </c>
      <c r="L4521" s="5" t="s">
        <v>9249</v>
      </c>
      <c r="M4521" s="5">
        <v>26</v>
      </c>
      <c r="N4521" s="5" t="s">
        <v>8053</v>
      </c>
      <c r="O4521" s="5" t="s">
        <v>1640</v>
      </c>
      <c r="Q4521" s="5" t="s">
        <v>9919</v>
      </c>
    </row>
    <row r="4522" spans="1:17" x14ac:dyDescent="0.2">
      <c r="A4522" s="5">
        <v>1189</v>
      </c>
      <c r="B4522" s="8" t="s">
        <v>9920</v>
      </c>
      <c r="H4522" s="8" t="s">
        <v>9921</v>
      </c>
      <c r="I4522" s="8" t="s">
        <v>9921</v>
      </c>
      <c r="J4522" s="5">
        <v>75</v>
      </c>
      <c r="K4522" s="5" t="s">
        <v>292</v>
      </c>
      <c r="L4522" s="5" t="s">
        <v>9249</v>
      </c>
      <c r="M4522" s="5">
        <v>26</v>
      </c>
      <c r="N4522" s="5" t="s">
        <v>3243</v>
      </c>
      <c r="O4522" s="5" t="s">
        <v>1640</v>
      </c>
      <c r="Q4522" s="5" t="s">
        <v>9922</v>
      </c>
    </row>
    <row r="4523" spans="1:17" x14ac:dyDescent="0.2">
      <c r="A4523" s="5">
        <v>1190</v>
      </c>
      <c r="B4523" s="8" t="s">
        <v>9923</v>
      </c>
      <c r="H4523" s="8" t="s">
        <v>9924</v>
      </c>
      <c r="I4523" s="8" t="s">
        <v>9924</v>
      </c>
      <c r="J4523" s="5">
        <v>3</v>
      </c>
      <c r="K4523" s="5" t="s">
        <v>292</v>
      </c>
      <c r="L4523" s="5" t="s">
        <v>9249</v>
      </c>
      <c r="M4523" s="5">
        <v>26</v>
      </c>
      <c r="N4523" s="5" t="s">
        <v>8053</v>
      </c>
      <c r="O4523" s="5" t="s">
        <v>1640</v>
      </c>
    </row>
    <row r="4524" spans="1:17" x14ac:dyDescent="0.2">
      <c r="A4524" s="5">
        <v>1191</v>
      </c>
      <c r="B4524" s="8" t="s">
        <v>9925</v>
      </c>
      <c r="H4524" s="8" t="s">
        <v>9926</v>
      </c>
      <c r="I4524" s="8" t="s">
        <v>9926</v>
      </c>
      <c r="J4524" s="5">
        <v>2</v>
      </c>
      <c r="K4524" s="5" t="s">
        <v>292</v>
      </c>
      <c r="L4524" s="5" t="s">
        <v>9249</v>
      </c>
      <c r="M4524" s="5">
        <v>26</v>
      </c>
      <c r="N4524" s="5" t="s">
        <v>9927</v>
      </c>
      <c r="O4524" s="5" t="s">
        <v>1640</v>
      </c>
      <c r="Q4524" s="33" t="s">
        <v>9928</v>
      </c>
    </row>
    <row r="4525" spans="1:17" x14ac:dyDescent="0.2">
      <c r="A4525" s="5">
        <v>1192</v>
      </c>
      <c r="B4525" s="8" t="s">
        <v>9925</v>
      </c>
      <c r="H4525" s="8" t="s">
        <v>9926</v>
      </c>
      <c r="I4525" s="8" t="s">
        <v>9926</v>
      </c>
      <c r="J4525" s="5">
        <v>0</v>
      </c>
      <c r="K4525" s="5" t="s">
        <v>292</v>
      </c>
      <c r="L4525" s="5" t="s">
        <v>9249</v>
      </c>
      <c r="M4525" s="5">
        <v>26</v>
      </c>
      <c r="N4525" s="5" t="s">
        <v>9927</v>
      </c>
      <c r="O4525" s="5" t="s">
        <v>1640</v>
      </c>
      <c r="Q4525" s="5" t="s">
        <v>9929</v>
      </c>
    </row>
    <row r="4526" spans="1:17" x14ac:dyDescent="0.2">
      <c r="A4526" s="5">
        <v>1193</v>
      </c>
      <c r="B4526" s="8" t="s">
        <v>9930</v>
      </c>
      <c r="H4526" s="8" t="s">
        <v>9931</v>
      </c>
      <c r="I4526" s="8" t="s">
        <v>9931</v>
      </c>
      <c r="K4526" s="5" t="s">
        <v>292</v>
      </c>
      <c r="L4526" s="5" t="s">
        <v>9249</v>
      </c>
      <c r="M4526" s="5">
        <v>26</v>
      </c>
      <c r="N4526" s="5" t="s">
        <v>9927</v>
      </c>
      <c r="O4526" s="5" t="s">
        <v>1640</v>
      </c>
      <c r="Q4526" s="5" t="s">
        <v>9929</v>
      </c>
    </row>
    <row r="4527" spans="1:17" x14ac:dyDescent="0.2">
      <c r="A4527" s="5">
        <v>1194</v>
      </c>
      <c r="B4527" s="8" t="s">
        <v>9932</v>
      </c>
      <c r="H4527" s="8" t="s">
        <v>9933</v>
      </c>
      <c r="I4527" s="8" t="s">
        <v>9933</v>
      </c>
      <c r="J4527" s="5">
        <v>2908</v>
      </c>
      <c r="K4527" s="5" t="s">
        <v>292</v>
      </c>
      <c r="L4527" s="5" t="s">
        <v>9249</v>
      </c>
      <c r="M4527" s="5">
        <v>26</v>
      </c>
      <c r="N4527" s="5" t="s">
        <v>9418</v>
      </c>
      <c r="O4527" s="5" t="s">
        <v>1640</v>
      </c>
      <c r="Q4527" s="5" t="s">
        <v>553</v>
      </c>
    </row>
    <row r="4528" spans="1:17" x14ac:dyDescent="0.2">
      <c r="A4528" s="5">
        <v>1195</v>
      </c>
      <c r="B4528" s="8" t="s">
        <v>9934</v>
      </c>
      <c r="H4528" s="8" t="s">
        <v>9921</v>
      </c>
      <c r="I4528" s="8" t="s">
        <v>9921</v>
      </c>
      <c r="J4528" s="5">
        <v>6</v>
      </c>
      <c r="K4528" s="5" t="s">
        <v>292</v>
      </c>
      <c r="L4528" s="5" t="s">
        <v>9249</v>
      </c>
      <c r="M4528" s="5">
        <v>26</v>
      </c>
      <c r="N4528" s="5" t="s">
        <v>9418</v>
      </c>
      <c r="O4528" s="5" t="s">
        <v>1640</v>
      </c>
      <c r="Q4528" s="5" t="s">
        <v>9368</v>
      </c>
    </row>
    <row r="4529" spans="1:17" x14ac:dyDescent="0.2">
      <c r="A4529" s="5">
        <v>1217</v>
      </c>
      <c r="B4529" s="8" t="s">
        <v>9935</v>
      </c>
      <c r="H4529" s="8" t="s">
        <v>9367</v>
      </c>
      <c r="I4529" s="8" t="s">
        <v>9367</v>
      </c>
      <c r="J4529" s="5">
        <v>7</v>
      </c>
      <c r="K4529" s="5" t="s">
        <v>848</v>
      </c>
      <c r="L4529" s="5" t="s">
        <v>9249</v>
      </c>
      <c r="M4529" s="5">
        <v>26</v>
      </c>
      <c r="N4529" s="5" t="s">
        <v>8212</v>
      </c>
      <c r="O4529" s="5" t="s">
        <v>1640</v>
      </c>
      <c r="Q4529" s="5" t="s">
        <v>9374</v>
      </c>
    </row>
    <row r="4530" spans="1:17" x14ac:dyDescent="0.2">
      <c r="A4530" s="5">
        <v>1219</v>
      </c>
      <c r="B4530" s="8" t="s">
        <v>9893</v>
      </c>
      <c r="H4530" s="8" t="s">
        <v>9894</v>
      </c>
      <c r="I4530" s="8" t="s">
        <v>9894</v>
      </c>
      <c r="J4530" s="5">
        <v>32</v>
      </c>
      <c r="K4530" s="5" t="s">
        <v>21</v>
      </c>
      <c r="L4530" s="5" t="s">
        <v>9249</v>
      </c>
      <c r="M4530" s="5">
        <v>26</v>
      </c>
      <c r="N4530" s="5" t="s">
        <v>43</v>
      </c>
      <c r="O4530" s="5" t="s">
        <v>1640</v>
      </c>
      <c r="Q4530" s="5" t="s">
        <v>9896</v>
      </c>
    </row>
    <row r="4531" spans="1:17" x14ac:dyDescent="0.2">
      <c r="A4531" s="5">
        <v>1220</v>
      </c>
      <c r="B4531" s="8" t="s">
        <v>9936</v>
      </c>
      <c r="H4531" s="8" t="s">
        <v>9910</v>
      </c>
      <c r="I4531" s="8" t="s">
        <v>9910</v>
      </c>
      <c r="J4531" s="5">
        <v>14</v>
      </c>
      <c r="K4531" s="5" t="s">
        <v>21</v>
      </c>
      <c r="L4531" s="5" t="s">
        <v>9249</v>
      </c>
      <c r="M4531" s="5">
        <v>26</v>
      </c>
      <c r="N4531" s="5" t="s">
        <v>1495</v>
      </c>
      <c r="O4531" s="5" t="s">
        <v>1640</v>
      </c>
      <c r="Q4531" s="5" t="s">
        <v>9911</v>
      </c>
    </row>
    <row r="4532" spans="1:17" x14ac:dyDescent="0.2">
      <c r="A4532" s="5">
        <v>1221</v>
      </c>
      <c r="B4532" s="8">
        <v>660217</v>
      </c>
      <c r="C4532" s="8" t="s">
        <v>9937</v>
      </c>
      <c r="D4532" s="8" t="s">
        <v>9938</v>
      </c>
      <c r="E4532" s="24">
        <v>43687</v>
      </c>
      <c r="F4532" s="8" t="s">
        <v>259</v>
      </c>
      <c r="G4532" s="8" t="s">
        <v>276</v>
      </c>
      <c r="H4532" s="8" t="s">
        <v>9939</v>
      </c>
      <c r="I4532" s="8" t="s">
        <v>9940</v>
      </c>
      <c r="J4532" s="5">
        <v>100</v>
      </c>
      <c r="K4532" s="5" t="s">
        <v>21</v>
      </c>
      <c r="L4532" s="5" t="s">
        <v>9249</v>
      </c>
      <c r="M4532" s="5">
        <v>26</v>
      </c>
      <c r="N4532" s="5" t="s">
        <v>9941</v>
      </c>
      <c r="O4532" s="5" t="s">
        <v>1640</v>
      </c>
      <c r="Q4532" s="5" t="s">
        <v>9942</v>
      </c>
    </row>
    <row r="4533" spans="1:17" x14ac:dyDescent="0.2">
      <c r="A4533" s="5">
        <v>1222</v>
      </c>
      <c r="B4533" s="8">
        <v>880408</v>
      </c>
      <c r="H4533" s="8" t="s">
        <v>9692</v>
      </c>
      <c r="I4533" s="8" t="s">
        <v>9692</v>
      </c>
      <c r="J4533" s="5">
        <v>8</v>
      </c>
      <c r="K4533" s="5" t="s">
        <v>21</v>
      </c>
      <c r="L4533" s="5" t="s">
        <v>9249</v>
      </c>
      <c r="M4533" s="5">
        <v>26</v>
      </c>
      <c r="N4533" s="5" t="s">
        <v>43</v>
      </c>
      <c r="O4533" s="5" t="s">
        <v>1640</v>
      </c>
      <c r="Q4533" s="5" t="s">
        <v>9943</v>
      </c>
    </row>
    <row r="4534" spans="1:17" x14ac:dyDescent="0.2">
      <c r="A4534" s="5">
        <v>1223</v>
      </c>
      <c r="B4534" s="8" t="s">
        <v>9897</v>
      </c>
      <c r="H4534" s="8" t="s">
        <v>9898</v>
      </c>
      <c r="I4534" s="8" t="s">
        <v>9898</v>
      </c>
      <c r="J4534" s="5">
        <v>10</v>
      </c>
      <c r="K4534" s="5" t="s">
        <v>21</v>
      </c>
      <c r="L4534" s="5" t="s">
        <v>9249</v>
      </c>
      <c r="M4534" s="5">
        <v>26</v>
      </c>
      <c r="N4534" s="5" t="s">
        <v>43</v>
      </c>
      <c r="O4534" s="5" t="s">
        <v>1640</v>
      </c>
      <c r="Q4534" s="5" t="s">
        <v>9896</v>
      </c>
    </row>
    <row r="4535" spans="1:17" x14ac:dyDescent="0.2">
      <c r="A4535" s="5">
        <v>1224</v>
      </c>
      <c r="B4535" s="8" t="s">
        <v>9899</v>
      </c>
      <c r="H4535" s="8" t="s">
        <v>9944</v>
      </c>
      <c r="I4535" s="8" t="s">
        <v>9944</v>
      </c>
      <c r="J4535" s="5">
        <v>10</v>
      </c>
      <c r="K4535" s="5" t="s">
        <v>21</v>
      </c>
      <c r="L4535" s="5" t="s">
        <v>9249</v>
      </c>
      <c r="M4535" s="5">
        <v>26</v>
      </c>
      <c r="N4535" s="5" t="s">
        <v>43</v>
      </c>
      <c r="O4535" s="5" t="s">
        <v>1640</v>
      </c>
      <c r="Q4535" s="5" t="s">
        <v>9896</v>
      </c>
    </row>
    <row r="4536" spans="1:17" x14ac:dyDescent="0.2">
      <c r="A4536" s="5">
        <v>1225</v>
      </c>
      <c r="B4536" s="8">
        <v>1156283</v>
      </c>
      <c r="H4536" s="8" t="s">
        <v>9904</v>
      </c>
      <c r="I4536" s="8" t="s">
        <v>9904</v>
      </c>
      <c r="J4536" s="5">
        <v>650</v>
      </c>
      <c r="K4536" s="5" t="s">
        <v>21</v>
      </c>
      <c r="L4536" s="5" t="s">
        <v>9249</v>
      </c>
      <c r="M4536" s="5">
        <v>26</v>
      </c>
      <c r="N4536" s="5" t="s">
        <v>896</v>
      </c>
      <c r="O4536" s="5" t="s">
        <v>1640</v>
      </c>
      <c r="Q4536" s="5" t="s">
        <v>9905</v>
      </c>
    </row>
    <row r="4537" spans="1:17" x14ac:dyDescent="0.2">
      <c r="A4537" s="5">
        <v>1226</v>
      </c>
      <c r="B4537" s="8" t="s">
        <v>9912</v>
      </c>
      <c r="H4537" s="8" t="s">
        <v>9913</v>
      </c>
      <c r="I4537" s="8" t="s">
        <v>9913</v>
      </c>
      <c r="J4537" s="5">
        <v>14</v>
      </c>
      <c r="K4537" s="5" t="s">
        <v>21</v>
      </c>
      <c r="L4537" s="5" t="s">
        <v>9249</v>
      </c>
      <c r="M4537" s="5">
        <v>26</v>
      </c>
      <c r="N4537" s="5" t="s">
        <v>43</v>
      </c>
      <c r="O4537" s="5" t="s">
        <v>1640</v>
      </c>
      <c r="Q4537" s="5" t="s">
        <v>9896</v>
      </c>
    </row>
    <row r="4538" spans="1:17" x14ac:dyDescent="0.2">
      <c r="A4538" s="5">
        <v>1227</v>
      </c>
      <c r="B4538" s="8" t="s">
        <v>9917</v>
      </c>
      <c r="H4538" s="8" t="s">
        <v>9918</v>
      </c>
      <c r="I4538" s="8" t="s">
        <v>9918</v>
      </c>
      <c r="J4538" s="5">
        <v>15</v>
      </c>
      <c r="K4538" s="5" t="s">
        <v>21</v>
      </c>
      <c r="L4538" s="5" t="s">
        <v>9249</v>
      </c>
      <c r="M4538" s="5">
        <v>26</v>
      </c>
      <c r="N4538" s="5" t="s">
        <v>8053</v>
      </c>
      <c r="O4538" s="5" t="s">
        <v>1640</v>
      </c>
      <c r="Q4538" s="5" t="s">
        <v>9945</v>
      </c>
    </row>
    <row r="4539" spans="1:17" x14ac:dyDescent="0.2">
      <c r="A4539" s="5">
        <v>1228</v>
      </c>
      <c r="B4539" s="8" t="s">
        <v>9946</v>
      </c>
      <c r="H4539" s="8" t="s">
        <v>9902</v>
      </c>
      <c r="I4539" s="8" t="s">
        <v>9902</v>
      </c>
      <c r="J4539" s="5">
        <v>0</v>
      </c>
      <c r="K4539" s="5" t="s">
        <v>848</v>
      </c>
      <c r="L4539" s="5" t="s">
        <v>9249</v>
      </c>
      <c r="M4539" s="5">
        <v>26</v>
      </c>
      <c r="N4539" s="5" t="s">
        <v>3243</v>
      </c>
      <c r="O4539" s="5" t="s">
        <v>1640</v>
      </c>
      <c r="Q4539" s="5" t="s">
        <v>9374</v>
      </c>
    </row>
    <row r="4540" spans="1:17" x14ac:dyDescent="0.2">
      <c r="A4540" s="5">
        <v>1230</v>
      </c>
      <c r="B4540" s="8" t="s">
        <v>9947</v>
      </c>
      <c r="H4540" s="8" t="s">
        <v>9921</v>
      </c>
      <c r="I4540" s="8" t="s">
        <v>9921</v>
      </c>
      <c r="J4540" s="5">
        <v>75</v>
      </c>
      <c r="K4540" s="5" t="s">
        <v>848</v>
      </c>
      <c r="L4540" s="5" t="s">
        <v>9249</v>
      </c>
      <c r="M4540" s="5">
        <v>26</v>
      </c>
      <c r="N4540" s="5" t="s">
        <v>3243</v>
      </c>
      <c r="O4540" s="5" t="s">
        <v>1640</v>
      </c>
      <c r="Q4540" s="5" t="s">
        <v>9922</v>
      </c>
    </row>
    <row r="4541" spans="1:17" x14ac:dyDescent="0.2">
      <c r="A4541" s="5">
        <v>2344</v>
      </c>
      <c r="B4541" s="8" t="s">
        <v>9948</v>
      </c>
      <c r="H4541" s="8" t="s">
        <v>9949</v>
      </c>
      <c r="I4541" s="8" t="s">
        <v>9949</v>
      </c>
      <c r="J4541" s="5">
        <v>475</v>
      </c>
      <c r="K4541" s="5" t="s">
        <v>21</v>
      </c>
      <c r="L4541" s="5" t="s">
        <v>9249</v>
      </c>
      <c r="M4541" s="5">
        <v>26</v>
      </c>
      <c r="N4541" s="5" t="s">
        <v>57</v>
      </c>
      <c r="O4541" s="5" t="s">
        <v>789</v>
      </c>
      <c r="Q4541" s="5" t="s">
        <v>9950</v>
      </c>
    </row>
    <row r="4542" spans="1:17" x14ac:dyDescent="0.2">
      <c r="A4542" s="5">
        <v>951</v>
      </c>
      <c r="B4542" s="8" t="s">
        <v>9951</v>
      </c>
      <c r="H4542" s="8" t="s">
        <v>9952</v>
      </c>
      <c r="I4542" s="8" t="s">
        <v>9952</v>
      </c>
      <c r="J4542" s="5">
        <v>28</v>
      </c>
      <c r="K4542" s="5" t="s">
        <v>292</v>
      </c>
      <c r="L4542" s="5" t="s">
        <v>9249</v>
      </c>
      <c r="M4542" s="5">
        <v>28</v>
      </c>
      <c r="N4542" s="5" t="s">
        <v>8053</v>
      </c>
      <c r="O4542" s="5" t="s">
        <v>1640</v>
      </c>
      <c r="Q4542" s="5" t="s">
        <v>553</v>
      </c>
    </row>
    <row r="4543" spans="1:17" x14ac:dyDescent="0.2">
      <c r="A4543" s="5">
        <v>952</v>
      </c>
      <c r="B4543" s="8" t="s">
        <v>9953</v>
      </c>
      <c r="H4543" s="8" t="s">
        <v>9954</v>
      </c>
      <c r="I4543" s="8" t="s">
        <v>9954</v>
      </c>
      <c r="J4543" s="5">
        <v>19</v>
      </c>
      <c r="K4543" s="5" t="s">
        <v>292</v>
      </c>
      <c r="L4543" s="5" t="s">
        <v>9249</v>
      </c>
      <c r="M4543" s="5">
        <v>28</v>
      </c>
      <c r="N4543" s="5" t="s">
        <v>8053</v>
      </c>
      <c r="O4543" s="5" t="s">
        <v>1640</v>
      </c>
      <c r="Q4543" s="5" t="s">
        <v>553</v>
      </c>
    </row>
    <row r="4544" spans="1:17" x14ac:dyDescent="0.2">
      <c r="A4544" s="5">
        <v>953</v>
      </c>
      <c r="B4544" s="8" t="s">
        <v>9955</v>
      </c>
      <c r="H4544" s="8" t="s">
        <v>9956</v>
      </c>
      <c r="I4544" s="8" t="s">
        <v>9956</v>
      </c>
      <c r="J4544" s="5">
        <v>6</v>
      </c>
      <c r="K4544" s="5" t="s">
        <v>292</v>
      </c>
      <c r="L4544" s="5" t="s">
        <v>9249</v>
      </c>
      <c r="M4544" s="5">
        <v>28</v>
      </c>
      <c r="N4544" s="5" t="s">
        <v>8053</v>
      </c>
      <c r="O4544" s="5" t="s">
        <v>1640</v>
      </c>
      <c r="Q4544" s="5" t="s">
        <v>553</v>
      </c>
    </row>
    <row r="4545" spans="1:17" x14ac:dyDescent="0.2">
      <c r="A4545" s="5">
        <v>954</v>
      </c>
      <c r="B4545" s="8" t="s">
        <v>9957</v>
      </c>
      <c r="H4545" s="8" t="s">
        <v>9958</v>
      </c>
      <c r="I4545" s="8" t="s">
        <v>9958</v>
      </c>
      <c r="J4545" s="5">
        <v>50</v>
      </c>
      <c r="K4545" s="5" t="s">
        <v>292</v>
      </c>
      <c r="L4545" s="5" t="s">
        <v>9249</v>
      </c>
      <c r="M4545" s="5">
        <v>28</v>
      </c>
      <c r="N4545" s="5" t="s">
        <v>8053</v>
      </c>
      <c r="O4545" s="5" t="s">
        <v>1640</v>
      </c>
      <c r="Q4545" s="5" t="s">
        <v>553</v>
      </c>
    </row>
    <row r="4546" spans="1:17" x14ac:dyDescent="0.2">
      <c r="A4546" s="5">
        <v>955</v>
      </c>
      <c r="B4546" s="8" t="s">
        <v>9959</v>
      </c>
      <c r="H4546" s="8" t="s">
        <v>9960</v>
      </c>
      <c r="I4546" s="8" t="s">
        <v>9961</v>
      </c>
      <c r="J4546" s="5">
        <v>17</v>
      </c>
      <c r="K4546" s="5" t="s">
        <v>292</v>
      </c>
      <c r="L4546" s="5" t="s">
        <v>9249</v>
      </c>
      <c r="M4546" s="5">
        <v>28</v>
      </c>
      <c r="N4546" s="5" t="s">
        <v>8053</v>
      </c>
      <c r="O4546" s="5" t="s">
        <v>1640</v>
      </c>
      <c r="Q4546" s="5" t="s">
        <v>553</v>
      </c>
    </row>
    <row r="4547" spans="1:17" x14ac:dyDescent="0.2">
      <c r="A4547" s="5">
        <v>956</v>
      </c>
      <c r="B4547" s="8" t="s">
        <v>9962</v>
      </c>
      <c r="H4547" s="8" t="s">
        <v>9963</v>
      </c>
      <c r="I4547" s="8" t="s">
        <v>9963</v>
      </c>
      <c r="J4547" s="5">
        <v>15</v>
      </c>
      <c r="K4547" s="5" t="s">
        <v>292</v>
      </c>
      <c r="L4547" s="5" t="s">
        <v>9249</v>
      </c>
      <c r="M4547" s="5">
        <v>28</v>
      </c>
      <c r="N4547" s="5" t="s">
        <v>8053</v>
      </c>
      <c r="O4547" s="5" t="s">
        <v>1640</v>
      </c>
      <c r="Q4547" s="5" t="s">
        <v>553</v>
      </c>
    </row>
    <row r="4548" spans="1:17" x14ac:dyDescent="0.2">
      <c r="A4548" s="5">
        <v>957</v>
      </c>
      <c r="B4548" s="8" t="s">
        <v>9964</v>
      </c>
      <c r="H4548" s="8" t="s">
        <v>9863</v>
      </c>
      <c r="I4548" s="8" t="s">
        <v>9863</v>
      </c>
      <c r="J4548" s="5">
        <v>10</v>
      </c>
      <c r="K4548" s="5" t="s">
        <v>292</v>
      </c>
      <c r="L4548" s="5" t="s">
        <v>9249</v>
      </c>
      <c r="M4548" s="5">
        <v>28</v>
      </c>
      <c r="N4548" s="5" t="s">
        <v>8053</v>
      </c>
      <c r="O4548" s="5" t="s">
        <v>1640</v>
      </c>
      <c r="Q4548" s="5" t="s">
        <v>553</v>
      </c>
    </row>
    <row r="4549" spans="1:17" x14ac:dyDescent="0.2">
      <c r="A4549" s="5">
        <v>958</v>
      </c>
      <c r="B4549" s="8" t="s">
        <v>9965</v>
      </c>
      <c r="H4549" s="8" t="s">
        <v>9966</v>
      </c>
      <c r="I4549" s="8" t="s">
        <v>9966</v>
      </c>
      <c r="J4549" s="5">
        <v>25</v>
      </c>
      <c r="K4549" s="5" t="s">
        <v>292</v>
      </c>
      <c r="L4549" s="5" t="s">
        <v>9249</v>
      </c>
      <c r="M4549" s="5">
        <v>28</v>
      </c>
      <c r="N4549" s="5" t="s">
        <v>8053</v>
      </c>
      <c r="O4549" s="5" t="s">
        <v>1640</v>
      </c>
      <c r="Q4549" s="5" t="s">
        <v>553</v>
      </c>
    </row>
    <row r="4550" spans="1:17" x14ac:dyDescent="0.2">
      <c r="A4550" s="5">
        <v>959</v>
      </c>
      <c r="B4550" s="8" t="s">
        <v>9967</v>
      </c>
      <c r="H4550" s="8" t="s">
        <v>9968</v>
      </c>
      <c r="I4550" s="8" t="s">
        <v>9968</v>
      </c>
      <c r="J4550" s="5">
        <v>15</v>
      </c>
      <c r="K4550" s="5" t="s">
        <v>292</v>
      </c>
      <c r="L4550" s="5" t="s">
        <v>9249</v>
      </c>
      <c r="M4550" s="5">
        <v>28</v>
      </c>
      <c r="N4550" s="5" t="s">
        <v>8053</v>
      </c>
      <c r="O4550" s="5" t="s">
        <v>1640</v>
      </c>
      <c r="Q4550" s="5" t="s">
        <v>553</v>
      </c>
    </row>
    <row r="4551" spans="1:17" x14ac:dyDescent="0.2">
      <c r="A4551" s="5">
        <v>960</v>
      </c>
      <c r="B4551" s="8" t="s">
        <v>9969</v>
      </c>
      <c r="H4551" s="8" t="s">
        <v>9970</v>
      </c>
      <c r="I4551" s="8" t="s">
        <v>9970</v>
      </c>
      <c r="J4551" s="5">
        <v>10</v>
      </c>
      <c r="K4551" s="5" t="s">
        <v>292</v>
      </c>
      <c r="L4551" s="5" t="s">
        <v>9249</v>
      </c>
      <c r="M4551" s="5">
        <v>28</v>
      </c>
      <c r="N4551" s="5" t="s">
        <v>8053</v>
      </c>
      <c r="O4551" s="5" t="s">
        <v>1640</v>
      </c>
      <c r="Q4551" s="5" t="s">
        <v>553</v>
      </c>
    </row>
    <row r="4552" spans="1:17" x14ac:dyDescent="0.2">
      <c r="A4552" s="5">
        <v>961</v>
      </c>
      <c r="B4552" s="8" t="s">
        <v>9971</v>
      </c>
      <c r="H4552" s="8" t="s">
        <v>9972</v>
      </c>
      <c r="I4552" s="8" t="s">
        <v>9972</v>
      </c>
      <c r="J4552" s="5">
        <v>20</v>
      </c>
      <c r="K4552" s="5" t="s">
        <v>292</v>
      </c>
      <c r="L4552" s="5" t="s">
        <v>9249</v>
      </c>
      <c r="M4552" s="5">
        <v>28</v>
      </c>
      <c r="N4552" s="5" t="s">
        <v>8053</v>
      </c>
      <c r="O4552" s="5" t="s">
        <v>1640</v>
      </c>
      <c r="Q4552" s="5" t="s">
        <v>553</v>
      </c>
    </row>
    <row r="4553" spans="1:17" x14ac:dyDescent="0.2">
      <c r="A4553" s="5">
        <v>962</v>
      </c>
      <c r="B4553" s="8" t="s">
        <v>9973</v>
      </c>
      <c r="H4553" s="8" t="s">
        <v>9671</v>
      </c>
      <c r="I4553" s="8" t="s">
        <v>9671</v>
      </c>
      <c r="J4553" s="5">
        <v>18</v>
      </c>
      <c r="K4553" s="5" t="s">
        <v>292</v>
      </c>
      <c r="L4553" s="5" t="s">
        <v>9249</v>
      </c>
      <c r="M4553" s="5">
        <v>28</v>
      </c>
      <c r="N4553" s="5" t="s">
        <v>8053</v>
      </c>
      <c r="O4553" s="5" t="s">
        <v>1640</v>
      </c>
      <c r="Q4553" s="5" t="s">
        <v>553</v>
      </c>
    </row>
    <row r="4554" spans="1:17" x14ac:dyDescent="0.2">
      <c r="A4554" s="5">
        <v>963</v>
      </c>
      <c r="B4554" s="8" t="s">
        <v>9974</v>
      </c>
      <c r="H4554" s="8" t="s">
        <v>9975</v>
      </c>
      <c r="I4554" s="8" t="s">
        <v>9975</v>
      </c>
      <c r="J4554" s="5">
        <v>20</v>
      </c>
      <c r="K4554" s="5" t="s">
        <v>292</v>
      </c>
      <c r="L4554" s="5" t="s">
        <v>9249</v>
      </c>
      <c r="M4554" s="5">
        <v>28</v>
      </c>
      <c r="N4554" s="5" t="s">
        <v>8053</v>
      </c>
      <c r="O4554" s="5" t="s">
        <v>1640</v>
      </c>
      <c r="Q4554" s="5" t="s">
        <v>9976</v>
      </c>
    </row>
    <row r="4555" spans="1:17" x14ac:dyDescent="0.2">
      <c r="A4555" s="5">
        <v>964</v>
      </c>
      <c r="B4555" s="8" t="s">
        <v>9977</v>
      </c>
      <c r="H4555" s="8" t="s">
        <v>9978</v>
      </c>
      <c r="I4555" s="8" t="s">
        <v>9978</v>
      </c>
      <c r="J4555" s="5">
        <v>21</v>
      </c>
      <c r="K4555" s="5" t="s">
        <v>292</v>
      </c>
      <c r="L4555" s="5" t="s">
        <v>9249</v>
      </c>
      <c r="M4555" s="5">
        <v>28</v>
      </c>
      <c r="N4555" s="5" t="s">
        <v>43</v>
      </c>
      <c r="O4555" s="5" t="s">
        <v>1640</v>
      </c>
      <c r="Q4555" s="5" t="s">
        <v>9979</v>
      </c>
    </row>
    <row r="4556" spans="1:17" x14ac:dyDescent="0.2">
      <c r="A4556" s="5">
        <v>965</v>
      </c>
      <c r="B4556" s="8" t="s">
        <v>9980</v>
      </c>
      <c r="H4556" s="8" t="s">
        <v>9981</v>
      </c>
      <c r="I4556" s="8" t="s">
        <v>9981</v>
      </c>
      <c r="J4556" s="5">
        <v>9</v>
      </c>
      <c r="K4556" s="5" t="s">
        <v>292</v>
      </c>
      <c r="L4556" s="5" t="s">
        <v>9249</v>
      </c>
      <c r="M4556" s="5">
        <v>28</v>
      </c>
      <c r="N4556" s="5" t="s">
        <v>9330</v>
      </c>
      <c r="O4556" s="5" t="s">
        <v>1640</v>
      </c>
      <c r="Q4556" s="5" t="s">
        <v>5519</v>
      </c>
    </row>
    <row r="4557" spans="1:17" x14ac:dyDescent="0.2">
      <c r="A4557" s="5">
        <v>966</v>
      </c>
      <c r="B4557" s="8" t="s">
        <v>9982</v>
      </c>
      <c r="H4557" s="8" t="s">
        <v>9983</v>
      </c>
      <c r="I4557" s="8" t="s">
        <v>9983</v>
      </c>
      <c r="J4557" s="5">
        <v>47</v>
      </c>
      <c r="K4557" s="5" t="s">
        <v>292</v>
      </c>
      <c r="L4557" s="5" t="s">
        <v>9249</v>
      </c>
      <c r="M4557" s="5">
        <v>28</v>
      </c>
      <c r="N4557" s="5" t="s">
        <v>43</v>
      </c>
      <c r="O4557" s="5" t="s">
        <v>1640</v>
      </c>
      <c r="Q4557" s="5" t="s">
        <v>9984</v>
      </c>
    </row>
    <row r="4558" spans="1:17" x14ac:dyDescent="0.2">
      <c r="A4558" s="5">
        <v>365</v>
      </c>
      <c r="B4558" s="8" t="s">
        <v>9985</v>
      </c>
      <c r="H4558" s="8" t="s">
        <v>9986</v>
      </c>
      <c r="I4558" s="8" t="s">
        <v>9986</v>
      </c>
      <c r="J4558" s="5">
        <v>4000</v>
      </c>
      <c r="K4558" s="5" t="s">
        <v>292</v>
      </c>
      <c r="L4558" s="5" t="s">
        <v>9249</v>
      </c>
      <c r="M4558" s="5">
        <v>29</v>
      </c>
      <c r="N4558" s="5" t="s">
        <v>3099</v>
      </c>
      <c r="Q4558" s="5" t="s">
        <v>9987</v>
      </c>
    </row>
    <row r="4559" spans="1:17" x14ac:dyDescent="0.2">
      <c r="A4559" s="5">
        <v>365</v>
      </c>
      <c r="B4559" s="8" t="s">
        <v>9988</v>
      </c>
      <c r="H4559" s="8" t="s">
        <v>9989</v>
      </c>
      <c r="I4559" s="8" t="s">
        <v>9989</v>
      </c>
      <c r="J4559" s="5">
        <v>265</v>
      </c>
      <c r="K4559" s="5" t="s">
        <v>292</v>
      </c>
      <c r="L4559" s="5" t="s">
        <v>9249</v>
      </c>
      <c r="M4559" s="5">
        <v>29</v>
      </c>
      <c r="N4559" s="5" t="s">
        <v>9990</v>
      </c>
      <c r="O4559" s="5" t="s">
        <v>266</v>
      </c>
      <c r="Q4559" s="5" t="s">
        <v>9991</v>
      </c>
    </row>
    <row r="4560" spans="1:17" x14ac:dyDescent="0.2">
      <c r="A4560" s="5">
        <v>776</v>
      </c>
      <c r="B4560" s="8" t="s">
        <v>9992</v>
      </c>
      <c r="H4560" s="8" t="s">
        <v>9993</v>
      </c>
      <c r="I4560" s="8" t="s">
        <v>9993</v>
      </c>
      <c r="J4560" s="5">
        <v>72</v>
      </c>
      <c r="K4560" s="5" t="s">
        <v>292</v>
      </c>
      <c r="L4560" s="5" t="s">
        <v>9249</v>
      </c>
      <c r="M4560" s="5">
        <v>27</v>
      </c>
      <c r="N4560" s="5" t="s">
        <v>1771</v>
      </c>
      <c r="O4560" s="5" t="s">
        <v>789</v>
      </c>
      <c r="Q4560" s="5" t="s">
        <v>9994</v>
      </c>
    </row>
    <row r="4561" spans="1:17" x14ac:dyDescent="0.2">
      <c r="A4561" s="5">
        <v>799</v>
      </c>
      <c r="B4561" s="8" t="s">
        <v>9995</v>
      </c>
      <c r="H4561" s="8" t="s">
        <v>9996</v>
      </c>
      <c r="I4561" s="8" t="s">
        <v>9996</v>
      </c>
      <c r="J4561" s="5">
        <v>105</v>
      </c>
      <c r="K4561" s="5" t="s">
        <v>292</v>
      </c>
      <c r="L4561" s="5" t="s">
        <v>9249</v>
      </c>
      <c r="M4561" s="5">
        <v>29</v>
      </c>
      <c r="N4561" s="5" t="s">
        <v>2552</v>
      </c>
      <c r="O4561" s="5" t="s">
        <v>789</v>
      </c>
      <c r="Q4561" s="33" t="s">
        <v>9997</v>
      </c>
    </row>
    <row r="4562" spans="1:17" x14ac:dyDescent="0.2">
      <c r="A4562" s="5">
        <v>1036</v>
      </c>
      <c r="B4562" s="8" t="s">
        <v>9998</v>
      </c>
      <c r="H4562" s="8" t="s">
        <v>9999</v>
      </c>
      <c r="I4562" s="8" t="s">
        <v>9999</v>
      </c>
      <c r="J4562" s="5">
        <v>0</v>
      </c>
      <c r="K4562" s="5" t="s">
        <v>292</v>
      </c>
      <c r="L4562" s="5" t="s">
        <v>9249</v>
      </c>
      <c r="M4562" s="5">
        <v>29</v>
      </c>
      <c r="N4562" s="5" t="s">
        <v>57</v>
      </c>
      <c r="O4562" s="5" t="s">
        <v>1640</v>
      </c>
      <c r="Q4562" s="5" t="s">
        <v>553</v>
      </c>
    </row>
    <row r="4563" spans="1:17" x14ac:dyDescent="0.2">
      <c r="A4563" s="5">
        <v>1118</v>
      </c>
      <c r="B4563" s="8" t="s">
        <v>10000</v>
      </c>
      <c r="H4563" s="8" t="s">
        <v>10001</v>
      </c>
      <c r="I4563" s="8" t="s">
        <v>10001</v>
      </c>
      <c r="J4563" s="5">
        <v>9000</v>
      </c>
      <c r="K4563" s="5" t="s">
        <v>292</v>
      </c>
      <c r="L4563" s="5" t="s">
        <v>9249</v>
      </c>
      <c r="M4563" s="5">
        <v>29</v>
      </c>
      <c r="N4563" s="5" t="s">
        <v>10002</v>
      </c>
      <c r="O4563" s="5" t="s">
        <v>1640</v>
      </c>
      <c r="Q4563" s="5" t="s">
        <v>553</v>
      </c>
    </row>
    <row r="4564" spans="1:17" x14ac:dyDescent="0.2">
      <c r="A4564" s="5">
        <v>1119</v>
      </c>
      <c r="B4564" s="8" t="s">
        <v>10003</v>
      </c>
      <c r="H4564" s="8" t="s">
        <v>10004</v>
      </c>
      <c r="I4564" s="8" t="s">
        <v>10004</v>
      </c>
      <c r="J4564" s="5">
        <v>150</v>
      </c>
      <c r="K4564" s="5" t="s">
        <v>292</v>
      </c>
      <c r="L4564" s="5" t="s">
        <v>9249</v>
      </c>
      <c r="M4564" s="5">
        <v>29</v>
      </c>
      <c r="N4564" s="5" t="s">
        <v>9279</v>
      </c>
      <c r="O4564" s="5" t="s">
        <v>1640</v>
      </c>
      <c r="Q4564" s="5" t="s">
        <v>553</v>
      </c>
    </row>
    <row r="4565" spans="1:17" x14ac:dyDescent="0.2">
      <c r="A4565" s="5">
        <v>1120</v>
      </c>
      <c r="B4565" s="8" t="s">
        <v>10005</v>
      </c>
      <c r="C4565" s="34"/>
      <c r="H4565" s="8" t="s">
        <v>10006</v>
      </c>
      <c r="I4565" s="8" t="s">
        <v>10006</v>
      </c>
      <c r="J4565" s="5">
        <v>50</v>
      </c>
      <c r="K4565" s="5" t="s">
        <v>292</v>
      </c>
      <c r="L4565" s="5" t="s">
        <v>9249</v>
      </c>
      <c r="M4565" s="5">
        <v>29</v>
      </c>
      <c r="N4565" s="5" t="s">
        <v>9297</v>
      </c>
      <c r="O4565" s="5" t="s">
        <v>1640</v>
      </c>
      <c r="Q4565" s="5" t="s">
        <v>553</v>
      </c>
    </row>
    <row r="4566" spans="1:17" x14ac:dyDescent="0.2">
      <c r="A4566" s="5">
        <v>1121</v>
      </c>
      <c r="B4566" s="34" t="s">
        <v>10007</v>
      </c>
      <c r="C4566" s="34"/>
      <c r="H4566" s="8" t="s">
        <v>10008</v>
      </c>
      <c r="I4566" s="8" t="s">
        <v>10008</v>
      </c>
      <c r="J4566" s="5">
        <v>4000</v>
      </c>
      <c r="K4566" s="5" t="s">
        <v>292</v>
      </c>
      <c r="L4566" s="5" t="s">
        <v>9249</v>
      </c>
      <c r="M4566" s="5">
        <v>29</v>
      </c>
      <c r="N4566" s="5" t="s">
        <v>57</v>
      </c>
      <c r="O4566" s="5" t="s">
        <v>1640</v>
      </c>
      <c r="Q4566" s="5" t="s">
        <v>553</v>
      </c>
    </row>
    <row r="4567" spans="1:17" x14ac:dyDescent="0.2">
      <c r="A4567" s="5">
        <v>1122</v>
      </c>
      <c r="B4567" s="8" t="s">
        <v>10009</v>
      </c>
      <c r="H4567" s="8" t="s">
        <v>10010</v>
      </c>
      <c r="I4567" s="8" t="s">
        <v>10010</v>
      </c>
      <c r="J4567" s="5">
        <v>100</v>
      </c>
      <c r="K4567" s="5" t="s">
        <v>292</v>
      </c>
      <c r="L4567" s="5" t="s">
        <v>9249</v>
      </c>
      <c r="M4567" s="5">
        <v>29</v>
      </c>
      <c r="N4567" s="5" t="s">
        <v>9297</v>
      </c>
      <c r="O4567" s="5" t="s">
        <v>1640</v>
      </c>
      <c r="Q4567" s="5" t="s">
        <v>553</v>
      </c>
    </row>
    <row r="4568" spans="1:17" x14ac:dyDescent="0.2">
      <c r="A4568" s="5">
        <v>1123</v>
      </c>
      <c r="B4568" s="8" t="s">
        <v>10011</v>
      </c>
      <c r="H4568" s="8" t="s">
        <v>10012</v>
      </c>
      <c r="I4568" s="8" t="s">
        <v>10012</v>
      </c>
      <c r="J4568" s="5">
        <v>20</v>
      </c>
      <c r="K4568" s="5" t="s">
        <v>292</v>
      </c>
      <c r="L4568" s="5" t="s">
        <v>9249</v>
      </c>
      <c r="M4568" s="5">
        <v>29</v>
      </c>
      <c r="N4568" s="5" t="s">
        <v>9279</v>
      </c>
      <c r="O4568" s="5" t="s">
        <v>1640</v>
      </c>
      <c r="Q4568" s="5" t="s">
        <v>553</v>
      </c>
    </row>
    <row r="4569" spans="1:17" x14ac:dyDescent="0.2">
      <c r="A4569" s="5">
        <v>1124</v>
      </c>
      <c r="B4569" s="40" t="s">
        <v>9281</v>
      </c>
      <c r="H4569" s="8" t="s">
        <v>9282</v>
      </c>
      <c r="I4569" s="8" t="s">
        <v>9282</v>
      </c>
      <c r="J4569" s="5">
        <v>0</v>
      </c>
      <c r="K4569" s="5" t="s">
        <v>292</v>
      </c>
      <c r="L4569" s="5" t="s">
        <v>9249</v>
      </c>
      <c r="M4569" s="5">
        <v>29</v>
      </c>
      <c r="N4569" s="5" t="s">
        <v>9279</v>
      </c>
      <c r="O4569" s="5" t="s">
        <v>1640</v>
      </c>
      <c r="Q4569" s="5" t="s">
        <v>553</v>
      </c>
    </row>
    <row r="4570" spans="1:17" x14ac:dyDescent="0.2">
      <c r="A4570" s="5">
        <v>1125</v>
      </c>
      <c r="B4570" s="8" t="s">
        <v>10013</v>
      </c>
      <c r="H4570" s="8" t="s">
        <v>10014</v>
      </c>
      <c r="I4570" s="8" t="s">
        <v>10014</v>
      </c>
      <c r="J4570" s="5">
        <v>4500</v>
      </c>
      <c r="K4570" s="5" t="s">
        <v>292</v>
      </c>
      <c r="L4570" s="5" t="s">
        <v>9249</v>
      </c>
      <c r="M4570" s="5">
        <v>29</v>
      </c>
      <c r="N4570" s="5" t="s">
        <v>57</v>
      </c>
      <c r="O4570" s="5" t="s">
        <v>1640</v>
      </c>
      <c r="Q4570" s="5" t="s">
        <v>553</v>
      </c>
    </row>
    <row r="4571" spans="1:17" x14ac:dyDescent="0.2">
      <c r="A4571" s="5">
        <v>1126</v>
      </c>
      <c r="B4571" s="8" t="s">
        <v>10015</v>
      </c>
      <c r="H4571" s="8" t="s">
        <v>10016</v>
      </c>
      <c r="I4571" s="8" t="s">
        <v>10016</v>
      </c>
      <c r="J4571" s="5">
        <v>3000</v>
      </c>
      <c r="K4571" s="5" t="s">
        <v>292</v>
      </c>
      <c r="L4571" s="5" t="s">
        <v>9249</v>
      </c>
      <c r="M4571" s="5">
        <v>29</v>
      </c>
      <c r="N4571" s="5" t="s">
        <v>9297</v>
      </c>
      <c r="O4571" s="5" t="s">
        <v>1640</v>
      </c>
      <c r="Q4571" s="5" t="s">
        <v>553</v>
      </c>
    </row>
    <row r="4572" spans="1:17" x14ac:dyDescent="0.2">
      <c r="A4572" s="5">
        <v>1127</v>
      </c>
      <c r="B4572" s="34" t="s">
        <v>10017</v>
      </c>
      <c r="H4572" s="8" t="s">
        <v>10017</v>
      </c>
      <c r="I4572" s="8" t="s">
        <v>10018</v>
      </c>
      <c r="J4572" s="5">
        <v>100</v>
      </c>
      <c r="K4572" s="5" t="s">
        <v>292</v>
      </c>
      <c r="L4572" s="5" t="s">
        <v>9249</v>
      </c>
      <c r="M4572" s="5">
        <v>29</v>
      </c>
      <c r="N4572" s="5" t="s">
        <v>9297</v>
      </c>
      <c r="O4572" s="5" t="s">
        <v>1640</v>
      </c>
      <c r="Q4572" s="5" t="s">
        <v>553</v>
      </c>
    </row>
    <row r="4573" spans="1:17" x14ac:dyDescent="0.2">
      <c r="A4573" s="5">
        <v>1128</v>
      </c>
      <c r="B4573" s="8" t="s">
        <v>10019</v>
      </c>
      <c r="H4573" s="8" t="s">
        <v>10020</v>
      </c>
      <c r="I4573" s="8" t="s">
        <v>10020</v>
      </c>
      <c r="J4573" s="5">
        <v>500</v>
      </c>
      <c r="K4573" s="5" t="s">
        <v>292</v>
      </c>
      <c r="L4573" s="5" t="s">
        <v>9249</v>
      </c>
      <c r="M4573" s="5">
        <v>29</v>
      </c>
      <c r="N4573" s="5" t="s">
        <v>9297</v>
      </c>
      <c r="O4573" s="5" t="s">
        <v>1640</v>
      </c>
      <c r="Q4573" s="5" t="s">
        <v>553</v>
      </c>
    </row>
    <row r="4574" spans="1:17" x14ac:dyDescent="0.2">
      <c r="A4574" s="5">
        <v>1129</v>
      </c>
      <c r="B4574" s="8" t="s">
        <v>10021</v>
      </c>
      <c r="H4574" s="8" t="s">
        <v>10022</v>
      </c>
      <c r="I4574" s="8" t="s">
        <v>10022</v>
      </c>
      <c r="J4574" s="5">
        <v>50</v>
      </c>
      <c r="K4574" s="5" t="s">
        <v>292</v>
      </c>
      <c r="L4574" s="5" t="s">
        <v>9249</v>
      </c>
      <c r="M4574" s="5">
        <v>29</v>
      </c>
      <c r="N4574" s="5" t="s">
        <v>3099</v>
      </c>
      <c r="O4574" s="5" t="s">
        <v>1640</v>
      </c>
      <c r="Q4574" s="5" t="s">
        <v>553</v>
      </c>
    </row>
    <row r="4575" spans="1:17" x14ac:dyDescent="0.2">
      <c r="A4575" s="5">
        <v>1130</v>
      </c>
      <c r="B4575" s="8" t="s">
        <v>10023</v>
      </c>
      <c r="H4575" s="8" t="s">
        <v>10024</v>
      </c>
      <c r="I4575" s="8" t="s">
        <v>10024</v>
      </c>
      <c r="J4575" s="5">
        <v>20</v>
      </c>
      <c r="K4575" s="5" t="s">
        <v>292</v>
      </c>
      <c r="L4575" s="5" t="s">
        <v>9249</v>
      </c>
      <c r="M4575" s="5">
        <v>29</v>
      </c>
      <c r="N4575" s="5" t="s">
        <v>9330</v>
      </c>
      <c r="O4575" s="5" t="s">
        <v>1640</v>
      </c>
      <c r="Q4575" s="5" t="s">
        <v>553</v>
      </c>
    </row>
    <row r="4576" spans="1:17" x14ac:dyDescent="0.2">
      <c r="A4576" s="5">
        <v>1131</v>
      </c>
      <c r="B4576" s="8" t="s">
        <v>10025</v>
      </c>
      <c r="H4576" s="8" t="s">
        <v>10026</v>
      </c>
      <c r="I4576" s="8" t="s">
        <v>10027</v>
      </c>
      <c r="J4576" s="5">
        <v>50</v>
      </c>
      <c r="K4576" s="5" t="s">
        <v>292</v>
      </c>
      <c r="L4576" s="5" t="s">
        <v>9249</v>
      </c>
      <c r="M4576" s="5">
        <v>29</v>
      </c>
      <c r="N4576" s="5" t="s">
        <v>57</v>
      </c>
      <c r="O4576" s="5" t="s">
        <v>1640</v>
      </c>
      <c r="Q4576" s="5" t="s">
        <v>553</v>
      </c>
    </row>
    <row r="4577" spans="1:19" x14ac:dyDescent="0.2">
      <c r="A4577" s="5">
        <v>1132</v>
      </c>
      <c r="B4577" s="8" t="s">
        <v>10028</v>
      </c>
      <c r="H4577" s="8" t="s">
        <v>10029</v>
      </c>
      <c r="I4577" s="8" t="s">
        <v>10030</v>
      </c>
      <c r="J4577" s="5">
        <v>50</v>
      </c>
      <c r="K4577" s="5" t="s">
        <v>292</v>
      </c>
      <c r="L4577" s="5" t="s">
        <v>9249</v>
      </c>
      <c r="M4577" s="5">
        <v>29</v>
      </c>
      <c r="N4577" s="5" t="s">
        <v>9297</v>
      </c>
      <c r="O4577" s="5" t="s">
        <v>1640</v>
      </c>
      <c r="Q4577" s="5" t="s">
        <v>553</v>
      </c>
    </row>
    <row r="4578" spans="1:19" x14ac:dyDescent="0.2">
      <c r="A4578" s="5">
        <v>1133</v>
      </c>
      <c r="B4578" s="8" t="s">
        <v>10031</v>
      </c>
      <c r="H4578" s="8" t="s">
        <v>10032</v>
      </c>
      <c r="I4578" s="8" t="s">
        <v>10033</v>
      </c>
      <c r="J4578" s="5">
        <v>20</v>
      </c>
      <c r="K4578" s="5" t="s">
        <v>292</v>
      </c>
      <c r="L4578" s="5" t="s">
        <v>9249</v>
      </c>
      <c r="M4578" s="5">
        <v>29</v>
      </c>
      <c r="N4578" s="5" t="s">
        <v>9297</v>
      </c>
      <c r="O4578" s="5" t="s">
        <v>1640</v>
      </c>
      <c r="Q4578" s="5" t="s">
        <v>553</v>
      </c>
    </row>
    <row r="4579" spans="1:19" x14ac:dyDescent="0.2">
      <c r="A4579" s="5">
        <v>1134</v>
      </c>
      <c r="B4579" s="8" t="s">
        <v>10034</v>
      </c>
      <c r="H4579" s="8" t="s">
        <v>10035</v>
      </c>
      <c r="I4579" s="8" t="s">
        <v>10035</v>
      </c>
      <c r="J4579" s="5">
        <v>50</v>
      </c>
      <c r="K4579" s="5" t="s">
        <v>292</v>
      </c>
      <c r="L4579" s="5" t="s">
        <v>9249</v>
      </c>
      <c r="M4579" s="5">
        <v>29</v>
      </c>
      <c r="N4579" s="5" t="s">
        <v>9297</v>
      </c>
      <c r="O4579" s="5" t="s">
        <v>1640</v>
      </c>
      <c r="Q4579" s="5" t="s">
        <v>553</v>
      </c>
    </row>
    <row r="4580" spans="1:19" x14ac:dyDescent="0.2">
      <c r="A4580" s="5">
        <v>1135</v>
      </c>
      <c r="B4580" s="8" t="s">
        <v>10036</v>
      </c>
      <c r="H4580" s="8" t="s">
        <v>10037</v>
      </c>
      <c r="I4580" s="8" t="s">
        <v>10037</v>
      </c>
      <c r="J4580" s="5">
        <v>300</v>
      </c>
      <c r="K4580" s="5" t="s">
        <v>292</v>
      </c>
      <c r="L4580" s="5" t="s">
        <v>9249</v>
      </c>
      <c r="M4580" s="5">
        <v>29</v>
      </c>
      <c r="N4580" s="5" t="s">
        <v>9297</v>
      </c>
      <c r="O4580" s="5" t="s">
        <v>1640</v>
      </c>
      <c r="Q4580" s="5" t="s">
        <v>553</v>
      </c>
    </row>
    <row r="4581" spans="1:19" x14ac:dyDescent="0.2">
      <c r="A4581" s="5">
        <v>1136</v>
      </c>
      <c r="B4581" s="8" t="s">
        <v>10038</v>
      </c>
      <c r="H4581" s="8" t="s">
        <v>10039</v>
      </c>
      <c r="I4581" s="8" t="s">
        <v>10039</v>
      </c>
      <c r="J4581" s="5">
        <v>4000</v>
      </c>
      <c r="K4581" s="5" t="s">
        <v>292</v>
      </c>
      <c r="L4581" s="5" t="s">
        <v>9249</v>
      </c>
      <c r="M4581" s="5">
        <v>29</v>
      </c>
      <c r="N4581" s="5" t="s">
        <v>9297</v>
      </c>
      <c r="O4581" s="5" t="s">
        <v>1640</v>
      </c>
      <c r="Q4581" s="5" t="s">
        <v>553</v>
      </c>
    </row>
    <row r="4582" spans="1:19" x14ac:dyDescent="0.2">
      <c r="A4582" s="5">
        <v>1137</v>
      </c>
      <c r="B4582" s="8" t="s">
        <v>10040</v>
      </c>
      <c r="H4582" s="8" t="s">
        <v>10041</v>
      </c>
      <c r="I4582" s="8" t="s">
        <v>10041</v>
      </c>
      <c r="J4582" s="5">
        <v>500</v>
      </c>
      <c r="K4582" s="5" t="s">
        <v>292</v>
      </c>
      <c r="L4582" s="5" t="s">
        <v>9249</v>
      </c>
      <c r="M4582" s="5">
        <v>29</v>
      </c>
      <c r="N4582" s="5" t="s">
        <v>9297</v>
      </c>
      <c r="O4582" s="5" t="s">
        <v>1640</v>
      </c>
      <c r="Q4582" s="5" t="s">
        <v>553</v>
      </c>
    </row>
    <row r="4583" spans="1:19" x14ac:dyDescent="0.2">
      <c r="A4583" s="5">
        <v>1138</v>
      </c>
      <c r="B4583" s="8" t="s">
        <v>10042</v>
      </c>
      <c r="H4583" s="8" t="s">
        <v>10043</v>
      </c>
      <c r="I4583" s="8" t="s">
        <v>10043</v>
      </c>
      <c r="J4583" s="5">
        <v>250</v>
      </c>
      <c r="K4583" s="5" t="s">
        <v>292</v>
      </c>
      <c r="L4583" s="5" t="s">
        <v>9249</v>
      </c>
      <c r="M4583" s="5">
        <v>29</v>
      </c>
      <c r="N4583" s="5" t="s">
        <v>9297</v>
      </c>
      <c r="O4583" s="5" t="s">
        <v>1640</v>
      </c>
      <c r="Q4583" s="5" t="s">
        <v>553</v>
      </c>
    </row>
    <row r="4584" spans="1:19" x14ac:dyDescent="0.2">
      <c r="A4584" s="5">
        <v>1139</v>
      </c>
      <c r="B4584" s="8" t="s">
        <v>10044</v>
      </c>
      <c r="H4584" s="8" t="s">
        <v>10045</v>
      </c>
      <c r="I4584" s="8" t="s">
        <v>10045</v>
      </c>
      <c r="J4584" s="5">
        <v>4000</v>
      </c>
      <c r="K4584" s="5" t="s">
        <v>292</v>
      </c>
      <c r="L4584" s="5" t="s">
        <v>9249</v>
      </c>
      <c r="M4584" s="5">
        <v>29</v>
      </c>
      <c r="N4584" s="5" t="s">
        <v>57</v>
      </c>
      <c r="O4584" s="5" t="s">
        <v>1640</v>
      </c>
      <c r="Q4584" s="5" t="s">
        <v>553</v>
      </c>
    </row>
    <row r="4585" spans="1:19" x14ac:dyDescent="0.2">
      <c r="A4585" s="5">
        <v>1140</v>
      </c>
      <c r="B4585" s="8" t="s">
        <v>10046</v>
      </c>
      <c r="H4585" s="8" t="s">
        <v>10047</v>
      </c>
      <c r="I4585" s="8" t="s">
        <v>10047</v>
      </c>
      <c r="J4585" s="5">
        <v>4000</v>
      </c>
      <c r="K4585" s="5" t="s">
        <v>292</v>
      </c>
      <c r="L4585" s="5" t="s">
        <v>9249</v>
      </c>
      <c r="M4585" s="5">
        <v>29</v>
      </c>
      <c r="N4585" s="5" t="s">
        <v>9297</v>
      </c>
      <c r="O4585" s="5" t="s">
        <v>1640</v>
      </c>
      <c r="Q4585" s="5" t="s">
        <v>553</v>
      </c>
    </row>
    <row r="4586" spans="1:19" x14ac:dyDescent="0.2">
      <c r="A4586" s="5">
        <v>1141</v>
      </c>
      <c r="B4586" s="34" t="s">
        <v>10048</v>
      </c>
      <c r="H4586" s="8" t="s">
        <v>10049</v>
      </c>
      <c r="I4586" s="8" t="s">
        <v>10049</v>
      </c>
      <c r="J4586" s="5">
        <v>500</v>
      </c>
      <c r="K4586" s="5" t="s">
        <v>292</v>
      </c>
      <c r="L4586" s="5" t="s">
        <v>9249</v>
      </c>
      <c r="M4586" s="5">
        <v>29</v>
      </c>
      <c r="N4586" s="5" t="s">
        <v>9297</v>
      </c>
      <c r="O4586" s="5" t="s">
        <v>1640</v>
      </c>
      <c r="Q4586" s="5" t="s">
        <v>553</v>
      </c>
    </row>
    <row r="4587" spans="1:19" x14ac:dyDescent="0.2">
      <c r="A4587" s="5">
        <v>1142</v>
      </c>
      <c r="B4587" s="34" t="s">
        <v>10050</v>
      </c>
      <c r="H4587" s="8" t="s">
        <v>10051</v>
      </c>
      <c r="I4587" s="8" t="s">
        <v>10052</v>
      </c>
      <c r="J4587" s="5">
        <v>165</v>
      </c>
      <c r="K4587" s="5" t="s">
        <v>292</v>
      </c>
      <c r="L4587" s="5" t="s">
        <v>9249</v>
      </c>
      <c r="M4587" s="5">
        <v>29</v>
      </c>
      <c r="N4587" s="5" t="s">
        <v>9418</v>
      </c>
      <c r="O4587" s="5" t="s">
        <v>1640</v>
      </c>
      <c r="Q4587" s="5" t="s">
        <v>553</v>
      </c>
    </row>
    <row r="4588" spans="1:19" x14ac:dyDescent="0.2">
      <c r="A4588" s="5">
        <v>1143</v>
      </c>
      <c r="B4588" s="8" t="s">
        <v>10053</v>
      </c>
      <c r="H4588" s="8" t="s">
        <v>10054</v>
      </c>
      <c r="I4588" s="8" t="s">
        <v>10054</v>
      </c>
      <c r="J4588" s="5">
        <v>5000</v>
      </c>
      <c r="K4588" s="5" t="s">
        <v>292</v>
      </c>
      <c r="L4588" s="5" t="s">
        <v>9249</v>
      </c>
      <c r="M4588" s="5">
        <v>29</v>
      </c>
      <c r="N4588" s="5" t="s">
        <v>57</v>
      </c>
      <c r="O4588" s="5" t="s">
        <v>1640</v>
      </c>
      <c r="Q4588" s="5" t="s">
        <v>553</v>
      </c>
    </row>
    <row r="4589" spans="1:19" x14ac:dyDescent="0.2">
      <c r="A4589" s="5">
        <v>1144</v>
      </c>
      <c r="B4589" s="8" t="s">
        <v>10055</v>
      </c>
      <c r="H4589" s="8" t="s">
        <v>10056</v>
      </c>
      <c r="I4589" s="8" t="s">
        <v>10057</v>
      </c>
      <c r="J4589" s="5">
        <v>5000</v>
      </c>
      <c r="K4589" s="5" t="s">
        <v>292</v>
      </c>
      <c r="L4589" s="5" t="s">
        <v>9249</v>
      </c>
      <c r="M4589" s="5">
        <v>29</v>
      </c>
      <c r="N4589" s="5" t="s">
        <v>9297</v>
      </c>
      <c r="O4589" s="5" t="s">
        <v>1640</v>
      </c>
      <c r="Q4589" s="5" t="s">
        <v>553</v>
      </c>
    </row>
    <row r="4590" spans="1:19" x14ac:dyDescent="0.2">
      <c r="A4590" s="5">
        <v>1145</v>
      </c>
      <c r="B4590" s="34" t="s">
        <v>10058</v>
      </c>
      <c r="H4590" s="8" t="s">
        <v>10059</v>
      </c>
      <c r="I4590" s="8" t="s">
        <v>10060</v>
      </c>
      <c r="J4590" s="5">
        <v>40</v>
      </c>
      <c r="K4590" s="5" t="s">
        <v>292</v>
      </c>
      <c r="L4590" s="5" t="s">
        <v>9249</v>
      </c>
      <c r="M4590" s="5">
        <v>29</v>
      </c>
      <c r="N4590" s="5" t="s">
        <v>9297</v>
      </c>
      <c r="O4590" s="5" t="s">
        <v>1640</v>
      </c>
      <c r="Q4590" s="5" t="s">
        <v>553</v>
      </c>
    </row>
    <row r="4591" spans="1:19" x14ac:dyDescent="0.2">
      <c r="A4591" s="5">
        <v>1146</v>
      </c>
      <c r="B4591" s="8" t="s">
        <v>10061</v>
      </c>
      <c r="H4591" s="8" t="s">
        <v>10062</v>
      </c>
      <c r="I4591" s="8" t="s">
        <v>10062</v>
      </c>
      <c r="J4591" s="5">
        <v>130</v>
      </c>
      <c r="K4591" s="5" t="s">
        <v>292</v>
      </c>
      <c r="L4591" s="5" t="s">
        <v>9249</v>
      </c>
      <c r="M4591" s="5">
        <v>29</v>
      </c>
      <c r="N4591" s="5" t="s">
        <v>9297</v>
      </c>
      <c r="O4591" s="5" t="s">
        <v>1640</v>
      </c>
      <c r="Q4591" s="5" t="s">
        <v>553</v>
      </c>
    </row>
    <row r="4592" spans="1:19" ht="14.25" customHeight="1" x14ac:dyDescent="0.2">
      <c r="A4592" s="5">
        <v>1147</v>
      </c>
      <c r="B4592" s="34"/>
      <c r="H4592" s="8" t="s">
        <v>10063</v>
      </c>
      <c r="I4592" s="8" t="s">
        <v>10063</v>
      </c>
      <c r="J4592" s="5">
        <v>100</v>
      </c>
      <c r="K4592" s="5" t="s">
        <v>292</v>
      </c>
      <c r="L4592" s="5" t="s">
        <v>9249</v>
      </c>
      <c r="M4592" s="5">
        <v>29</v>
      </c>
      <c r="N4592" s="5" t="s">
        <v>9297</v>
      </c>
      <c r="O4592" s="5" t="s">
        <v>1640</v>
      </c>
      <c r="S4592" s="5" t="s">
        <v>1139</v>
      </c>
    </row>
    <row r="4593" spans="1:17" x14ac:dyDescent="0.2">
      <c r="A4593" s="5">
        <v>1148</v>
      </c>
      <c r="B4593" s="34" t="s">
        <v>10064</v>
      </c>
      <c r="H4593" s="8" t="s">
        <v>10065</v>
      </c>
      <c r="I4593" s="8" t="s">
        <v>10065</v>
      </c>
      <c r="J4593" s="5">
        <v>20</v>
      </c>
      <c r="K4593" s="5" t="s">
        <v>292</v>
      </c>
      <c r="L4593" s="5" t="s">
        <v>9249</v>
      </c>
      <c r="M4593" s="5">
        <v>29</v>
      </c>
      <c r="N4593" s="5" t="s">
        <v>9297</v>
      </c>
      <c r="O4593" s="5" t="s">
        <v>1640</v>
      </c>
      <c r="Q4593" s="5" t="s">
        <v>553</v>
      </c>
    </row>
    <row r="4594" spans="1:17" x14ac:dyDescent="0.2">
      <c r="A4594" s="5">
        <v>1149</v>
      </c>
      <c r="B4594" s="8" t="s">
        <v>10066</v>
      </c>
      <c r="H4594" s="8" t="s">
        <v>10067</v>
      </c>
      <c r="I4594" s="8" t="s">
        <v>10067</v>
      </c>
      <c r="J4594" s="5">
        <v>3000</v>
      </c>
      <c r="K4594" s="5" t="s">
        <v>292</v>
      </c>
      <c r="L4594" s="5" t="s">
        <v>9249</v>
      </c>
      <c r="M4594" s="5">
        <v>29</v>
      </c>
      <c r="N4594" s="5" t="s">
        <v>9297</v>
      </c>
      <c r="O4594" s="5" t="s">
        <v>1640</v>
      </c>
      <c r="Q4594" s="5" t="s">
        <v>553</v>
      </c>
    </row>
    <row r="4595" spans="1:17" x14ac:dyDescent="0.2">
      <c r="A4595" s="5">
        <v>1150</v>
      </c>
      <c r="B4595" s="8" t="s">
        <v>10068</v>
      </c>
      <c r="H4595" s="8" t="s">
        <v>10069</v>
      </c>
      <c r="I4595" s="8" t="s">
        <v>10069</v>
      </c>
      <c r="J4595" s="5">
        <v>100</v>
      </c>
      <c r="K4595" s="5" t="s">
        <v>292</v>
      </c>
      <c r="L4595" s="5" t="s">
        <v>9249</v>
      </c>
      <c r="M4595" s="5">
        <v>29</v>
      </c>
      <c r="N4595" s="5" t="s">
        <v>57</v>
      </c>
      <c r="O4595" s="5" t="s">
        <v>1640</v>
      </c>
      <c r="Q4595" s="5" t="s">
        <v>553</v>
      </c>
    </row>
    <row r="4596" spans="1:17" x14ac:dyDescent="0.2">
      <c r="A4596" s="5">
        <v>1151</v>
      </c>
      <c r="B4596" s="8" t="s">
        <v>10070</v>
      </c>
      <c r="H4596" s="8" t="s">
        <v>10071</v>
      </c>
      <c r="I4596" s="8" t="s">
        <v>10071</v>
      </c>
      <c r="J4596" s="5">
        <v>50</v>
      </c>
      <c r="K4596" s="5" t="s">
        <v>292</v>
      </c>
      <c r="L4596" s="5" t="s">
        <v>9249</v>
      </c>
      <c r="M4596" s="5">
        <v>29</v>
      </c>
      <c r="N4596" s="5" t="s">
        <v>9719</v>
      </c>
      <c r="O4596" s="5" t="s">
        <v>1640</v>
      </c>
      <c r="Q4596" s="5" t="s">
        <v>553</v>
      </c>
    </row>
    <row r="4597" spans="1:17" x14ac:dyDescent="0.2">
      <c r="A4597" s="5">
        <v>1152</v>
      </c>
      <c r="B4597" s="8" t="s">
        <v>10072</v>
      </c>
      <c r="H4597" s="8" t="s">
        <v>10073</v>
      </c>
      <c r="I4597" s="8" t="s">
        <v>10073</v>
      </c>
      <c r="J4597" s="5">
        <v>100</v>
      </c>
      <c r="K4597" s="5" t="s">
        <v>292</v>
      </c>
      <c r="L4597" s="5" t="s">
        <v>9249</v>
      </c>
      <c r="M4597" s="5">
        <v>29</v>
      </c>
      <c r="N4597" s="5" t="s">
        <v>57</v>
      </c>
      <c r="O4597" s="5" t="s">
        <v>1640</v>
      </c>
      <c r="Q4597" s="5" t="s">
        <v>553</v>
      </c>
    </row>
    <row r="4598" spans="1:17" x14ac:dyDescent="0.2">
      <c r="A4598" s="5">
        <v>1153</v>
      </c>
      <c r="B4598" s="34" t="s">
        <v>10074</v>
      </c>
      <c r="H4598" s="8" t="s">
        <v>10075</v>
      </c>
      <c r="I4598" s="8" t="s">
        <v>10075</v>
      </c>
      <c r="J4598" s="5">
        <v>50</v>
      </c>
      <c r="K4598" s="5" t="s">
        <v>292</v>
      </c>
      <c r="L4598" s="5" t="s">
        <v>9249</v>
      </c>
      <c r="M4598" s="5">
        <v>29</v>
      </c>
      <c r="N4598" s="5" t="s">
        <v>9297</v>
      </c>
      <c r="O4598" s="5" t="s">
        <v>1640</v>
      </c>
      <c r="Q4598" s="5" t="s">
        <v>553</v>
      </c>
    </row>
    <row r="4599" spans="1:17" x14ac:dyDescent="0.2">
      <c r="A4599" s="5">
        <v>1154</v>
      </c>
      <c r="B4599" s="8" t="s">
        <v>10009</v>
      </c>
      <c r="H4599" s="8" t="s">
        <v>10010</v>
      </c>
      <c r="I4599" s="8" t="s">
        <v>10010</v>
      </c>
      <c r="J4599" s="5">
        <v>100</v>
      </c>
      <c r="K4599" s="5" t="s">
        <v>292</v>
      </c>
      <c r="L4599" s="5" t="s">
        <v>9249</v>
      </c>
      <c r="M4599" s="5">
        <v>29</v>
      </c>
      <c r="N4599" s="5" t="s">
        <v>9297</v>
      </c>
      <c r="O4599" s="5" t="s">
        <v>1640</v>
      </c>
      <c r="Q4599" s="5" t="s">
        <v>553</v>
      </c>
    </row>
    <row r="4600" spans="1:17" x14ac:dyDescent="0.2">
      <c r="A4600" s="5">
        <v>1155</v>
      </c>
      <c r="B4600" s="8" t="s">
        <v>9830</v>
      </c>
      <c r="H4600" s="8" t="s">
        <v>9831</v>
      </c>
      <c r="I4600" s="8" t="s">
        <v>9831</v>
      </c>
      <c r="J4600" s="5">
        <v>3000</v>
      </c>
      <c r="K4600" s="5" t="s">
        <v>292</v>
      </c>
      <c r="L4600" s="5" t="s">
        <v>9249</v>
      </c>
      <c r="M4600" s="5">
        <v>29</v>
      </c>
      <c r="N4600" s="5" t="s">
        <v>9297</v>
      </c>
      <c r="O4600" s="5" t="s">
        <v>1640</v>
      </c>
      <c r="Q4600" s="5" t="s">
        <v>553</v>
      </c>
    </row>
    <row r="4601" spans="1:17" x14ac:dyDescent="0.2">
      <c r="A4601" s="5">
        <v>1156</v>
      </c>
      <c r="B4601" s="8" t="s">
        <v>10076</v>
      </c>
      <c r="H4601" s="8" t="s">
        <v>10077</v>
      </c>
      <c r="I4601" s="8" t="s">
        <v>10077</v>
      </c>
      <c r="J4601" s="5">
        <v>120</v>
      </c>
      <c r="K4601" s="5" t="s">
        <v>292</v>
      </c>
      <c r="L4601" s="5" t="s">
        <v>9249</v>
      </c>
      <c r="M4601" s="5">
        <v>29</v>
      </c>
      <c r="N4601" s="5" t="s">
        <v>9286</v>
      </c>
      <c r="O4601" s="5" t="s">
        <v>1640</v>
      </c>
      <c r="Q4601" s="5" t="s">
        <v>553</v>
      </c>
    </row>
    <row r="4602" spans="1:17" x14ac:dyDescent="0.2">
      <c r="A4602" s="5">
        <v>1157</v>
      </c>
      <c r="B4602" s="8" t="s">
        <v>10078</v>
      </c>
      <c r="H4602" s="8" t="s">
        <v>10079</v>
      </c>
      <c r="I4602" s="8" t="s">
        <v>10079</v>
      </c>
      <c r="J4602" s="5">
        <f>5000-10</f>
        <v>4990</v>
      </c>
      <c r="K4602" s="5" t="s">
        <v>292</v>
      </c>
      <c r="L4602" s="5" t="s">
        <v>9249</v>
      </c>
      <c r="M4602" s="5">
        <v>29</v>
      </c>
      <c r="N4602" s="5" t="s">
        <v>57</v>
      </c>
      <c r="O4602" s="5" t="s">
        <v>1640</v>
      </c>
      <c r="Q4602" s="5" t="s">
        <v>553</v>
      </c>
    </row>
    <row r="4603" spans="1:17" x14ac:dyDescent="0.2">
      <c r="A4603" s="5">
        <v>1158</v>
      </c>
      <c r="B4603" s="8" t="s">
        <v>10080</v>
      </c>
      <c r="H4603" s="8" t="s">
        <v>10081</v>
      </c>
      <c r="I4603" s="8" t="s">
        <v>10082</v>
      </c>
      <c r="J4603" s="5">
        <v>30</v>
      </c>
      <c r="K4603" s="5" t="s">
        <v>292</v>
      </c>
      <c r="L4603" s="5" t="s">
        <v>9249</v>
      </c>
      <c r="M4603" s="5">
        <v>29</v>
      </c>
      <c r="N4603" s="5" t="s">
        <v>9297</v>
      </c>
      <c r="O4603" s="5" t="s">
        <v>1640</v>
      </c>
      <c r="Q4603" s="5" t="s">
        <v>553</v>
      </c>
    </row>
    <row r="4604" spans="1:17" x14ac:dyDescent="0.2">
      <c r="A4604" s="5">
        <v>1159</v>
      </c>
      <c r="B4604" s="8" t="s">
        <v>10083</v>
      </c>
      <c r="H4604" s="8" t="s">
        <v>10084</v>
      </c>
      <c r="I4604" s="8" t="s">
        <v>10084</v>
      </c>
      <c r="J4604" s="5">
        <v>100</v>
      </c>
      <c r="K4604" s="5" t="s">
        <v>292</v>
      </c>
      <c r="L4604" s="5" t="s">
        <v>9249</v>
      </c>
      <c r="M4604" s="5">
        <v>29</v>
      </c>
      <c r="N4604" s="5" t="s">
        <v>9297</v>
      </c>
      <c r="O4604" s="5" t="s">
        <v>1640</v>
      </c>
      <c r="Q4604" s="5" t="s">
        <v>553</v>
      </c>
    </row>
    <row r="4605" spans="1:17" x14ac:dyDescent="0.2">
      <c r="A4605" s="5">
        <v>1160</v>
      </c>
      <c r="B4605" s="8" t="s">
        <v>10085</v>
      </c>
      <c r="H4605" s="8" t="s">
        <v>10086</v>
      </c>
      <c r="I4605" s="8" t="s">
        <v>10086</v>
      </c>
      <c r="J4605" s="5">
        <v>10</v>
      </c>
      <c r="K4605" s="5" t="s">
        <v>292</v>
      </c>
      <c r="L4605" s="5" t="s">
        <v>9249</v>
      </c>
      <c r="M4605" s="5">
        <v>29</v>
      </c>
      <c r="N4605" s="5" t="s">
        <v>9297</v>
      </c>
      <c r="O4605" s="5" t="s">
        <v>1640</v>
      </c>
      <c r="Q4605" s="5" t="s">
        <v>553</v>
      </c>
    </row>
    <row r="4606" spans="1:17" x14ac:dyDescent="0.2">
      <c r="A4606" s="5">
        <v>1161</v>
      </c>
      <c r="B4606" s="8" t="s">
        <v>10087</v>
      </c>
      <c r="H4606" s="8" t="s">
        <v>10088</v>
      </c>
      <c r="I4606" s="8" t="s">
        <v>10088</v>
      </c>
      <c r="J4606" s="5">
        <v>60</v>
      </c>
      <c r="K4606" s="5" t="s">
        <v>292</v>
      </c>
      <c r="L4606" s="5" t="s">
        <v>9249</v>
      </c>
      <c r="M4606" s="5">
        <v>29</v>
      </c>
      <c r="N4606" s="5" t="s">
        <v>9297</v>
      </c>
      <c r="O4606" s="5" t="s">
        <v>1640</v>
      </c>
      <c r="Q4606" s="5" t="s">
        <v>553</v>
      </c>
    </row>
    <row r="4607" spans="1:17" x14ac:dyDescent="0.2">
      <c r="A4607" s="5">
        <v>1162</v>
      </c>
      <c r="B4607" s="8" t="s">
        <v>10089</v>
      </c>
      <c r="H4607" s="8" t="s">
        <v>10090</v>
      </c>
      <c r="I4607" s="8" t="s">
        <v>10090</v>
      </c>
      <c r="J4607" s="5">
        <v>50</v>
      </c>
      <c r="K4607" s="5" t="s">
        <v>292</v>
      </c>
      <c r="L4607" s="5" t="s">
        <v>9249</v>
      </c>
      <c r="M4607" s="5">
        <v>29</v>
      </c>
      <c r="N4607" s="5" t="s">
        <v>9297</v>
      </c>
      <c r="O4607" s="5" t="s">
        <v>1640</v>
      </c>
      <c r="Q4607" s="5" t="s">
        <v>553</v>
      </c>
    </row>
    <row r="4608" spans="1:17" x14ac:dyDescent="0.2">
      <c r="A4608" s="5">
        <v>1163</v>
      </c>
      <c r="B4608" s="8" t="s">
        <v>10091</v>
      </c>
      <c r="H4608" s="8" t="s">
        <v>553</v>
      </c>
      <c r="I4608" s="8" t="s">
        <v>553</v>
      </c>
      <c r="J4608" s="5">
        <v>80</v>
      </c>
      <c r="K4608" s="5" t="s">
        <v>292</v>
      </c>
      <c r="L4608" s="5" t="s">
        <v>9249</v>
      </c>
      <c r="M4608" s="5">
        <v>29</v>
      </c>
      <c r="N4608" s="5" t="s">
        <v>9297</v>
      </c>
      <c r="O4608" s="5" t="s">
        <v>1640</v>
      </c>
      <c r="Q4608" s="5" t="s">
        <v>553</v>
      </c>
    </row>
    <row r="4609" spans="1:19" x14ac:dyDescent="0.2">
      <c r="A4609" s="5">
        <v>1164</v>
      </c>
      <c r="B4609" s="8" t="s">
        <v>10092</v>
      </c>
      <c r="H4609" s="8" t="s">
        <v>553</v>
      </c>
      <c r="I4609" s="8" t="s">
        <v>553</v>
      </c>
      <c r="J4609" s="5">
        <v>100</v>
      </c>
      <c r="K4609" s="5" t="s">
        <v>292</v>
      </c>
      <c r="L4609" s="5" t="s">
        <v>9249</v>
      </c>
      <c r="M4609" s="5">
        <v>29</v>
      </c>
      <c r="N4609" s="5" t="s">
        <v>9297</v>
      </c>
      <c r="O4609" s="5" t="s">
        <v>1640</v>
      </c>
      <c r="S4609" s="5" t="s">
        <v>1139</v>
      </c>
    </row>
    <row r="4610" spans="1:19" x14ac:dyDescent="0.2">
      <c r="A4610" s="5">
        <v>1165</v>
      </c>
      <c r="B4610" s="8" t="s">
        <v>10093</v>
      </c>
      <c r="H4610" s="8" t="s">
        <v>10094</v>
      </c>
      <c r="I4610" s="8" t="s">
        <v>10094</v>
      </c>
      <c r="J4610" s="5">
        <v>30</v>
      </c>
      <c r="K4610" s="5" t="s">
        <v>292</v>
      </c>
      <c r="L4610" s="5" t="s">
        <v>9249</v>
      </c>
      <c r="M4610" s="5">
        <v>29</v>
      </c>
      <c r="N4610" s="5" t="s">
        <v>9297</v>
      </c>
      <c r="O4610" s="5" t="s">
        <v>1640</v>
      </c>
      <c r="Q4610" s="5" t="s">
        <v>553</v>
      </c>
    </row>
    <row r="4611" spans="1:19" x14ac:dyDescent="0.2">
      <c r="A4611" s="5">
        <v>1166</v>
      </c>
      <c r="B4611" s="8" t="s">
        <v>10095</v>
      </c>
      <c r="H4611" s="8" t="s">
        <v>10096</v>
      </c>
      <c r="I4611" s="8" t="s">
        <v>10096</v>
      </c>
      <c r="J4611" s="5">
        <v>30</v>
      </c>
      <c r="K4611" s="5" t="s">
        <v>292</v>
      </c>
      <c r="L4611" s="5" t="s">
        <v>9249</v>
      </c>
      <c r="M4611" s="5">
        <v>29</v>
      </c>
      <c r="N4611" s="5" t="s">
        <v>9297</v>
      </c>
      <c r="O4611" s="5" t="s">
        <v>1640</v>
      </c>
      <c r="Q4611" s="5" t="s">
        <v>553</v>
      </c>
    </row>
    <row r="4612" spans="1:19" x14ac:dyDescent="0.2">
      <c r="A4612" s="5">
        <v>1167</v>
      </c>
      <c r="B4612" s="8" t="s">
        <v>10097</v>
      </c>
      <c r="H4612" s="8" t="s">
        <v>10098</v>
      </c>
      <c r="I4612" s="8" t="s">
        <v>10098</v>
      </c>
      <c r="J4612" s="5">
        <v>90</v>
      </c>
      <c r="K4612" s="5" t="s">
        <v>292</v>
      </c>
      <c r="L4612" s="5" t="s">
        <v>9249</v>
      </c>
      <c r="M4612" s="5">
        <v>29</v>
      </c>
      <c r="N4612" s="5" t="s">
        <v>9297</v>
      </c>
      <c r="O4612" s="5" t="s">
        <v>1640</v>
      </c>
      <c r="Q4612" s="5" t="s">
        <v>553</v>
      </c>
    </row>
    <row r="4613" spans="1:19" x14ac:dyDescent="0.2">
      <c r="A4613" s="5">
        <v>1168</v>
      </c>
      <c r="B4613" s="8" t="s">
        <v>10099</v>
      </c>
      <c r="H4613" s="8" t="s">
        <v>10100</v>
      </c>
      <c r="I4613" s="8" t="s">
        <v>10100</v>
      </c>
      <c r="J4613" s="5">
        <v>65</v>
      </c>
      <c r="K4613" s="5" t="s">
        <v>292</v>
      </c>
      <c r="L4613" s="5" t="s">
        <v>9249</v>
      </c>
      <c r="M4613" s="5">
        <v>29</v>
      </c>
      <c r="N4613" s="5" t="s">
        <v>9297</v>
      </c>
      <c r="O4613" s="5" t="s">
        <v>1640</v>
      </c>
      <c r="S4613" s="5" t="s">
        <v>1139</v>
      </c>
    </row>
    <row r="4614" spans="1:19" x14ac:dyDescent="0.2">
      <c r="A4614" s="5">
        <v>1169</v>
      </c>
      <c r="B4614" s="8" t="s">
        <v>10101</v>
      </c>
      <c r="H4614" s="8" t="s">
        <v>10102</v>
      </c>
      <c r="I4614" s="8" t="s">
        <v>10102</v>
      </c>
      <c r="J4614" s="5">
        <v>5</v>
      </c>
      <c r="K4614" s="5" t="s">
        <v>292</v>
      </c>
      <c r="L4614" s="5" t="s">
        <v>9249</v>
      </c>
      <c r="M4614" s="5">
        <v>29</v>
      </c>
      <c r="N4614" s="5" t="s">
        <v>9297</v>
      </c>
      <c r="O4614" s="5" t="s">
        <v>1640</v>
      </c>
      <c r="S4614" s="5" t="s">
        <v>1139</v>
      </c>
    </row>
    <row r="4615" spans="1:19" x14ac:dyDescent="0.2">
      <c r="A4615" s="5">
        <v>1170</v>
      </c>
      <c r="B4615" s="8" t="s">
        <v>10103</v>
      </c>
      <c r="H4615" s="8" t="s">
        <v>10104</v>
      </c>
      <c r="I4615" s="8" t="s">
        <v>10104</v>
      </c>
      <c r="J4615" s="5">
        <v>800</v>
      </c>
      <c r="K4615" s="5" t="s">
        <v>292</v>
      </c>
      <c r="L4615" s="5" t="s">
        <v>9249</v>
      </c>
      <c r="M4615" s="5">
        <v>29</v>
      </c>
      <c r="N4615" s="5" t="s">
        <v>9297</v>
      </c>
      <c r="O4615" s="5" t="s">
        <v>1640</v>
      </c>
      <c r="Q4615" s="5" t="s">
        <v>553</v>
      </c>
    </row>
    <row r="4616" spans="1:19" x14ac:dyDescent="0.2">
      <c r="A4616" s="5">
        <v>1171</v>
      </c>
      <c r="B4616" s="8" t="s">
        <v>10105</v>
      </c>
      <c r="H4616" s="8" t="s">
        <v>10106</v>
      </c>
      <c r="I4616" s="8" t="s">
        <v>10106</v>
      </c>
      <c r="J4616" s="5">
        <v>50</v>
      </c>
      <c r="K4616" s="5" t="s">
        <v>292</v>
      </c>
      <c r="L4616" s="5" t="s">
        <v>9249</v>
      </c>
      <c r="M4616" s="5">
        <v>29</v>
      </c>
      <c r="N4616" s="5" t="s">
        <v>9297</v>
      </c>
      <c r="O4616" s="5" t="s">
        <v>1640</v>
      </c>
      <c r="Q4616" s="5" t="s">
        <v>553</v>
      </c>
    </row>
    <row r="4617" spans="1:19" x14ac:dyDescent="0.2">
      <c r="A4617" s="5">
        <v>1172</v>
      </c>
      <c r="B4617" s="8" t="s">
        <v>10107</v>
      </c>
      <c r="H4617" s="8" t="s">
        <v>10108</v>
      </c>
      <c r="I4617" s="8" t="s">
        <v>10108</v>
      </c>
      <c r="J4617" s="5">
        <v>150</v>
      </c>
      <c r="K4617" s="5" t="s">
        <v>292</v>
      </c>
      <c r="L4617" s="5" t="s">
        <v>9249</v>
      </c>
      <c r="M4617" s="5">
        <v>29</v>
      </c>
      <c r="N4617" s="5" t="s">
        <v>9297</v>
      </c>
      <c r="O4617" s="5" t="s">
        <v>1640</v>
      </c>
      <c r="Q4617" s="5" t="s">
        <v>553</v>
      </c>
    </row>
    <row r="4618" spans="1:19" x14ac:dyDescent="0.2">
      <c r="A4618" s="5">
        <v>1173</v>
      </c>
      <c r="B4618" s="8" t="s">
        <v>10109</v>
      </c>
      <c r="H4618" s="8" t="s">
        <v>10110</v>
      </c>
      <c r="I4618" s="8" t="s">
        <v>10111</v>
      </c>
      <c r="J4618" s="5">
        <v>20</v>
      </c>
      <c r="K4618" s="5" t="s">
        <v>292</v>
      </c>
      <c r="L4618" s="5" t="s">
        <v>9249</v>
      </c>
      <c r="M4618" s="5">
        <v>29</v>
      </c>
      <c r="N4618" s="5" t="s">
        <v>9297</v>
      </c>
      <c r="O4618" s="5" t="s">
        <v>1640</v>
      </c>
      <c r="Q4618" s="5" t="s">
        <v>553</v>
      </c>
    </row>
    <row r="4619" spans="1:19" x14ac:dyDescent="0.2">
      <c r="A4619" s="5">
        <v>1174</v>
      </c>
      <c r="B4619" s="8" t="s">
        <v>10112</v>
      </c>
      <c r="H4619" s="8" t="s">
        <v>10113</v>
      </c>
      <c r="I4619" s="8" t="s">
        <v>10113</v>
      </c>
      <c r="J4619" s="5">
        <v>250</v>
      </c>
      <c r="K4619" s="5" t="s">
        <v>292</v>
      </c>
      <c r="L4619" s="5" t="s">
        <v>9249</v>
      </c>
      <c r="M4619" s="5">
        <v>29</v>
      </c>
      <c r="N4619" s="5" t="s">
        <v>9297</v>
      </c>
      <c r="O4619" s="5" t="s">
        <v>1640</v>
      </c>
      <c r="Q4619" s="5" t="s">
        <v>553</v>
      </c>
    </row>
    <row r="4620" spans="1:19" x14ac:dyDescent="0.2">
      <c r="A4620" s="5">
        <v>1175</v>
      </c>
      <c r="B4620" s="8" t="s">
        <v>9299</v>
      </c>
      <c r="H4620" s="8" t="s">
        <v>9300</v>
      </c>
      <c r="I4620" s="8" t="s">
        <v>9300</v>
      </c>
      <c r="J4620" s="5">
        <v>300</v>
      </c>
      <c r="K4620" s="5" t="s">
        <v>292</v>
      </c>
      <c r="L4620" s="5" t="s">
        <v>9249</v>
      </c>
      <c r="M4620" s="5">
        <v>29</v>
      </c>
      <c r="N4620" s="5" t="s">
        <v>9297</v>
      </c>
      <c r="O4620" s="5" t="s">
        <v>1640</v>
      </c>
      <c r="Q4620" s="5" t="s">
        <v>553</v>
      </c>
    </row>
    <row r="4621" spans="1:19" x14ac:dyDescent="0.2">
      <c r="A4621" s="5">
        <v>1234</v>
      </c>
      <c r="B4621" s="8" t="s">
        <v>10114</v>
      </c>
      <c r="H4621" s="8" t="s">
        <v>10115</v>
      </c>
      <c r="I4621" s="8" t="s">
        <v>10115</v>
      </c>
      <c r="J4621" s="5">
        <v>76</v>
      </c>
      <c r="K4621" s="5" t="s">
        <v>292</v>
      </c>
      <c r="L4621" s="5" t="s">
        <v>9249</v>
      </c>
      <c r="M4621" s="5">
        <v>29</v>
      </c>
      <c r="N4621" s="5" t="s">
        <v>43</v>
      </c>
      <c r="O4621" s="5" t="s">
        <v>1640</v>
      </c>
      <c r="Q4621" s="5" t="s">
        <v>10116</v>
      </c>
    </row>
    <row r="4622" spans="1:19" x14ac:dyDescent="0.2">
      <c r="A4622" s="5">
        <v>1235</v>
      </c>
      <c r="B4622" s="8" t="s">
        <v>2568</v>
      </c>
      <c r="H4622" s="8" t="s">
        <v>2570</v>
      </c>
      <c r="I4622" s="8" t="s">
        <v>2570</v>
      </c>
      <c r="J4622" s="5">
        <v>270</v>
      </c>
      <c r="K4622" s="5" t="s">
        <v>292</v>
      </c>
      <c r="L4622" s="5" t="s">
        <v>9249</v>
      </c>
      <c r="M4622" s="5">
        <v>29</v>
      </c>
      <c r="N4622" s="5" t="s">
        <v>9286</v>
      </c>
      <c r="O4622" s="5" t="s">
        <v>1640</v>
      </c>
      <c r="Q4622" s="5" t="s">
        <v>10117</v>
      </c>
    </row>
    <row r="4623" spans="1:19" x14ac:dyDescent="0.2">
      <c r="A4623" s="5">
        <v>1236</v>
      </c>
      <c r="B4623" s="8" t="s">
        <v>9995</v>
      </c>
      <c r="H4623" s="8" t="s">
        <v>9996</v>
      </c>
      <c r="I4623" s="8" t="s">
        <v>9996</v>
      </c>
      <c r="J4623" s="5">
        <v>85</v>
      </c>
      <c r="K4623" s="5" t="s">
        <v>292</v>
      </c>
      <c r="L4623" s="5" t="s">
        <v>9249</v>
      </c>
      <c r="M4623" s="5">
        <v>29</v>
      </c>
      <c r="N4623" s="5" t="s">
        <v>10118</v>
      </c>
      <c r="O4623" s="5" t="s">
        <v>1640</v>
      </c>
      <c r="Q4623" s="5" t="s">
        <v>10119</v>
      </c>
    </row>
    <row r="4624" spans="1:19" x14ac:dyDescent="0.2">
      <c r="A4624" s="5">
        <v>1237</v>
      </c>
      <c r="B4624" s="8" t="s">
        <v>2524</v>
      </c>
      <c r="H4624" s="8" t="s">
        <v>2526</v>
      </c>
      <c r="I4624" s="8" t="s">
        <v>2526</v>
      </c>
      <c r="J4624" s="5">
        <v>450</v>
      </c>
      <c r="K4624" s="5" t="s">
        <v>292</v>
      </c>
      <c r="L4624" s="5" t="s">
        <v>9249</v>
      </c>
      <c r="M4624" s="5">
        <v>29</v>
      </c>
      <c r="N4624" s="5" t="s">
        <v>57</v>
      </c>
      <c r="O4624" s="5" t="s">
        <v>1640</v>
      </c>
      <c r="Q4624" s="5" t="s">
        <v>10120</v>
      </c>
    </row>
    <row r="4625" spans="1:17" x14ac:dyDescent="0.2">
      <c r="A4625" s="5">
        <v>1238</v>
      </c>
      <c r="B4625" s="8" t="s">
        <v>2744</v>
      </c>
      <c r="H4625" s="8" t="s">
        <v>2745</v>
      </c>
      <c r="I4625" s="8" t="s">
        <v>2745</v>
      </c>
      <c r="J4625" s="5">
        <v>14</v>
      </c>
      <c r="K4625" s="5" t="s">
        <v>292</v>
      </c>
      <c r="L4625" s="5" t="s">
        <v>9249</v>
      </c>
      <c r="M4625" s="5">
        <v>29</v>
      </c>
      <c r="N4625" s="5" t="s">
        <v>43</v>
      </c>
      <c r="O4625" s="5" t="s">
        <v>1640</v>
      </c>
      <c r="Q4625" s="5" t="s">
        <v>10121</v>
      </c>
    </row>
    <row r="4626" spans="1:17" x14ac:dyDescent="0.2">
      <c r="A4626" s="5">
        <v>1239</v>
      </c>
      <c r="B4626" s="8" t="s">
        <v>9436</v>
      </c>
      <c r="H4626" s="8" t="s">
        <v>10122</v>
      </c>
      <c r="I4626" s="8" t="s">
        <v>10122</v>
      </c>
      <c r="J4626" s="5">
        <v>30</v>
      </c>
      <c r="K4626" s="5" t="s">
        <v>292</v>
      </c>
      <c r="L4626" s="5" t="s">
        <v>9249</v>
      </c>
      <c r="M4626" s="5">
        <v>29</v>
      </c>
      <c r="N4626" s="5" t="s">
        <v>43</v>
      </c>
      <c r="O4626" s="5" t="s">
        <v>1640</v>
      </c>
      <c r="Q4626" s="5" t="s">
        <v>10116</v>
      </c>
    </row>
    <row r="4627" spans="1:17" x14ac:dyDescent="0.2">
      <c r="A4627" s="5">
        <v>1241</v>
      </c>
      <c r="B4627" s="11" t="s">
        <v>2833</v>
      </c>
      <c r="C4627" s="11"/>
      <c r="D4627" s="11"/>
      <c r="E4627" s="26"/>
      <c r="F4627" s="11"/>
      <c r="G4627" s="11"/>
      <c r="H4627" s="8" t="s">
        <v>10123</v>
      </c>
      <c r="I4627" s="8" t="s">
        <v>10123</v>
      </c>
      <c r="J4627" s="5">
        <v>38</v>
      </c>
      <c r="K4627" s="5" t="s">
        <v>292</v>
      </c>
      <c r="L4627" s="5" t="s">
        <v>9249</v>
      </c>
      <c r="M4627" s="5">
        <v>29</v>
      </c>
      <c r="N4627" s="5" t="s">
        <v>10124</v>
      </c>
      <c r="O4627" s="5" t="s">
        <v>1640</v>
      </c>
      <c r="Q4627" s="5" t="s">
        <v>10125</v>
      </c>
    </row>
    <row r="4628" spans="1:17" x14ac:dyDescent="0.2">
      <c r="A4628" s="5">
        <v>1242</v>
      </c>
      <c r="B4628" s="8" t="s">
        <v>10126</v>
      </c>
      <c r="H4628" s="8" t="s">
        <v>10127</v>
      </c>
      <c r="I4628" s="8" t="s">
        <v>10127</v>
      </c>
      <c r="J4628" s="5">
        <v>500</v>
      </c>
      <c r="K4628" s="5" t="s">
        <v>292</v>
      </c>
      <c r="L4628" s="5" t="s">
        <v>9249</v>
      </c>
      <c r="M4628" s="5">
        <v>29</v>
      </c>
      <c r="N4628" s="5" t="s">
        <v>57</v>
      </c>
      <c r="O4628" s="5" t="s">
        <v>1640</v>
      </c>
      <c r="Q4628" s="5" t="s">
        <v>10116</v>
      </c>
    </row>
    <row r="4629" spans="1:17" x14ac:dyDescent="0.2">
      <c r="A4629" s="5">
        <v>1243</v>
      </c>
      <c r="B4629" s="8" t="s">
        <v>2572</v>
      </c>
      <c r="H4629" s="8" t="s">
        <v>2573</v>
      </c>
      <c r="I4629" s="8" t="s">
        <v>2573</v>
      </c>
      <c r="J4629" s="5">
        <v>34</v>
      </c>
      <c r="K4629" s="5" t="s">
        <v>292</v>
      </c>
      <c r="L4629" s="5" t="s">
        <v>9249</v>
      </c>
      <c r="M4629" s="5">
        <v>29</v>
      </c>
      <c r="N4629" s="5" t="s">
        <v>43</v>
      </c>
      <c r="O4629" s="5" t="s">
        <v>1640</v>
      </c>
      <c r="Q4629" s="5" t="s">
        <v>9432</v>
      </c>
    </row>
    <row r="4630" spans="1:17" x14ac:dyDescent="0.2">
      <c r="A4630" s="5">
        <v>1244</v>
      </c>
      <c r="B4630" s="8" t="s">
        <v>9759</v>
      </c>
      <c r="H4630" s="8" t="s">
        <v>9760</v>
      </c>
      <c r="I4630" s="8" t="s">
        <v>9760</v>
      </c>
      <c r="J4630" s="5">
        <v>40</v>
      </c>
      <c r="K4630" s="5" t="s">
        <v>292</v>
      </c>
      <c r="L4630" s="5" t="s">
        <v>9249</v>
      </c>
      <c r="M4630" s="5">
        <v>29</v>
      </c>
      <c r="N4630" s="5" t="s">
        <v>43</v>
      </c>
      <c r="O4630" s="5" t="s">
        <v>1640</v>
      </c>
      <c r="Q4630" s="5" t="s">
        <v>10128</v>
      </c>
    </row>
    <row r="4631" spans="1:17" x14ac:dyDescent="0.2">
      <c r="A4631" s="5">
        <v>1246</v>
      </c>
      <c r="B4631" s="8" t="s">
        <v>10129</v>
      </c>
      <c r="H4631" s="8" t="s">
        <v>10130</v>
      </c>
      <c r="I4631" s="8" t="s">
        <v>10131</v>
      </c>
      <c r="J4631" s="5">
        <f>2</f>
        <v>2</v>
      </c>
      <c r="K4631" s="5" t="s">
        <v>292</v>
      </c>
      <c r="L4631" s="5" t="s">
        <v>9249</v>
      </c>
      <c r="M4631" s="5">
        <v>29</v>
      </c>
      <c r="N4631" s="5" t="s">
        <v>8053</v>
      </c>
      <c r="O4631" s="5" t="s">
        <v>1640</v>
      </c>
      <c r="Q4631" s="5" t="s">
        <v>9856</v>
      </c>
    </row>
    <row r="4632" spans="1:17" x14ac:dyDescent="0.2">
      <c r="A4632" s="5">
        <v>1247</v>
      </c>
      <c r="B4632" s="8" t="s">
        <v>10132</v>
      </c>
      <c r="H4632" s="8" t="s">
        <v>10133</v>
      </c>
      <c r="I4632" s="8" t="s">
        <v>10133</v>
      </c>
      <c r="J4632" s="5">
        <v>106</v>
      </c>
      <c r="K4632" s="5" t="s">
        <v>292</v>
      </c>
      <c r="L4632" s="5" t="s">
        <v>9249</v>
      </c>
      <c r="M4632" s="5">
        <v>29</v>
      </c>
      <c r="N4632" s="5" t="s">
        <v>10134</v>
      </c>
      <c r="O4632" s="5" t="s">
        <v>1640</v>
      </c>
      <c r="Q4632" s="5" t="s">
        <v>10116</v>
      </c>
    </row>
    <row r="4633" spans="1:17" x14ac:dyDescent="0.2">
      <c r="A4633" s="5">
        <v>1248</v>
      </c>
      <c r="B4633" s="8" t="s">
        <v>2575</v>
      </c>
      <c r="H4633" s="8" t="s">
        <v>2576</v>
      </c>
      <c r="I4633" s="8" t="s">
        <v>2576</v>
      </c>
      <c r="J4633" s="5">
        <v>4</v>
      </c>
      <c r="K4633" s="5" t="s">
        <v>292</v>
      </c>
      <c r="L4633" s="5" t="s">
        <v>9249</v>
      </c>
      <c r="M4633" s="5">
        <v>29</v>
      </c>
      <c r="N4633" s="5" t="s">
        <v>43</v>
      </c>
      <c r="O4633" s="5" t="s">
        <v>1640</v>
      </c>
      <c r="Q4633" s="5" t="s">
        <v>9432</v>
      </c>
    </row>
    <row r="4634" spans="1:17" x14ac:dyDescent="0.2">
      <c r="A4634" s="5">
        <v>1249</v>
      </c>
      <c r="B4634" s="11" t="s">
        <v>2564</v>
      </c>
      <c r="C4634" s="11"/>
      <c r="D4634" s="11"/>
      <c r="E4634" s="26"/>
      <c r="F4634" s="11"/>
      <c r="G4634" s="11"/>
      <c r="H4634" s="8" t="s">
        <v>2566</v>
      </c>
      <c r="I4634" s="8" t="s">
        <v>2566</v>
      </c>
      <c r="J4634" s="5">
        <v>8900</v>
      </c>
      <c r="K4634" s="5" t="s">
        <v>292</v>
      </c>
      <c r="L4634" s="5" t="s">
        <v>9249</v>
      </c>
      <c r="M4634" s="5">
        <v>29</v>
      </c>
      <c r="N4634" s="5" t="s">
        <v>57</v>
      </c>
      <c r="O4634" s="5" t="s">
        <v>1640</v>
      </c>
      <c r="Q4634" s="5" t="s">
        <v>9438</v>
      </c>
    </row>
    <row r="4635" spans="1:17" x14ac:dyDescent="0.2">
      <c r="A4635" s="5">
        <v>1250</v>
      </c>
      <c r="B4635" s="8" t="s">
        <v>10135</v>
      </c>
      <c r="H4635" s="8" t="s">
        <v>10136</v>
      </c>
      <c r="I4635" s="8" t="s">
        <v>10136</v>
      </c>
      <c r="J4635" s="5">
        <v>1500</v>
      </c>
      <c r="K4635" s="5" t="s">
        <v>292</v>
      </c>
      <c r="L4635" s="5" t="s">
        <v>9249</v>
      </c>
      <c r="M4635" s="5">
        <v>29</v>
      </c>
      <c r="N4635" s="5" t="s">
        <v>10137</v>
      </c>
      <c r="O4635" s="5" t="s">
        <v>1640</v>
      </c>
      <c r="Q4635" s="5" t="s">
        <v>10138</v>
      </c>
    </row>
    <row r="4636" spans="1:17" x14ac:dyDescent="0.2">
      <c r="A4636" s="5">
        <v>1253</v>
      </c>
      <c r="B4636" s="8" t="s">
        <v>10139</v>
      </c>
      <c r="H4636" s="8" t="s">
        <v>10140</v>
      </c>
      <c r="I4636" s="8" t="s">
        <v>10140</v>
      </c>
      <c r="J4636" s="5">
        <v>135</v>
      </c>
      <c r="K4636" s="5" t="s">
        <v>292</v>
      </c>
      <c r="L4636" s="5" t="s">
        <v>9249</v>
      </c>
      <c r="M4636" s="5">
        <v>29</v>
      </c>
      <c r="N4636" s="5" t="s">
        <v>9990</v>
      </c>
      <c r="O4636" s="5" t="s">
        <v>9990</v>
      </c>
      <c r="Q4636" s="5" t="s">
        <v>9991</v>
      </c>
    </row>
    <row r="4637" spans="1:17" x14ac:dyDescent="0.2">
      <c r="A4637" s="5">
        <v>2355</v>
      </c>
      <c r="B4637" s="8" t="s">
        <v>10141</v>
      </c>
      <c r="H4637" s="8" t="s">
        <v>10142</v>
      </c>
      <c r="I4637" s="8" t="s">
        <v>10142</v>
      </c>
      <c r="J4637" s="5">
        <v>465</v>
      </c>
      <c r="K4637" s="5" t="s">
        <v>21</v>
      </c>
      <c r="L4637" s="5" t="s">
        <v>9249</v>
      </c>
      <c r="M4637" s="5">
        <v>29</v>
      </c>
      <c r="N4637" s="5" t="s">
        <v>3099</v>
      </c>
      <c r="O4637" s="5" t="s">
        <v>789</v>
      </c>
      <c r="Q4637" s="5" t="s">
        <v>10143</v>
      </c>
    </row>
    <row r="4638" spans="1:17" x14ac:dyDescent="0.2">
      <c r="A4638" s="5">
        <v>2356</v>
      </c>
      <c r="B4638" s="8" t="s">
        <v>10144</v>
      </c>
      <c r="H4638" s="8" t="s">
        <v>10140</v>
      </c>
      <c r="I4638" s="8" t="s">
        <v>10140</v>
      </c>
      <c r="J4638" s="5">
        <v>500</v>
      </c>
      <c r="K4638" s="5" t="s">
        <v>21</v>
      </c>
      <c r="L4638" s="5" t="s">
        <v>9249</v>
      </c>
      <c r="M4638" s="5">
        <v>29</v>
      </c>
      <c r="N4638" s="5" t="s">
        <v>3099</v>
      </c>
      <c r="O4638" s="5" t="s">
        <v>789</v>
      </c>
      <c r="Q4638" s="5" t="s">
        <v>10145</v>
      </c>
    </row>
    <row r="4639" spans="1:17" x14ac:dyDescent="0.2">
      <c r="A4639" s="5">
        <v>2357</v>
      </c>
      <c r="B4639" s="8" t="s">
        <v>10146</v>
      </c>
      <c r="H4639" s="8" t="s">
        <v>10147</v>
      </c>
      <c r="I4639" s="8" t="s">
        <v>10147</v>
      </c>
      <c r="J4639" s="5">
        <v>480</v>
      </c>
      <c r="K4639" s="5" t="s">
        <v>21</v>
      </c>
      <c r="L4639" s="5" t="s">
        <v>9249</v>
      </c>
      <c r="M4639" s="5">
        <v>29</v>
      </c>
      <c r="N4639" s="5" t="s">
        <v>9330</v>
      </c>
      <c r="O4639" s="5" t="s">
        <v>789</v>
      </c>
      <c r="Q4639" s="5" t="s">
        <v>1960</v>
      </c>
    </row>
    <row r="4640" spans="1:17" x14ac:dyDescent="0.2">
      <c r="A4640" s="5">
        <v>2358</v>
      </c>
      <c r="B4640" s="8" t="s">
        <v>10148</v>
      </c>
      <c r="H4640" s="8" t="s">
        <v>9989</v>
      </c>
      <c r="I4640" s="8" t="s">
        <v>9989</v>
      </c>
      <c r="J4640" s="5">
        <v>240</v>
      </c>
      <c r="K4640" s="5" t="s">
        <v>21</v>
      </c>
      <c r="L4640" s="5" t="s">
        <v>9249</v>
      </c>
      <c r="M4640" s="5">
        <v>29</v>
      </c>
      <c r="N4640" s="5" t="s">
        <v>3099</v>
      </c>
      <c r="O4640" s="5" t="s">
        <v>789</v>
      </c>
      <c r="Q4640" s="5" t="s">
        <v>10149</v>
      </c>
    </row>
    <row r="4641" spans="1:17" x14ac:dyDescent="0.2">
      <c r="A4641" s="5">
        <v>2359</v>
      </c>
      <c r="B4641" s="8" t="s">
        <v>2533</v>
      </c>
      <c r="H4641" s="8" t="s">
        <v>10150</v>
      </c>
      <c r="I4641" s="8" t="s">
        <v>10150</v>
      </c>
      <c r="J4641" s="5">
        <f>436-20-3</f>
        <v>413</v>
      </c>
      <c r="K4641" s="5" t="s">
        <v>21</v>
      </c>
      <c r="L4641" s="5" t="s">
        <v>9249</v>
      </c>
      <c r="M4641" s="5">
        <v>29</v>
      </c>
      <c r="N4641" s="5" t="s">
        <v>3099</v>
      </c>
      <c r="O4641" s="5" t="s">
        <v>789</v>
      </c>
      <c r="Q4641" s="5" t="s">
        <v>10151</v>
      </c>
    </row>
    <row r="4642" spans="1:17" x14ac:dyDescent="0.2">
      <c r="A4642" s="5">
        <v>2376</v>
      </c>
      <c r="B4642" s="8" t="s">
        <v>10148</v>
      </c>
      <c r="H4642" s="8" t="s">
        <v>9989</v>
      </c>
      <c r="I4642" s="8" t="s">
        <v>9989</v>
      </c>
      <c r="J4642" s="5">
        <v>265</v>
      </c>
      <c r="K4642" s="5" t="s">
        <v>292</v>
      </c>
      <c r="L4642" s="5" t="s">
        <v>9249</v>
      </c>
      <c r="M4642" s="5">
        <v>29</v>
      </c>
      <c r="N4642" s="5" t="s">
        <v>9990</v>
      </c>
      <c r="O4642" s="5" t="s">
        <v>789</v>
      </c>
      <c r="Q4642" s="5" t="s">
        <v>9950</v>
      </c>
    </row>
    <row r="4643" spans="1:17" x14ac:dyDescent="0.2">
      <c r="A4643" s="5">
        <v>2377</v>
      </c>
      <c r="B4643" s="8" t="s">
        <v>10146</v>
      </c>
      <c r="H4643" s="8" t="s">
        <v>10147</v>
      </c>
      <c r="I4643" s="8" t="s">
        <v>10147</v>
      </c>
      <c r="J4643" s="5">
        <v>480</v>
      </c>
      <c r="K4643" s="5" t="s">
        <v>292</v>
      </c>
      <c r="L4643" s="5" t="s">
        <v>9249</v>
      </c>
      <c r="M4643" s="5">
        <v>29</v>
      </c>
      <c r="N4643" s="5" t="s">
        <v>57</v>
      </c>
      <c r="O4643" s="5" t="s">
        <v>266</v>
      </c>
      <c r="Q4643" s="5" t="s">
        <v>4541</v>
      </c>
    </row>
    <row r="4644" spans="1:17" x14ac:dyDescent="0.2">
      <c r="A4644" s="5">
        <v>2378</v>
      </c>
      <c r="B4644" s="8" t="s">
        <v>10144</v>
      </c>
      <c r="H4644" s="8" t="s">
        <v>10140</v>
      </c>
      <c r="I4644" s="8" t="s">
        <v>10140</v>
      </c>
      <c r="J4644" s="5">
        <v>500</v>
      </c>
      <c r="K4644" s="5" t="s">
        <v>292</v>
      </c>
      <c r="L4644" s="5" t="s">
        <v>9249</v>
      </c>
      <c r="M4644" s="5">
        <v>29</v>
      </c>
      <c r="N4644" s="5" t="s">
        <v>9990</v>
      </c>
      <c r="O4644" s="5" t="s">
        <v>266</v>
      </c>
      <c r="Q4644" s="5" t="s">
        <v>10145</v>
      </c>
    </row>
    <row r="4645" spans="1:17" x14ac:dyDescent="0.2">
      <c r="A4645" s="5">
        <v>2387</v>
      </c>
      <c r="B4645" s="8" t="s">
        <v>10152</v>
      </c>
      <c r="H4645" s="8" t="s">
        <v>10153</v>
      </c>
      <c r="I4645" s="8" t="s">
        <v>10153</v>
      </c>
      <c r="J4645" s="5">
        <v>500</v>
      </c>
      <c r="K4645" s="5" t="s">
        <v>292</v>
      </c>
      <c r="L4645" s="5" t="s">
        <v>9249</v>
      </c>
      <c r="M4645" s="5">
        <v>29</v>
      </c>
      <c r="N4645" s="5" t="s">
        <v>57</v>
      </c>
      <c r="O4645" s="5" t="s">
        <v>10154</v>
      </c>
      <c r="Q4645" s="5" t="s">
        <v>10155</v>
      </c>
    </row>
    <row r="4646" spans="1:17" x14ac:dyDescent="0.2">
      <c r="A4646" s="5">
        <v>2394</v>
      </c>
      <c r="B4646" s="8" t="s">
        <v>10156</v>
      </c>
      <c r="H4646" s="8" t="s">
        <v>10157</v>
      </c>
      <c r="I4646" s="8" t="s">
        <v>10157</v>
      </c>
      <c r="J4646" s="5">
        <v>8</v>
      </c>
      <c r="K4646" s="5" t="s">
        <v>292</v>
      </c>
      <c r="L4646" s="5" t="s">
        <v>9249</v>
      </c>
      <c r="M4646" s="5">
        <v>29</v>
      </c>
      <c r="N4646" s="5" t="s">
        <v>9990</v>
      </c>
      <c r="O4646" s="5" t="s">
        <v>266</v>
      </c>
      <c r="Q4646" s="5" t="s">
        <v>10145</v>
      </c>
    </row>
    <row r="4647" spans="1:17" x14ac:dyDescent="0.2">
      <c r="A4647" s="5"/>
      <c r="B4647" s="8" t="s">
        <v>10158</v>
      </c>
      <c r="H4647" s="8" t="s">
        <v>10159</v>
      </c>
      <c r="I4647" s="8" t="s">
        <v>10160</v>
      </c>
      <c r="J4647" s="5">
        <f>2+6</f>
        <v>8</v>
      </c>
      <c r="K4647" s="5" t="s">
        <v>21</v>
      </c>
      <c r="L4647" s="5" t="s">
        <v>9249</v>
      </c>
      <c r="M4647" s="5">
        <v>34</v>
      </c>
      <c r="N4647" s="5" t="s">
        <v>8053</v>
      </c>
      <c r="Q4647" s="5" t="s">
        <v>10161</v>
      </c>
    </row>
    <row r="4648" spans="1:17" x14ac:dyDescent="0.2">
      <c r="A4648" s="5">
        <v>885</v>
      </c>
      <c r="B4648" s="8" t="s">
        <v>10162</v>
      </c>
      <c r="H4648" s="8" t="s">
        <v>10163</v>
      </c>
      <c r="I4648" s="8" t="s">
        <v>10163</v>
      </c>
      <c r="J4648" s="5">
        <v>1001</v>
      </c>
      <c r="K4648" s="5" t="s">
        <v>292</v>
      </c>
      <c r="L4648" s="5" t="s">
        <v>9249</v>
      </c>
      <c r="M4648" s="5">
        <v>31</v>
      </c>
      <c r="N4648" s="5" t="s">
        <v>43</v>
      </c>
      <c r="O4648" s="5" t="s">
        <v>1640</v>
      </c>
      <c r="Q4648" s="5" t="s">
        <v>10164</v>
      </c>
    </row>
    <row r="4649" spans="1:17" x14ac:dyDescent="0.2">
      <c r="A4649" s="5">
        <v>886</v>
      </c>
      <c r="B4649" s="8" t="s">
        <v>10165</v>
      </c>
      <c r="C4649" s="34"/>
      <c r="H4649" s="8" t="s">
        <v>10166</v>
      </c>
      <c r="I4649" s="8" t="s">
        <v>10166</v>
      </c>
      <c r="J4649" s="5">
        <f>939-22-7-1</f>
        <v>909</v>
      </c>
      <c r="K4649" s="5" t="s">
        <v>292</v>
      </c>
      <c r="L4649" s="5" t="s">
        <v>9249</v>
      </c>
      <c r="M4649" s="5">
        <v>31</v>
      </c>
      <c r="N4649" s="5" t="s">
        <v>43</v>
      </c>
      <c r="O4649" s="5" t="s">
        <v>1640</v>
      </c>
      <c r="Q4649" s="5" t="s">
        <v>10164</v>
      </c>
    </row>
    <row r="4650" spans="1:17" x14ac:dyDescent="0.2">
      <c r="A4650" s="5">
        <v>15</v>
      </c>
      <c r="B4650" s="8" t="s">
        <v>10167</v>
      </c>
      <c r="H4650" s="8" t="s">
        <v>9996</v>
      </c>
      <c r="I4650" s="8" t="s">
        <v>9996</v>
      </c>
      <c r="J4650" s="5">
        <v>80</v>
      </c>
      <c r="K4650" s="5" t="s">
        <v>292</v>
      </c>
      <c r="L4650" s="5" t="s">
        <v>9249</v>
      </c>
      <c r="M4650" s="5">
        <v>32</v>
      </c>
      <c r="N4650" s="5" t="s">
        <v>10118</v>
      </c>
      <c r="O4650" s="5" t="s">
        <v>10118</v>
      </c>
      <c r="Q4650" s="5" t="s">
        <v>9991</v>
      </c>
    </row>
    <row r="4651" spans="1:17" x14ac:dyDescent="0.2">
      <c r="A4651" s="5">
        <v>366</v>
      </c>
      <c r="B4651" s="8" t="s">
        <v>10168</v>
      </c>
      <c r="H4651" s="8" t="s">
        <v>10169</v>
      </c>
      <c r="I4651" s="8" t="s">
        <v>10169</v>
      </c>
      <c r="J4651" s="5">
        <v>60</v>
      </c>
      <c r="K4651" s="5" t="s">
        <v>292</v>
      </c>
      <c r="L4651" s="5" t="s">
        <v>9249</v>
      </c>
      <c r="M4651" s="5">
        <v>32</v>
      </c>
      <c r="N4651" s="5" t="s">
        <v>8053</v>
      </c>
      <c r="O4651" s="5" t="s">
        <v>266</v>
      </c>
    </row>
    <row r="4652" spans="1:17" x14ac:dyDescent="0.2">
      <c r="A4652" s="5"/>
      <c r="B4652" s="8" t="s">
        <v>10170</v>
      </c>
      <c r="H4652" s="8" t="s">
        <v>10171</v>
      </c>
      <c r="I4652" s="8" t="s">
        <v>10171</v>
      </c>
      <c r="J4652" s="5">
        <v>5</v>
      </c>
      <c r="L4652" s="5" t="s">
        <v>9249</v>
      </c>
      <c r="M4652" s="5">
        <v>32</v>
      </c>
      <c r="N4652" s="5" t="s">
        <v>8053</v>
      </c>
      <c r="Q4652" s="5" t="s">
        <v>10172</v>
      </c>
    </row>
    <row r="4653" spans="1:17" x14ac:dyDescent="0.2">
      <c r="A4653" s="5">
        <v>1025</v>
      </c>
      <c r="B4653" s="8" t="s">
        <v>10173</v>
      </c>
      <c r="H4653" s="8" t="s">
        <v>10174</v>
      </c>
      <c r="I4653" s="8" t="s">
        <v>10174</v>
      </c>
      <c r="J4653" s="5">
        <v>200</v>
      </c>
      <c r="K4653" s="5" t="s">
        <v>292</v>
      </c>
      <c r="L4653" s="5" t="s">
        <v>9249</v>
      </c>
      <c r="M4653" s="5">
        <v>32</v>
      </c>
      <c r="N4653" s="5" t="s">
        <v>10175</v>
      </c>
      <c r="O4653" s="5" t="s">
        <v>1640</v>
      </c>
      <c r="Q4653" s="33" t="s">
        <v>10176</v>
      </c>
    </row>
    <row r="4654" spans="1:17" x14ac:dyDescent="0.2">
      <c r="A4654" s="5">
        <v>1026</v>
      </c>
      <c r="B4654" s="34" t="s">
        <v>10177</v>
      </c>
      <c r="H4654" s="8" t="s">
        <v>10178</v>
      </c>
      <c r="I4654" s="8" t="s">
        <v>10178</v>
      </c>
      <c r="J4654" s="5">
        <v>14</v>
      </c>
      <c r="K4654" s="5" t="s">
        <v>292</v>
      </c>
      <c r="L4654" s="5" t="s">
        <v>9249</v>
      </c>
      <c r="M4654" s="5">
        <v>32</v>
      </c>
      <c r="N4654" s="5" t="s">
        <v>8053</v>
      </c>
      <c r="O4654" s="5" t="s">
        <v>1640</v>
      </c>
      <c r="Q4654" s="5" t="s">
        <v>553</v>
      </c>
    </row>
    <row r="4655" spans="1:17" x14ac:dyDescent="0.2">
      <c r="A4655" s="5">
        <v>1027</v>
      </c>
      <c r="B4655" s="8" t="s">
        <v>10179</v>
      </c>
      <c r="H4655" s="8" t="s">
        <v>10180</v>
      </c>
      <c r="I4655" s="8" t="s">
        <v>10180</v>
      </c>
      <c r="J4655" s="5">
        <v>5</v>
      </c>
      <c r="K4655" s="5" t="s">
        <v>292</v>
      </c>
      <c r="L4655" s="5" t="s">
        <v>9249</v>
      </c>
      <c r="M4655" s="5">
        <v>32</v>
      </c>
      <c r="N4655" s="5" t="s">
        <v>8053</v>
      </c>
      <c r="O4655" s="5" t="s">
        <v>1640</v>
      </c>
      <c r="Q4655" s="5" t="s">
        <v>553</v>
      </c>
    </row>
    <row r="4656" spans="1:17" x14ac:dyDescent="0.2">
      <c r="A4656" s="5">
        <v>1028</v>
      </c>
      <c r="B4656" s="8" t="s">
        <v>10181</v>
      </c>
      <c r="H4656" s="8" t="s">
        <v>10182</v>
      </c>
      <c r="I4656" s="8" t="s">
        <v>10182</v>
      </c>
      <c r="J4656" s="5">
        <v>19</v>
      </c>
      <c r="K4656" s="5" t="s">
        <v>292</v>
      </c>
      <c r="L4656" s="5" t="s">
        <v>9249</v>
      </c>
      <c r="M4656" s="5">
        <v>32</v>
      </c>
      <c r="N4656" s="5" t="s">
        <v>8053</v>
      </c>
      <c r="O4656" s="5" t="s">
        <v>1640</v>
      </c>
      <c r="Q4656" s="5" t="s">
        <v>553</v>
      </c>
    </row>
    <row r="4657" spans="1:19" x14ac:dyDescent="0.2">
      <c r="A4657" s="5">
        <v>1029</v>
      </c>
      <c r="B4657" s="34" t="s">
        <v>10183</v>
      </c>
      <c r="H4657" s="8" t="s">
        <v>10184</v>
      </c>
      <c r="I4657" s="8" t="s">
        <v>10184</v>
      </c>
      <c r="J4657" s="5">
        <v>0</v>
      </c>
      <c r="K4657" s="5" t="s">
        <v>292</v>
      </c>
      <c r="L4657" s="5" t="s">
        <v>9249</v>
      </c>
      <c r="M4657" s="5">
        <v>32</v>
      </c>
      <c r="N4657" s="5" t="s">
        <v>8053</v>
      </c>
      <c r="O4657" s="5" t="s">
        <v>1640</v>
      </c>
      <c r="Q4657" s="5" t="s">
        <v>553</v>
      </c>
    </row>
    <row r="4658" spans="1:19" x14ac:dyDescent="0.2">
      <c r="A4658" s="5">
        <v>1030</v>
      </c>
      <c r="B4658" s="8" t="s">
        <v>10185</v>
      </c>
      <c r="H4658" s="8" t="s">
        <v>10174</v>
      </c>
      <c r="I4658" s="8" t="s">
        <v>10174</v>
      </c>
      <c r="J4658" s="5">
        <v>0</v>
      </c>
      <c r="K4658" s="5" t="s">
        <v>292</v>
      </c>
      <c r="L4658" s="5" t="s">
        <v>9249</v>
      </c>
      <c r="M4658" s="5">
        <v>32</v>
      </c>
      <c r="N4658" s="5" t="s">
        <v>8053</v>
      </c>
      <c r="O4658" s="5" t="s">
        <v>1640</v>
      </c>
      <c r="Q4658" s="5" t="s">
        <v>553</v>
      </c>
    </row>
    <row r="4659" spans="1:19" x14ac:dyDescent="0.2">
      <c r="A4659" s="5">
        <v>1031</v>
      </c>
      <c r="B4659" s="8" t="s">
        <v>10186</v>
      </c>
      <c r="H4659" s="8" t="s">
        <v>10187</v>
      </c>
      <c r="I4659" s="8" t="s">
        <v>10187</v>
      </c>
      <c r="J4659" s="5">
        <v>32</v>
      </c>
      <c r="K4659" s="5" t="s">
        <v>292</v>
      </c>
      <c r="L4659" s="5" t="s">
        <v>9249</v>
      </c>
      <c r="M4659" s="5">
        <v>32</v>
      </c>
      <c r="N4659" s="5" t="s">
        <v>8053</v>
      </c>
      <c r="O4659" s="5" t="s">
        <v>1640</v>
      </c>
      <c r="Q4659" s="5" t="s">
        <v>553</v>
      </c>
      <c r="S4659" s="5" t="s">
        <v>815</v>
      </c>
    </row>
    <row r="4660" spans="1:19" x14ac:dyDescent="0.2">
      <c r="A4660" s="5">
        <v>1231</v>
      </c>
      <c r="B4660" s="11" t="s">
        <v>10188</v>
      </c>
      <c r="C4660" s="11"/>
      <c r="D4660" s="11"/>
      <c r="E4660" s="26"/>
      <c r="F4660" s="11"/>
      <c r="G4660" s="11"/>
      <c r="H4660" s="8" t="s">
        <v>10189</v>
      </c>
      <c r="I4660" s="8" t="s">
        <v>10189</v>
      </c>
      <c r="J4660" s="5">
        <v>100</v>
      </c>
      <c r="K4660" s="5" t="s">
        <v>292</v>
      </c>
      <c r="L4660" s="5" t="s">
        <v>9249</v>
      </c>
      <c r="M4660" s="5">
        <v>33</v>
      </c>
      <c r="N4660" s="5" t="s">
        <v>43</v>
      </c>
      <c r="O4660" s="5" t="s">
        <v>1640</v>
      </c>
      <c r="Q4660" s="5" t="s">
        <v>10190</v>
      </c>
    </row>
    <row r="4661" spans="1:19" x14ac:dyDescent="0.2">
      <c r="A4661" s="5">
        <v>1232</v>
      </c>
      <c r="B4661" s="11" t="s">
        <v>10191</v>
      </c>
      <c r="C4661" s="11"/>
      <c r="D4661" s="11"/>
      <c r="E4661" s="26"/>
      <c r="F4661" s="11"/>
      <c r="G4661" s="11"/>
      <c r="H4661" s="8" t="s">
        <v>10192</v>
      </c>
      <c r="I4661" s="8" t="s">
        <v>10192</v>
      </c>
      <c r="J4661" s="5">
        <v>200</v>
      </c>
      <c r="K4661" s="5" t="s">
        <v>292</v>
      </c>
      <c r="L4661" s="5" t="s">
        <v>9249</v>
      </c>
      <c r="M4661" s="5">
        <v>33</v>
      </c>
      <c r="N4661" s="5" t="s">
        <v>43</v>
      </c>
      <c r="O4661" s="5" t="s">
        <v>1640</v>
      </c>
      <c r="Q4661" s="5" t="s">
        <v>10190</v>
      </c>
    </row>
    <row r="4662" spans="1:19" x14ac:dyDescent="0.2">
      <c r="A4662" s="5">
        <v>1233</v>
      </c>
      <c r="B4662" s="36" t="s">
        <v>10193</v>
      </c>
      <c r="C4662" s="36"/>
      <c r="D4662" s="11"/>
      <c r="E4662" s="26"/>
      <c r="F4662" s="11"/>
      <c r="G4662" s="11"/>
      <c r="H4662" s="8" t="s">
        <v>10194</v>
      </c>
      <c r="I4662" s="8" t="s">
        <v>10194</v>
      </c>
      <c r="J4662" s="5">
        <v>200</v>
      </c>
      <c r="K4662" s="5" t="s">
        <v>292</v>
      </c>
      <c r="L4662" s="5" t="s">
        <v>9249</v>
      </c>
      <c r="M4662" s="5">
        <v>33</v>
      </c>
      <c r="N4662" s="5" t="s">
        <v>43</v>
      </c>
      <c r="O4662" s="5" t="s">
        <v>1640</v>
      </c>
      <c r="Q4662" s="5" t="s">
        <v>10190</v>
      </c>
    </row>
    <row r="4663" spans="1:19" x14ac:dyDescent="0.2">
      <c r="A4663" s="5">
        <v>2361</v>
      </c>
      <c r="B4663" s="34" t="s">
        <v>10195</v>
      </c>
      <c r="H4663" s="8" t="s">
        <v>10196</v>
      </c>
      <c r="I4663" s="8" t="s">
        <v>10197</v>
      </c>
      <c r="J4663" s="5">
        <v>10</v>
      </c>
      <c r="K4663" s="5" t="s">
        <v>848</v>
      </c>
      <c r="L4663" s="5" t="s">
        <v>9249</v>
      </c>
      <c r="M4663" s="5">
        <v>33</v>
      </c>
      <c r="N4663" s="5" t="s">
        <v>8231</v>
      </c>
      <c r="O4663" s="5" t="s">
        <v>789</v>
      </c>
      <c r="Q4663" s="5" t="s">
        <v>10198</v>
      </c>
    </row>
    <row r="4664" spans="1:19" x14ac:dyDescent="0.2">
      <c r="A4664" s="5">
        <v>2363</v>
      </c>
      <c r="B4664" s="8" t="s">
        <v>10199</v>
      </c>
      <c r="C4664" s="34"/>
      <c r="H4664" s="8" t="s">
        <v>10200</v>
      </c>
      <c r="I4664" s="8" t="s">
        <v>10200</v>
      </c>
      <c r="J4664" s="5">
        <v>0</v>
      </c>
      <c r="K4664" s="5" t="s">
        <v>21</v>
      </c>
      <c r="L4664" s="5" t="s">
        <v>9249</v>
      </c>
      <c r="M4664" s="5">
        <v>33</v>
      </c>
      <c r="N4664" s="5" t="s">
        <v>8231</v>
      </c>
      <c r="O4664" s="5" t="s">
        <v>789</v>
      </c>
      <c r="Q4664" s="5" t="s">
        <v>10201</v>
      </c>
    </row>
    <row r="4665" spans="1:19" x14ac:dyDescent="0.2">
      <c r="A4665" s="5">
        <v>2367</v>
      </c>
      <c r="B4665" s="34" t="s">
        <v>10202</v>
      </c>
      <c r="H4665" s="8" t="s">
        <v>10203</v>
      </c>
      <c r="I4665" s="8" t="s">
        <v>10204</v>
      </c>
      <c r="J4665" s="5">
        <v>2</v>
      </c>
      <c r="K4665" s="5" t="s">
        <v>21</v>
      </c>
      <c r="L4665" s="5" t="s">
        <v>9249</v>
      </c>
      <c r="M4665" s="5">
        <v>33</v>
      </c>
      <c r="N4665" s="5" t="s">
        <v>21</v>
      </c>
      <c r="O4665" s="5" t="s">
        <v>789</v>
      </c>
      <c r="Q4665" s="5" t="s">
        <v>10205</v>
      </c>
    </row>
    <row r="4666" spans="1:19" x14ac:dyDescent="0.2">
      <c r="A4666" s="5">
        <v>868</v>
      </c>
      <c r="B4666" s="11" t="s">
        <v>553</v>
      </c>
      <c r="C4666" s="11"/>
      <c r="D4666" s="11"/>
      <c r="E4666" s="26"/>
      <c r="F4666" s="11"/>
      <c r="G4666" s="11"/>
      <c r="H4666" s="8" t="s">
        <v>10206</v>
      </c>
      <c r="I4666" s="8" t="s">
        <v>10206</v>
      </c>
      <c r="J4666" s="5">
        <v>2</v>
      </c>
      <c r="K4666" s="5" t="s">
        <v>292</v>
      </c>
      <c r="L4666" s="5" t="s">
        <v>9249</v>
      </c>
      <c r="M4666" s="5">
        <v>34</v>
      </c>
      <c r="N4666" s="5" t="s">
        <v>3845</v>
      </c>
      <c r="O4666" s="5" t="s">
        <v>789</v>
      </c>
      <c r="Q4666" s="10" t="s">
        <v>553</v>
      </c>
      <c r="S4666" s="5" t="s">
        <v>328</v>
      </c>
    </row>
    <row r="4667" spans="1:19" x14ac:dyDescent="0.2">
      <c r="A4667" s="5">
        <v>1062</v>
      </c>
      <c r="B4667" s="8" t="s">
        <v>10207</v>
      </c>
      <c r="H4667" s="8" t="s">
        <v>10208</v>
      </c>
      <c r="I4667" s="8" t="s">
        <v>10208</v>
      </c>
      <c r="J4667" s="5">
        <f>8-1</f>
        <v>7</v>
      </c>
      <c r="K4667" s="5" t="s">
        <v>292</v>
      </c>
      <c r="L4667" s="5" t="s">
        <v>9249</v>
      </c>
      <c r="M4667" s="5">
        <v>34</v>
      </c>
      <c r="N4667" s="5" t="s">
        <v>8053</v>
      </c>
      <c r="O4667" s="5" t="s">
        <v>1640</v>
      </c>
      <c r="Q4667" s="5" t="s">
        <v>553</v>
      </c>
    </row>
    <row r="4668" spans="1:19" x14ac:dyDescent="0.2">
      <c r="A4668" s="5">
        <v>1063</v>
      </c>
      <c r="B4668" s="8" t="s">
        <v>10209</v>
      </c>
      <c r="H4668" s="8" t="s">
        <v>10210</v>
      </c>
      <c r="I4668" s="8" t="s">
        <v>10210</v>
      </c>
      <c r="J4668" s="5">
        <v>7</v>
      </c>
      <c r="K4668" s="5" t="s">
        <v>292</v>
      </c>
      <c r="L4668" s="5" t="s">
        <v>9249</v>
      </c>
      <c r="M4668" s="5">
        <v>34</v>
      </c>
      <c r="N4668" s="5" t="s">
        <v>8053</v>
      </c>
      <c r="O4668" s="5" t="s">
        <v>1640</v>
      </c>
      <c r="Q4668" s="5" t="s">
        <v>553</v>
      </c>
    </row>
    <row r="4669" spans="1:19" x14ac:dyDescent="0.2">
      <c r="A4669" s="5">
        <v>1064</v>
      </c>
      <c r="B4669" s="8" t="s">
        <v>10211</v>
      </c>
      <c r="H4669" s="8" t="s">
        <v>10212</v>
      </c>
      <c r="I4669" s="8" t="s">
        <v>10212</v>
      </c>
      <c r="J4669" s="5">
        <v>8</v>
      </c>
      <c r="K4669" s="5" t="s">
        <v>292</v>
      </c>
      <c r="L4669" s="5" t="s">
        <v>9249</v>
      </c>
      <c r="M4669" s="5">
        <v>34</v>
      </c>
      <c r="N4669" s="5" t="s">
        <v>8053</v>
      </c>
      <c r="O4669" s="5" t="s">
        <v>1640</v>
      </c>
      <c r="Q4669" s="5" t="s">
        <v>553</v>
      </c>
    </row>
    <row r="4670" spans="1:19" x14ac:dyDescent="0.2">
      <c r="A4670" s="5">
        <v>1065</v>
      </c>
      <c r="B4670" s="34" t="s">
        <v>10213</v>
      </c>
      <c r="H4670" s="8" t="s">
        <v>10214</v>
      </c>
      <c r="I4670" s="8" t="s">
        <v>10214</v>
      </c>
      <c r="J4670" s="5">
        <v>21</v>
      </c>
      <c r="K4670" s="5" t="s">
        <v>292</v>
      </c>
      <c r="L4670" s="5" t="s">
        <v>9249</v>
      </c>
      <c r="M4670" s="5">
        <v>34</v>
      </c>
      <c r="N4670" s="5" t="s">
        <v>8053</v>
      </c>
      <c r="O4670" s="5" t="s">
        <v>1640</v>
      </c>
      <c r="Q4670" s="5" t="s">
        <v>553</v>
      </c>
    </row>
    <row r="4671" spans="1:19" x14ac:dyDescent="0.2">
      <c r="A4671" s="5">
        <v>1066</v>
      </c>
      <c r="B4671" s="8" t="s">
        <v>10215</v>
      </c>
      <c r="H4671" s="8" t="s">
        <v>10216</v>
      </c>
      <c r="I4671" s="8" t="s">
        <v>10216</v>
      </c>
      <c r="J4671" s="5">
        <v>57</v>
      </c>
      <c r="K4671" s="5" t="s">
        <v>292</v>
      </c>
      <c r="L4671" s="5" t="s">
        <v>9249</v>
      </c>
      <c r="M4671" s="5">
        <v>34</v>
      </c>
      <c r="N4671" s="5" t="s">
        <v>8053</v>
      </c>
      <c r="O4671" s="5" t="s">
        <v>1640</v>
      </c>
      <c r="Q4671" s="5" t="s">
        <v>553</v>
      </c>
    </row>
    <row r="4672" spans="1:19" x14ac:dyDescent="0.2">
      <c r="A4672" s="5">
        <v>1067</v>
      </c>
      <c r="B4672" s="8" t="s">
        <v>10217</v>
      </c>
      <c r="H4672" s="8" t="s">
        <v>10218</v>
      </c>
      <c r="I4672" s="8" t="s">
        <v>10218</v>
      </c>
      <c r="J4672" s="5">
        <v>31</v>
      </c>
      <c r="K4672" s="5" t="s">
        <v>292</v>
      </c>
      <c r="L4672" s="5" t="s">
        <v>9249</v>
      </c>
      <c r="M4672" s="5">
        <v>34</v>
      </c>
      <c r="N4672" s="5" t="s">
        <v>8053</v>
      </c>
      <c r="O4672" s="5" t="s">
        <v>1640</v>
      </c>
      <c r="Q4672" s="5" t="s">
        <v>553</v>
      </c>
    </row>
    <row r="4673" spans="1:17" x14ac:dyDescent="0.2">
      <c r="A4673" s="5">
        <v>1068</v>
      </c>
      <c r="B4673" s="8" t="s">
        <v>10219</v>
      </c>
      <c r="H4673" s="8" t="s">
        <v>10220</v>
      </c>
      <c r="I4673" s="8" t="s">
        <v>10220</v>
      </c>
      <c r="J4673" s="5">
        <v>8</v>
      </c>
      <c r="K4673" s="5" t="s">
        <v>292</v>
      </c>
      <c r="L4673" s="5" t="s">
        <v>9249</v>
      </c>
      <c r="M4673" s="5">
        <v>34</v>
      </c>
      <c r="N4673" s="5" t="s">
        <v>8053</v>
      </c>
      <c r="O4673" s="5" t="s">
        <v>1640</v>
      </c>
      <c r="Q4673" s="5" t="s">
        <v>553</v>
      </c>
    </row>
    <row r="4674" spans="1:17" x14ac:dyDescent="0.2">
      <c r="A4674" s="5">
        <v>1069</v>
      </c>
      <c r="B4674" s="8" t="s">
        <v>10221</v>
      </c>
      <c r="H4674" s="8" t="s">
        <v>10222</v>
      </c>
      <c r="I4674" s="8" t="s">
        <v>10223</v>
      </c>
      <c r="J4674" s="5">
        <v>3</v>
      </c>
      <c r="K4674" s="5" t="s">
        <v>292</v>
      </c>
      <c r="L4674" s="5" t="s">
        <v>9249</v>
      </c>
      <c r="M4674" s="5">
        <v>34</v>
      </c>
      <c r="N4674" s="5" t="s">
        <v>8053</v>
      </c>
      <c r="O4674" s="5" t="s">
        <v>1640</v>
      </c>
      <c r="Q4674" s="5" t="s">
        <v>553</v>
      </c>
    </row>
    <row r="4675" spans="1:17" x14ac:dyDescent="0.2">
      <c r="A4675" s="5">
        <v>1070</v>
      </c>
      <c r="B4675" s="8" t="s">
        <v>10224</v>
      </c>
      <c r="H4675" s="8" t="s">
        <v>10225</v>
      </c>
      <c r="I4675" s="8" t="s">
        <v>10225</v>
      </c>
      <c r="J4675" s="5">
        <v>55</v>
      </c>
      <c r="K4675" s="5" t="s">
        <v>292</v>
      </c>
      <c r="L4675" s="5" t="s">
        <v>9249</v>
      </c>
      <c r="M4675" s="5">
        <v>34</v>
      </c>
      <c r="N4675" s="5" t="s">
        <v>8053</v>
      </c>
      <c r="O4675" s="5" t="s">
        <v>1640</v>
      </c>
      <c r="Q4675" s="5" t="s">
        <v>553</v>
      </c>
    </row>
    <row r="4676" spans="1:17" x14ac:dyDescent="0.2">
      <c r="A4676" s="5">
        <v>1071</v>
      </c>
      <c r="B4676" s="8" t="s">
        <v>10226</v>
      </c>
      <c r="H4676" s="8" t="s">
        <v>10227</v>
      </c>
      <c r="I4676" s="8" t="s">
        <v>10227</v>
      </c>
      <c r="J4676" s="5">
        <v>15</v>
      </c>
      <c r="K4676" s="5" t="s">
        <v>292</v>
      </c>
      <c r="L4676" s="5" t="s">
        <v>9249</v>
      </c>
      <c r="M4676" s="5">
        <v>34</v>
      </c>
      <c r="N4676" s="5" t="s">
        <v>9418</v>
      </c>
      <c r="O4676" s="5" t="s">
        <v>1640</v>
      </c>
      <c r="Q4676" s="5" t="s">
        <v>553</v>
      </c>
    </row>
    <row r="4677" spans="1:17" x14ac:dyDescent="0.2">
      <c r="A4677" s="5">
        <v>1072</v>
      </c>
      <c r="B4677" s="8" t="s">
        <v>10228</v>
      </c>
      <c r="H4677" s="8" t="s">
        <v>10229</v>
      </c>
      <c r="I4677" s="8" t="s">
        <v>10229</v>
      </c>
      <c r="J4677" s="5">
        <v>20</v>
      </c>
      <c r="K4677" s="5" t="s">
        <v>292</v>
      </c>
      <c r="L4677" s="5" t="s">
        <v>9249</v>
      </c>
      <c r="M4677" s="5">
        <v>34</v>
      </c>
      <c r="N4677" s="5" t="s">
        <v>8053</v>
      </c>
      <c r="O4677" s="5" t="s">
        <v>1640</v>
      </c>
      <c r="Q4677" s="5" t="s">
        <v>553</v>
      </c>
    </row>
    <row r="4678" spans="1:17" x14ac:dyDescent="0.2">
      <c r="A4678" s="5">
        <v>1073</v>
      </c>
      <c r="B4678" s="8" t="s">
        <v>10230</v>
      </c>
      <c r="H4678" s="8" t="s">
        <v>10231</v>
      </c>
      <c r="I4678" s="8" t="s">
        <v>10231</v>
      </c>
      <c r="J4678" s="5">
        <v>79</v>
      </c>
      <c r="K4678" s="5" t="s">
        <v>292</v>
      </c>
      <c r="L4678" s="5" t="s">
        <v>9249</v>
      </c>
      <c r="M4678" s="5">
        <v>34</v>
      </c>
      <c r="N4678" s="5" t="s">
        <v>8053</v>
      </c>
      <c r="O4678" s="5" t="s">
        <v>1640</v>
      </c>
      <c r="Q4678" s="5" t="s">
        <v>553</v>
      </c>
    </row>
    <row r="4679" spans="1:17" x14ac:dyDescent="0.2">
      <c r="A4679" s="5">
        <v>1074</v>
      </c>
      <c r="B4679" s="34" t="s">
        <v>8240</v>
      </c>
      <c r="H4679" s="8" t="s">
        <v>10232</v>
      </c>
      <c r="I4679" s="8" t="s">
        <v>10232</v>
      </c>
      <c r="J4679" s="5">
        <v>50</v>
      </c>
      <c r="K4679" s="5" t="s">
        <v>292</v>
      </c>
      <c r="L4679" s="5" t="s">
        <v>9249</v>
      </c>
      <c r="M4679" s="5">
        <v>34</v>
      </c>
      <c r="N4679" s="5" t="s">
        <v>8053</v>
      </c>
      <c r="O4679" s="5" t="s">
        <v>1640</v>
      </c>
      <c r="Q4679" s="5" t="s">
        <v>10233</v>
      </c>
    </row>
    <row r="4680" spans="1:17" x14ac:dyDescent="0.2">
      <c r="A4680" s="5">
        <v>1075</v>
      </c>
      <c r="H4680" s="8" t="s">
        <v>10234</v>
      </c>
      <c r="I4680" s="8" t="s">
        <v>10234</v>
      </c>
      <c r="J4680" s="5">
        <v>24</v>
      </c>
      <c r="K4680" s="5" t="s">
        <v>292</v>
      </c>
      <c r="L4680" s="5" t="s">
        <v>9249</v>
      </c>
      <c r="M4680" s="5">
        <v>34</v>
      </c>
      <c r="N4680" s="5" t="s">
        <v>8053</v>
      </c>
      <c r="O4680" s="5" t="s">
        <v>1640</v>
      </c>
      <c r="Q4680" s="5" t="s">
        <v>553</v>
      </c>
    </row>
    <row r="4681" spans="1:17" x14ac:dyDescent="0.2">
      <c r="A4681" s="5">
        <v>1076</v>
      </c>
      <c r="B4681" s="8" t="s">
        <v>10235</v>
      </c>
      <c r="H4681" s="8" t="s">
        <v>10236</v>
      </c>
      <c r="I4681" s="8" t="s">
        <v>10236</v>
      </c>
      <c r="J4681" s="5">
        <v>10</v>
      </c>
      <c r="K4681" s="5" t="s">
        <v>292</v>
      </c>
      <c r="L4681" s="5" t="s">
        <v>9249</v>
      </c>
      <c r="M4681" s="5">
        <v>34</v>
      </c>
      <c r="N4681" s="5" t="s">
        <v>8053</v>
      </c>
      <c r="O4681" s="5" t="s">
        <v>1640</v>
      </c>
      <c r="Q4681" s="5" t="s">
        <v>553</v>
      </c>
    </row>
    <row r="4682" spans="1:17" x14ac:dyDescent="0.2">
      <c r="A4682" s="5">
        <v>1002</v>
      </c>
      <c r="B4682" s="8">
        <v>61003021121</v>
      </c>
      <c r="H4682" s="8" t="s">
        <v>10237</v>
      </c>
      <c r="I4682" s="8" t="s">
        <v>10237</v>
      </c>
      <c r="J4682" s="5">
        <v>15</v>
      </c>
      <c r="K4682" s="5" t="s">
        <v>292</v>
      </c>
      <c r="L4682" s="5" t="s">
        <v>9249</v>
      </c>
      <c r="M4682" s="5">
        <v>36</v>
      </c>
      <c r="N4682" s="5" t="s">
        <v>43</v>
      </c>
      <c r="O4682" s="5" t="s">
        <v>1640</v>
      </c>
      <c r="Q4682" s="5" t="s">
        <v>9432</v>
      </c>
    </row>
    <row r="4683" spans="1:17" x14ac:dyDescent="0.2">
      <c r="A4683" s="5">
        <v>1197</v>
      </c>
      <c r="B4683" s="40" t="s">
        <v>10238</v>
      </c>
      <c r="H4683" s="8" t="s">
        <v>10239</v>
      </c>
      <c r="I4683" s="8" t="s">
        <v>10240</v>
      </c>
      <c r="J4683" s="5">
        <f>274-4-32-36-20+469</f>
        <v>651</v>
      </c>
      <c r="K4683" s="5" t="s">
        <v>292</v>
      </c>
      <c r="L4683" s="5" t="s">
        <v>9249</v>
      </c>
      <c r="M4683" s="5">
        <v>36</v>
      </c>
      <c r="N4683" s="5" t="s">
        <v>10241</v>
      </c>
      <c r="O4683" s="5" t="s">
        <v>1640</v>
      </c>
      <c r="Q4683" s="5" t="s">
        <v>10242</v>
      </c>
    </row>
    <row r="4684" spans="1:17" x14ac:dyDescent="0.2">
      <c r="A4684" s="5">
        <v>1003</v>
      </c>
      <c r="B4684" s="8">
        <v>2360815</v>
      </c>
      <c r="H4684" s="8" t="s">
        <v>10243</v>
      </c>
      <c r="I4684" s="8" t="s">
        <v>10243</v>
      </c>
      <c r="J4684" s="5">
        <v>270</v>
      </c>
      <c r="K4684" s="5" t="s">
        <v>292</v>
      </c>
      <c r="L4684" s="5" t="s">
        <v>9249</v>
      </c>
      <c r="M4684" s="5">
        <v>36</v>
      </c>
      <c r="N4684" s="5" t="s">
        <v>3243</v>
      </c>
      <c r="O4684" s="5" t="s">
        <v>1640</v>
      </c>
      <c r="Q4684" s="5" t="s">
        <v>9423</v>
      </c>
    </row>
    <row r="4685" spans="1:17" x14ac:dyDescent="0.2">
      <c r="A4685" s="5">
        <v>1004</v>
      </c>
      <c r="B4685" s="8" t="s">
        <v>10244</v>
      </c>
      <c r="H4685" s="8" t="s">
        <v>10245</v>
      </c>
      <c r="I4685" s="8" t="s">
        <v>10245</v>
      </c>
      <c r="J4685" s="5">
        <v>17</v>
      </c>
      <c r="K4685" s="5" t="s">
        <v>292</v>
      </c>
      <c r="L4685" s="5" t="s">
        <v>9249</v>
      </c>
      <c r="M4685" s="5">
        <v>36</v>
      </c>
      <c r="N4685" s="5" t="s">
        <v>43</v>
      </c>
      <c r="O4685" s="5" t="s">
        <v>1640</v>
      </c>
      <c r="Q4685" s="5" t="s">
        <v>10246</v>
      </c>
    </row>
    <row r="4686" spans="1:17" x14ac:dyDescent="0.2">
      <c r="A4686" s="5">
        <v>1005</v>
      </c>
      <c r="B4686" s="8">
        <v>80410</v>
      </c>
      <c r="H4686" s="8" t="s">
        <v>9756</v>
      </c>
      <c r="I4686" s="8" t="s">
        <v>10247</v>
      </c>
      <c r="J4686" s="5">
        <v>186</v>
      </c>
      <c r="K4686" s="5" t="s">
        <v>10248</v>
      </c>
      <c r="L4686" s="5" t="s">
        <v>9249</v>
      </c>
      <c r="M4686" s="5">
        <v>36</v>
      </c>
      <c r="N4686" s="5" t="s">
        <v>71</v>
      </c>
      <c r="O4686" s="5" t="s">
        <v>1640</v>
      </c>
      <c r="Q4686" s="5" t="s">
        <v>553</v>
      </c>
    </row>
    <row r="4687" spans="1:17" x14ac:dyDescent="0.2">
      <c r="A4687" s="5">
        <v>1006</v>
      </c>
      <c r="B4687" s="8" t="s">
        <v>10249</v>
      </c>
      <c r="H4687" s="8" t="s">
        <v>10250</v>
      </c>
      <c r="I4687" s="8" t="s">
        <v>10251</v>
      </c>
      <c r="J4687" s="5">
        <v>127</v>
      </c>
      <c r="K4687" s="5" t="s">
        <v>292</v>
      </c>
      <c r="L4687" s="5" t="s">
        <v>9249</v>
      </c>
      <c r="M4687" s="5">
        <v>36</v>
      </c>
      <c r="N4687" s="5" t="s">
        <v>76</v>
      </c>
      <c r="O4687" s="5" t="s">
        <v>1640</v>
      </c>
      <c r="Q4687" s="5" t="s">
        <v>553</v>
      </c>
    </row>
    <row r="4688" spans="1:17" x14ac:dyDescent="0.2">
      <c r="A4688" s="5">
        <v>1007</v>
      </c>
      <c r="B4688" s="8" t="s">
        <v>10252</v>
      </c>
      <c r="H4688" s="8" t="s">
        <v>10253</v>
      </c>
      <c r="I4688" s="8" t="s">
        <v>10254</v>
      </c>
      <c r="J4688" s="5">
        <f>312-5-40-25</f>
        <v>242</v>
      </c>
      <c r="K4688" s="5" t="s">
        <v>292</v>
      </c>
      <c r="L4688" s="5" t="s">
        <v>9249</v>
      </c>
      <c r="M4688" s="5">
        <v>36</v>
      </c>
      <c r="N4688" s="5" t="s">
        <v>292</v>
      </c>
      <c r="O4688" s="5" t="s">
        <v>1640</v>
      </c>
      <c r="Q4688" s="5" t="s">
        <v>553</v>
      </c>
    </row>
    <row r="4689" spans="1:17" x14ac:dyDescent="0.2">
      <c r="A4689" s="5"/>
      <c r="B4689" s="8" t="s">
        <v>10255</v>
      </c>
      <c r="H4689" s="8" t="s">
        <v>10253</v>
      </c>
      <c r="I4689" s="8" t="s">
        <v>10256</v>
      </c>
      <c r="J4689" s="5">
        <f>5+72-1-8-1-5</f>
        <v>62</v>
      </c>
      <c r="K4689" s="5" t="s">
        <v>292</v>
      </c>
      <c r="L4689" s="5" t="s">
        <v>9249</v>
      </c>
      <c r="M4689" s="5">
        <v>36</v>
      </c>
    </row>
    <row r="4690" spans="1:17" x14ac:dyDescent="0.2">
      <c r="A4690" s="5">
        <v>1008</v>
      </c>
      <c r="B4690" s="8">
        <v>880128</v>
      </c>
      <c r="H4690" s="8" t="s">
        <v>10257</v>
      </c>
      <c r="I4690" s="8" t="s">
        <v>10257</v>
      </c>
      <c r="J4690" s="5">
        <v>19</v>
      </c>
      <c r="K4690" s="5" t="s">
        <v>292</v>
      </c>
      <c r="L4690" s="5" t="s">
        <v>9249</v>
      </c>
      <c r="M4690" s="5">
        <v>36</v>
      </c>
      <c r="N4690" s="5" t="s">
        <v>81</v>
      </c>
      <c r="O4690" s="5" t="s">
        <v>1640</v>
      </c>
      <c r="Q4690" s="5" t="s">
        <v>553</v>
      </c>
    </row>
    <row r="4691" spans="1:17" x14ac:dyDescent="0.2">
      <c r="A4691" s="5">
        <v>1009</v>
      </c>
      <c r="B4691" s="140"/>
      <c r="H4691" s="8" t="s">
        <v>10258</v>
      </c>
      <c r="I4691" s="8" t="s">
        <v>10258</v>
      </c>
      <c r="J4691" s="5">
        <f>48</f>
        <v>48</v>
      </c>
      <c r="K4691" s="5" t="s">
        <v>292</v>
      </c>
      <c r="L4691" s="5" t="s">
        <v>9249</v>
      </c>
      <c r="M4691" s="5">
        <v>36</v>
      </c>
      <c r="N4691" s="5" t="s">
        <v>896</v>
      </c>
      <c r="O4691" s="5" t="s">
        <v>1640</v>
      </c>
      <c r="Q4691" s="5" t="s">
        <v>553</v>
      </c>
    </row>
    <row r="4692" spans="1:17" x14ac:dyDescent="0.2">
      <c r="A4692" s="5">
        <v>1010</v>
      </c>
      <c r="B4692" s="8" t="s">
        <v>10259</v>
      </c>
      <c r="H4692" s="8" t="s">
        <v>10260</v>
      </c>
      <c r="I4692" s="8" t="s">
        <v>10260</v>
      </c>
      <c r="J4692" s="5">
        <v>85</v>
      </c>
      <c r="K4692" s="5" t="s">
        <v>292</v>
      </c>
      <c r="L4692" s="5" t="s">
        <v>9249</v>
      </c>
      <c r="M4692" s="5">
        <v>36</v>
      </c>
      <c r="N4692" s="5" t="s">
        <v>81</v>
      </c>
      <c r="O4692" s="5" t="s">
        <v>1640</v>
      </c>
      <c r="Q4692" s="5" t="s">
        <v>9720</v>
      </c>
    </row>
    <row r="4693" spans="1:17" x14ac:dyDescent="0.2">
      <c r="A4693" s="5">
        <v>1011</v>
      </c>
      <c r="B4693" s="8" t="s">
        <v>10261</v>
      </c>
      <c r="H4693" s="8" t="s">
        <v>10262</v>
      </c>
      <c r="I4693" s="8" t="s">
        <v>10262</v>
      </c>
      <c r="J4693" s="5">
        <v>156</v>
      </c>
      <c r="K4693" s="5" t="s">
        <v>292</v>
      </c>
      <c r="L4693" s="5" t="s">
        <v>9249</v>
      </c>
      <c r="M4693" s="5">
        <v>36</v>
      </c>
      <c r="N4693" s="5" t="s">
        <v>10263</v>
      </c>
      <c r="O4693" s="5" t="s">
        <v>1640</v>
      </c>
      <c r="Q4693" s="5" t="s">
        <v>553</v>
      </c>
    </row>
    <row r="4694" spans="1:17" x14ac:dyDescent="0.2">
      <c r="A4694" s="5">
        <v>1012</v>
      </c>
      <c r="B4694" s="8" t="s">
        <v>10261</v>
      </c>
      <c r="H4694" s="8" t="s">
        <v>10264</v>
      </c>
      <c r="I4694" s="8" t="s">
        <v>10264</v>
      </c>
      <c r="J4694" s="5">
        <v>99</v>
      </c>
      <c r="K4694" s="5" t="s">
        <v>292</v>
      </c>
      <c r="L4694" s="5" t="s">
        <v>9249</v>
      </c>
      <c r="M4694" s="5">
        <v>36</v>
      </c>
      <c r="N4694" s="5" t="s">
        <v>10263</v>
      </c>
      <c r="O4694" s="5" t="s">
        <v>1640</v>
      </c>
      <c r="Q4694" s="5" t="s">
        <v>553</v>
      </c>
    </row>
    <row r="4695" spans="1:17" x14ac:dyDescent="0.2">
      <c r="A4695" s="5">
        <v>1013</v>
      </c>
      <c r="B4695" s="8" t="s">
        <v>10265</v>
      </c>
      <c r="H4695" s="8" t="s">
        <v>10266</v>
      </c>
      <c r="I4695" s="8" t="s">
        <v>10266</v>
      </c>
      <c r="J4695" s="5">
        <v>40</v>
      </c>
      <c r="K4695" s="5" t="s">
        <v>292</v>
      </c>
      <c r="L4695" s="5" t="s">
        <v>9249</v>
      </c>
      <c r="M4695" s="5">
        <v>36</v>
      </c>
      <c r="N4695" s="5" t="s">
        <v>896</v>
      </c>
      <c r="O4695" s="5" t="s">
        <v>1640</v>
      </c>
      <c r="Q4695" s="5" t="s">
        <v>553</v>
      </c>
    </row>
    <row r="4696" spans="1:17" x14ac:dyDescent="0.2">
      <c r="A4696" s="5">
        <v>1014</v>
      </c>
      <c r="B4696" s="8" t="s">
        <v>10267</v>
      </c>
      <c r="H4696" s="8" t="s">
        <v>10267</v>
      </c>
      <c r="J4696" s="5">
        <v>5</v>
      </c>
      <c r="K4696" s="5" t="s">
        <v>292</v>
      </c>
      <c r="L4696" s="5" t="s">
        <v>9249</v>
      </c>
      <c r="M4696" s="5">
        <v>36</v>
      </c>
      <c r="N4696" s="5" t="s">
        <v>81</v>
      </c>
      <c r="O4696" s="5" t="s">
        <v>1640</v>
      </c>
      <c r="Q4696" s="5" t="s">
        <v>553</v>
      </c>
    </row>
    <row r="4697" spans="1:17" x14ac:dyDescent="0.2">
      <c r="A4697" s="5">
        <v>1015</v>
      </c>
      <c r="B4697" s="8" t="s">
        <v>10261</v>
      </c>
      <c r="H4697" s="8" t="s">
        <v>10268</v>
      </c>
      <c r="I4697" s="8" t="s">
        <v>10268</v>
      </c>
      <c r="J4697" s="5">
        <v>6</v>
      </c>
      <c r="K4697" s="5" t="s">
        <v>292</v>
      </c>
      <c r="L4697" s="5" t="s">
        <v>9249</v>
      </c>
      <c r="M4697" s="5">
        <v>36</v>
      </c>
      <c r="N4697" s="5" t="s">
        <v>81</v>
      </c>
      <c r="O4697" s="5" t="s">
        <v>1640</v>
      </c>
      <c r="Q4697" s="5" t="s">
        <v>553</v>
      </c>
    </row>
    <row r="4698" spans="1:17" x14ac:dyDescent="0.2">
      <c r="A4698" s="5">
        <v>1016</v>
      </c>
      <c r="B4698" s="8">
        <v>100426</v>
      </c>
      <c r="H4698" s="8" t="s">
        <v>10269</v>
      </c>
      <c r="I4698" s="40" t="s">
        <v>10270</v>
      </c>
      <c r="J4698" s="5">
        <f>37-20-2-8+72-1-8-5-2</f>
        <v>63</v>
      </c>
      <c r="K4698" s="5" t="s">
        <v>292</v>
      </c>
      <c r="L4698" s="5" t="s">
        <v>9249</v>
      </c>
      <c r="M4698" s="5">
        <v>36</v>
      </c>
      <c r="N4698" s="5" t="s">
        <v>81</v>
      </c>
      <c r="O4698" s="5" t="s">
        <v>1640</v>
      </c>
      <c r="Q4698" s="5" t="s">
        <v>10271</v>
      </c>
    </row>
    <row r="4699" spans="1:17" x14ac:dyDescent="0.2">
      <c r="A4699" s="5">
        <v>1017</v>
      </c>
      <c r="B4699" s="8">
        <v>8801212</v>
      </c>
      <c r="H4699" s="8" t="s">
        <v>10272</v>
      </c>
      <c r="I4699" s="8" t="s">
        <v>10272</v>
      </c>
      <c r="J4699" s="5">
        <v>14</v>
      </c>
      <c r="K4699" s="5" t="s">
        <v>292</v>
      </c>
      <c r="L4699" s="5" t="s">
        <v>9249</v>
      </c>
      <c r="M4699" s="5">
        <v>36</v>
      </c>
      <c r="N4699" s="5" t="s">
        <v>81</v>
      </c>
      <c r="O4699" s="5" t="s">
        <v>1640</v>
      </c>
      <c r="Q4699" s="5" t="s">
        <v>553</v>
      </c>
    </row>
    <row r="4700" spans="1:17" x14ac:dyDescent="0.2">
      <c r="A4700" s="5">
        <v>1018</v>
      </c>
      <c r="B4700" s="8">
        <v>8801150</v>
      </c>
      <c r="H4700" s="8" t="s">
        <v>10273</v>
      </c>
      <c r="I4700" s="8" t="s">
        <v>10273</v>
      </c>
      <c r="J4700" s="5">
        <v>50</v>
      </c>
      <c r="K4700" s="5" t="s">
        <v>292</v>
      </c>
      <c r="L4700" s="5" t="s">
        <v>9249</v>
      </c>
      <c r="M4700" s="5">
        <v>36</v>
      </c>
      <c r="N4700" s="5" t="s">
        <v>81</v>
      </c>
      <c r="O4700" s="5" t="s">
        <v>1640</v>
      </c>
      <c r="Q4700" s="5" t="s">
        <v>553</v>
      </c>
    </row>
    <row r="4701" spans="1:17" x14ac:dyDescent="0.2">
      <c r="A4701" s="5">
        <v>1019</v>
      </c>
      <c r="B4701" s="8">
        <v>880128</v>
      </c>
      <c r="H4701" s="8" t="s">
        <v>10274</v>
      </c>
      <c r="I4701" s="8" t="s">
        <v>10274</v>
      </c>
      <c r="J4701" s="5">
        <v>50</v>
      </c>
      <c r="K4701" s="5" t="s">
        <v>292</v>
      </c>
      <c r="L4701" s="5" t="s">
        <v>9249</v>
      </c>
      <c r="M4701" s="5">
        <v>36</v>
      </c>
      <c r="N4701" s="5" t="s">
        <v>81</v>
      </c>
      <c r="O4701" s="5" t="s">
        <v>1640</v>
      </c>
      <c r="Q4701" s="5" t="s">
        <v>553</v>
      </c>
    </row>
    <row r="4702" spans="1:17" x14ac:dyDescent="0.2">
      <c r="A4702" s="5">
        <v>1020</v>
      </c>
      <c r="B4702" s="8" t="s">
        <v>10275</v>
      </c>
      <c r="H4702" s="8" t="s">
        <v>10276</v>
      </c>
      <c r="I4702" s="8" t="s">
        <v>10276</v>
      </c>
      <c r="J4702" s="5">
        <f>51-1-8-5</f>
        <v>37</v>
      </c>
      <c r="K4702" s="5" t="s">
        <v>292</v>
      </c>
      <c r="L4702" s="5" t="s">
        <v>9249</v>
      </c>
      <c r="M4702" s="5">
        <v>36</v>
      </c>
      <c r="N4702" s="5" t="s">
        <v>81</v>
      </c>
      <c r="O4702" s="5" t="s">
        <v>1640</v>
      </c>
      <c r="Q4702" s="5" t="s">
        <v>553</v>
      </c>
    </row>
    <row r="4703" spans="1:17" x14ac:dyDescent="0.2">
      <c r="A4703" s="5"/>
      <c r="B4703" s="8">
        <v>8801207</v>
      </c>
      <c r="I4703" s="8" t="s">
        <v>10277</v>
      </c>
      <c r="J4703" s="5">
        <f>96-4</f>
        <v>92</v>
      </c>
      <c r="K4703" s="5" t="s">
        <v>292</v>
      </c>
      <c r="L4703" s="5" t="s">
        <v>9249</v>
      </c>
      <c r="M4703" s="5">
        <v>36</v>
      </c>
    </row>
    <row r="4704" spans="1:17" x14ac:dyDescent="0.2">
      <c r="A4704" s="5"/>
      <c r="B4704" s="8">
        <v>8801150</v>
      </c>
      <c r="I4704" s="8" t="s">
        <v>10278</v>
      </c>
      <c r="J4704" s="5">
        <f>22</f>
        <v>22</v>
      </c>
      <c r="K4704" s="5" t="s">
        <v>292</v>
      </c>
      <c r="L4704" s="5" t="s">
        <v>9249</v>
      </c>
      <c r="M4704" s="5">
        <v>36</v>
      </c>
    </row>
    <row r="4705" spans="1:18" x14ac:dyDescent="0.2">
      <c r="A4705" s="5"/>
      <c r="B4705" s="8">
        <v>8801224</v>
      </c>
      <c r="I4705" s="8" t="s">
        <v>10279</v>
      </c>
      <c r="J4705" s="5">
        <f>32-7-5</f>
        <v>20</v>
      </c>
      <c r="K4705" s="5" t="s">
        <v>292</v>
      </c>
      <c r="L4705" s="5" t="s">
        <v>9249</v>
      </c>
      <c r="M4705" s="5">
        <v>36</v>
      </c>
    </row>
    <row r="4706" spans="1:18" x14ac:dyDescent="0.2">
      <c r="A4706" s="5"/>
      <c r="B4706" s="100" t="s">
        <v>10280</v>
      </c>
      <c r="I4706" s="202" t="s">
        <v>10281</v>
      </c>
      <c r="J4706" s="5">
        <f>126</f>
        <v>126</v>
      </c>
      <c r="K4706" s="5" t="s">
        <v>292</v>
      </c>
      <c r="L4706" s="5" t="s">
        <v>9249</v>
      </c>
      <c r="M4706" s="5">
        <v>36</v>
      </c>
      <c r="N4706" s="200"/>
      <c r="O4706" s="200"/>
      <c r="P4706" s="200"/>
      <c r="Q4706" s="201"/>
      <c r="R4706" s="200"/>
    </row>
    <row r="4707" spans="1:18" x14ac:dyDescent="0.2">
      <c r="A4707" s="5">
        <v>1188</v>
      </c>
      <c r="B4707" s="8">
        <v>660217</v>
      </c>
      <c r="H4707" s="8" t="s">
        <v>9940</v>
      </c>
      <c r="I4707" s="8" t="s">
        <v>10282</v>
      </c>
      <c r="J4707" s="5">
        <f>32-1-3+1</f>
        <v>29</v>
      </c>
      <c r="K4707" s="5" t="s">
        <v>292</v>
      </c>
      <c r="L4707" s="5" t="s">
        <v>9249</v>
      </c>
      <c r="M4707" s="5">
        <v>36</v>
      </c>
      <c r="O4707" s="5" t="s">
        <v>1640</v>
      </c>
    </row>
    <row r="4708" spans="1:18" x14ac:dyDescent="0.2">
      <c r="A4708" s="5">
        <v>1023</v>
      </c>
      <c r="B4708" s="8" t="s">
        <v>10283</v>
      </c>
      <c r="H4708" s="8" t="s">
        <v>553</v>
      </c>
      <c r="I4708" s="8" t="s">
        <v>10284</v>
      </c>
      <c r="J4708" s="5">
        <f>531-5</f>
        <v>526</v>
      </c>
      <c r="K4708" s="5" t="s">
        <v>292</v>
      </c>
      <c r="L4708" s="5" t="s">
        <v>9249</v>
      </c>
      <c r="M4708" s="5">
        <v>36</v>
      </c>
      <c r="N4708" s="5" t="s">
        <v>8053</v>
      </c>
      <c r="O4708" s="5" t="s">
        <v>1640</v>
      </c>
      <c r="Q4708" s="5" t="s">
        <v>553</v>
      </c>
    </row>
    <row r="4709" spans="1:18" x14ac:dyDescent="0.2">
      <c r="A4709" s="5">
        <v>1024</v>
      </c>
      <c r="B4709" s="8" t="s">
        <v>10285</v>
      </c>
      <c r="C4709" s="34"/>
      <c r="H4709" s="8" t="s">
        <v>10286</v>
      </c>
      <c r="I4709" s="8" t="s">
        <v>10287</v>
      </c>
      <c r="J4709" s="5">
        <f>132-5</f>
        <v>127</v>
      </c>
      <c r="K4709" s="5" t="s">
        <v>848</v>
      </c>
      <c r="L4709" s="5" t="s">
        <v>9249</v>
      </c>
      <c r="M4709" s="5">
        <v>2</v>
      </c>
      <c r="N4709" s="5" t="s">
        <v>3243</v>
      </c>
      <c r="O4709" s="5" t="s">
        <v>1640</v>
      </c>
      <c r="Q4709" s="5" t="s">
        <v>10288</v>
      </c>
    </row>
    <row r="4710" spans="1:18" x14ac:dyDescent="0.2">
      <c r="A4710" s="5">
        <v>980</v>
      </c>
      <c r="B4710" s="8" t="s">
        <v>10289</v>
      </c>
      <c r="H4710" s="8" t="s">
        <v>10290</v>
      </c>
      <c r="I4710" s="8" t="s">
        <v>10290</v>
      </c>
      <c r="J4710" s="5">
        <v>55</v>
      </c>
      <c r="K4710" s="5" t="s">
        <v>292</v>
      </c>
      <c r="L4710" s="5" t="s">
        <v>9249</v>
      </c>
      <c r="M4710" s="5">
        <v>37</v>
      </c>
      <c r="N4710" s="5" t="s">
        <v>8053</v>
      </c>
      <c r="O4710" s="5" t="s">
        <v>1640</v>
      </c>
      <c r="Q4710" s="5" t="s">
        <v>553</v>
      </c>
    </row>
    <row r="4711" spans="1:18" x14ac:dyDescent="0.2">
      <c r="A4711" s="5">
        <v>981</v>
      </c>
      <c r="B4711" s="8" t="s">
        <v>10291</v>
      </c>
      <c r="H4711" s="8" t="s">
        <v>10292</v>
      </c>
      <c r="I4711" s="8" t="s">
        <v>10292</v>
      </c>
      <c r="J4711" s="5">
        <v>42</v>
      </c>
      <c r="K4711" s="5" t="s">
        <v>292</v>
      </c>
      <c r="L4711" s="5" t="s">
        <v>9249</v>
      </c>
      <c r="M4711" s="5">
        <v>37</v>
      </c>
      <c r="N4711" s="5" t="s">
        <v>8053</v>
      </c>
      <c r="O4711" s="5" t="s">
        <v>1640</v>
      </c>
      <c r="Q4711" s="5" t="s">
        <v>553</v>
      </c>
    </row>
    <row r="4712" spans="1:18" x14ac:dyDescent="0.2">
      <c r="A4712" s="5">
        <v>982</v>
      </c>
      <c r="B4712" s="8" t="s">
        <v>10293</v>
      </c>
      <c r="H4712" s="8" t="s">
        <v>10294</v>
      </c>
      <c r="I4712" s="8" t="s">
        <v>10294</v>
      </c>
      <c r="J4712" s="5">
        <v>0</v>
      </c>
      <c r="K4712" s="5" t="s">
        <v>292</v>
      </c>
      <c r="L4712" s="5" t="s">
        <v>9249</v>
      </c>
      <c r="M4712" s="5">
        <v>37</v>
      </c>
      <c r="N4712" s="5" t="s">
        <v>8053</v>
      </c>
      <c r="O4712" s="5" t="s">
        <v>1640</v>
      </c>
      <c r="Q4712" s="5" t="s">
        <v>553</v>
      </c>
    </row>
    <row r="4713" spans="1:18" x14ac:dyDescent="0.2">
      <c r="A4713" s="5">
        <v>983</v>
      </c>
      <c r="B4713" s="8" t="s">
        <v>10295</v>
      </c>
      <c r="H4713" s="8" t="s">
        <v>10296</v>
      </c>
      <c r="I4713" s="8" t="s">
        <v>10295</v>
      </c>
      <c r="J4713" s="5">
        <v>1</v>
      </c>
      <c r="K4713" s="5" t="s">
        <v>292</v>
      </c>
      <c r="L4713" s="5" t="s">
        <v>9249</v>
      </c>
      <c r="M4713" s="5">
        <v>37</v>
      </c>
      <c r="N4713" s="5" t="s">
        <v>8053</v>
      </c>
      <c r="O4713" s="5" t="s">
        <v>1640</v>
      </c>
      <c r="Q4713" s="5" t="s">
        <v>553</v>
      </c>
    </row>
    <row r="4714" spans="1:18" x14ac:dyDescent="0.2">
      <c r="A4714" s="5">
        <v>984</v>
      </c>
      <c r="B4714" s="36" t="s">
        <v>10297</v>
      </c>
      <c r="H4714" s="8" t="s">
        <v>10298</v>
      </c>
      <c r="I4714" s="8" t="s">
        <v>10298</v>
      </c>
      <c r="J4714" s="5">
        <v>36</v>
      </c>
      <c r="K4714" s="5" t="s">
        <v>292</v>
      </c>
      <c r="L4714" s="5" t="s">
        <v>9249</v>
      </c>
      <c r="M4714" s="5">
        <v>37</v>
      </c>
      <c r="N4714" s="5" t="s">
        <v>8053</v>
      </c>
      <c r="O4714" s="5" t="s">
        <v>1640</v>
      </c>
      <c r="Q4714" s="5" t="s">
        <v>553</v>
      </c>
    </row>
    <row r="4715" spans="1:18" x14ac:dyDescent="0.2">
      <c r="A4715" s="5">
        <v>985</v>
      </c>
      <c r="B4715" s="8" t="s">
        <v>10299</v>
      </c>
      <c r="H4715" s="8" t="s">
        <v>10300</v>
      </c>
      <c r="I4715" s="8" t="s">
        <v>10300</v>
      </c>
      <c r="J4715" s="5">
        <v>1</v>
      </c>
      <c r="K4715" s="5" t="s">
        <v>292</v>
      </c>
      <c r="L4715" s="5" t="s">
        <v>9249</v>
      </c>
      <c r="M4715" s="5">
        <v>37</v>
      </c>
      <c r="N4715" s="5" t="s">
        <v>8053</v>
      </c>
      <c r="O4715" s="5" t="s">
        <v>1640</v>
      </c>
      <c r="Q4715" s="5" t="s">
        <v>553</v>
      </c>
    </row>
    <row r="4716" spans="1:18" x14ac:dyDescent="0.2">
      <c r="A4716" s="5">
        <v>986</v>
      </c>
      <c r="B4716" s="8" t="s">
        <v>10301</v>
      </c>
      <c r="H4716" s="8" t="s">
        <v>10302</v>
      </c>
      <c r="I4716" s="8" t="s">
        <v>10302</v>
      </c>
      <c r="J4716" s="5">
        <v>37</v>
      </c>
      <c r="K4716" s="5" t="s">
        <v>292</v>
      </c>
      <c r="L4716" s="5" t="s">
        <v>9249</v>
      </c>
      <c r="M4716" s="5">
        <v>37</v>
      </c>
      <c r="N4716" s="5" t="s">
        <v>8053</v>
      </c>
      <c r="O4716" s="5" t="s">
        <v>1640</v>
      </c>
      <c r="Q4716" s="5" t="s">
        <v>553</v>
      </c>
    </row>
    <row r="4717" spans="1:18" x14ac:dyDescent="0.2">
      <c r="A4717" s="5">
        <v>987</v>
      </c>
      <c r="B4717" s="34" t="s">
        <v>10303</v>
      </c>
      <c r="H4717" s="8" t="s">
        <v>10304</v>
      </c>
      <c r="I4717" s="8" t="s">
        <v>10304</v>
      </c>
      <c r="J4717" s="5">
        <v>35</v>
      </c>
      <c r="K4717" s="5" t="s">
        <v>292</v>
      </c>
      <c r="L4717" s="5" t="s">
        <v>9249</v>
      </c>
      <c r="M4717" s="5">
        <v>37</v>
      </c>
      <c r="N4717" s="5" t="s">
        <v>8053</v>
      </c>
      <c r="O4717" s="5" t="s">
        <v>1640</v>
      </c>
      <c r="Q4717" s="5" t="s">
        <v>553</v>
      </c>
    </row>
    <row r="4718" spans="1:18" x14ac:dyDescent="0.2">
      <c r="A4718" s="5">
        <v>988</v>
      </c>
      <c r="B4718" s="8" t="s">
        <v>10305</v>
      </c>
      <c r="H4718" s="8" t="s">
        <v>10306</v>
      </c>
      <c r="I4718" s="8" t="s">
        <v>10306</v>
      </c>
      <c r="J4718" s="5">
        <v>32</v>
      </c>
      <c r="K4718" s="5" t="s">
        <v>292</v>
      </c>
      <c r="L4718" s="5" t="s">
        <v>9249</v>
      </c>
      <c r="M4718" s="5">
        <v>37</v>
      </c>
      <c r="N4718" s="5" t="s">
        <v>8053</v>
      </c>
      <c r="O4718" s="5" t="s">
        <v>1640</v>
      </c>
      <c r="Q4718" s="5" t="s">
        <v>553</v>
      </c>
    </row>
    <row r="4719" spans="1:18" x14ac:dyDescent="0.2">
      <c r="A4719" s="5">
        <v>2364</v>
      </c>
      <c r="B4719" s="8" t="s">
        <v>10307</v>
      </c>
      <c r="H4719" s="8" t="s">
        <v>10308</v>
      </c>
      <c r="I4719" s="8" t="s">
        <v>10308</v>
      </c>
      <c r="J4719" s="5">
        <f>20-1-5-5+5</f>
        <v>14</v>
      </c>
      <c r="K4719" s="5" t="s">
        <v>21</v>
      </c>
      <c r="L4719" s="5" t="s">
        <v>9249</v>
      </c>
      <c r="M4719" s="5">
        <v>30</v>
      </c>
      <c r="N4719" s="5" t="s">
        <v>8231</v>
      </c>
      <c r="O4719" s="5" t="s">
        <v>789</v>
      </c>
      <c r="Q4719" s="5" t="s">
        <v>10309</v>
      </c>
    </row>
    <row r="4720" spans="1:18" x14ac:dyDescent="0.2">
      <c r="A4720" s="5">
        <v>1245</v>
      </c>
      <c r="B4720" s="8" t="s">
        <v>3367</v>
      </c>
      <c r="H4720" s="8" t="s">
        <v>3369</v>
      </c>
      <c r="I4720" s="8" t="s">
        <v>3369</v>
      </c>
      <c r="J4720" s="5">
        <v>4</v>
      </c>
      <c r="K4720" s="5" t="s">
        <v>292</v>
      </c>
      <c r="L4720" s="5" t="s">
        <v>9249</v>
      </c>
      <c r="M4720" s="5">
        <v>343</v>
      </c>
      <c r="N4720" s="5" t="s">
        <v>43</v>
      </c>
      <c r="O4720" s="5" t="s">
        <v>1640</v>
      </c>
      <c r="Q4720" s="5" t="s">
        <v>10128</v>
      </c>
    </row>
    <row r="4721" spans="1:23" x14ac:dyDescent="0.2">
      <c r="A4721" s="5">
        <v>1116</v>
      </c>
      <c r="B4721" s="8" t="s">
        <v>9726</v>
      </c>
      <c r="H4721" s="8" t="s">
        <v>9724</v>
      </c>
      <c r="I4721" s="8" t="s">
        <v>9724</v>
      </c>
      <c r="J4721" s="5">
        <v>23</v>
      </c>
      <c r="K4721" s="5" t="s">
        <v>292</v>
      </c>
      <c r="L4721" s="5" t="s">
        <v>9249</v>
      </c>
      <c r="M4721" s="5" t="s">
        <v>553</v>
      </c>
      <c r="N4721" s="5" t="s">
        <v>8053</v>
      </c>
      <c r="O4721" s="5" t="s">
        <v>1640</v>
      </c>
      <c r="Q4721" s="5" t="s">
        <v>10310</v>
      </c>
    </row>
    <row r="4722" spans="1:23" x14ac:dyDescent="0.2">
      <c r="A4722" s="5">
        <v>1117</v>
      </c>
      <c r="B4722" s="8" t="s">
        <v>9787</v>
      </c>
      <c r="H4722" s="8" t="s">
        <v>9788</v>
      </c>
      <c r="I4722" s="8" t="s">
        <v>10311</v>
      </c>
      <c r="J4722" s="5">
        <v>50</v>
      </c>
      <c r="K4722" s="5" t="s">
        <v>292</v>
      </c>
      <c r="L4722" s="5" t="s">
        <v>9249</v>
      </c>
      <c r="M4722" s="5" t="s">
        <v>553</v>
      </c>
      <c r="N4722" s="5" t="s">
        <v>8053</v>
      </c>
      <c r="O4722" s="5" t="s">
        <v>1640</v>
      </c>
      <c r="Q4722" s="5" t="s">
        <v>553</v>
      </c>
    </row>
    <row r="4723" spans="1:23" x14ac:dyDescent="0.2">
      <c r="A4723" s="5">
        <v>931</v>
      </c>
      <c r="B4723" s="8" t="s">
        <v>10312</v>
      </c>
      <c r="C4723" s="8" t="s">
        <v>10312</v>
      </c>
      <c r="D4723" s="8" t="s">
        <v>10312</v>
      </c>
      <c r="E4723" s="8" t="s">
        <v>10312</v>
      </c>
      <c r="F4723" s="8" t="s">
        <v>10312</v>
      </c>
      <c r="G4723" s="8" t="s">
        <v>10312</v>
      </c>
      <c r="H4723" s="8" t="s">
        <v>10312</v>
      </c>
      <c r="I4723" s="8" t="s">
        <v>10312</v>
      </c>
      <c r="J4723" s="8" t="s">
        <v>10312</v>
      </c>
      <c r="K4723" s="8" t="s">
        <v>10312</v>
      </c>
      <c r="L4723" s="8" t="s">
        <v>10312</v>
      </c>
      <c r="M4723" s="8" t="s">
        <v>10312</v>
      </c>
      <c r="N4723" s="8" t="s">
        <v>10312</v>
      </c>
      <c r="O4723" s="8" t="s">
        <v>10312</v>
      </c>
      <c r="P4723" s="8" t="s">
        <v>10312</v>
      </c>
      <c r="Q4723" s="8" t="s">
        <v>10312</v>
      </c>
      <c r="R4723" s="8" t="s">
        <v>10312</v>
      </c>
      <c r="S4723" s="8" t="s">
        <v>10312</v>
      </c>
      <c r="T4723" s="8" t="s">
        <v>10312</v>
      </c>
      <c r="U4723" s="8" t="s">
        <v>10312</v>
      </c>
      <c r="V4723" s="8"/>
      <c r="W4723" s="8"/>
    </row>
    <row r="4724" spans="1:23" x14ac:dyDescent="0.2">
      <c r="A4724" s="5">
        <v>1213</v>
      </c>
      <c r="B4724" s="8" t="s">
        <v>10313</v>
      </c>
      <c r="H4724" s="8" t="s">
        <v>10314</v>
      </c>
      <c r="I4724" s="8" t="s">
        <v>10314</v>
      </c>
      <c r="J4724" s="5">
        <v>92</v>
      </c>
      <c r="K4724" s="5" t="s">
        <v>292</v>
      </c>
      <c r="L4724" s="5" t="s">
        <v>9249</v>
      </c>
      <c r="N4724" s="5" t="s">
        <v>43</v>
      </c>
      <c r="O4724" s="5" t="s">
        <v>1640</v>
      </c>
      <c r="Q4724" s="5" t="s">
        <v>553</v>
      </c>
    </row>
    <row r="4725" spans="1:23" x14ac:dyDescent="0.2">
      <c r="A4725" s="5">
        <v>1214</v>
      </c>
      <c r="B4725" s="8" t="s">
        <v>10315</v>
      </c>
      <c r="H4725" s="8" t="s">
        <v>10316</v>
      </c>
      <c r="I4725" s="8" t="s">
        <v>10316</v>
      </c>
      <c r="J4725" s="5">
        <v>9</v>
      </c>
      <c r="K4725" s="5" t="s">
        <v>292</v>
      </c>
      <c r="L4725" s="5" t="s">
        <v>9249</v>
      </c>
      <c r="N4725" s="5" t="s">
        <v>43</v>
      </c>
      <c r="O4725" s="5" t="s">
        <v>1640</v>
      </c>
      <c r="Q4725" s="5" t="s">
        <v>553</v>
      </c>
    </row>
    <row r="4726" spans="1:23" x14ac:dyDescent="0.2">
      <c r="A4726" s="5">
        <v>1218</v>
      </c>
      <c r="B4726" s="8" t="s">
        <v>9914</v>
      </c>
      <c r="H4726" s="8" t="s">
        <v>9915</v>
      </c>
      <c r="I4726" s="8" t="s">
        <v>9915</v>
      </c>
      <c r="J4726" s="5">
        <v>56</v>
      </c>
      <c r="K4726" s="5" t="s">
        <v>21</v>
      </c>
      <c r="L4726" s="5" t="s">
        <v>9249</v>
      </c>
      <c r="N4726" s="5" t="s">
        <v>3243</v>
      </c>
      <c r="O4726" s="5" t="s">
        <v>1640</v>
      </c>
      <c r="Q4726" s="5" t="s">
        <v>10317</v>
      </c>
    </row>
    <row r="4727" spans="1:23" x14ac:dyDescent="0.2">
      <c r="A4727" s="5">
        <v>967</v>
      </c>
      <c r="B4727" s="8" t="s">
        <v>10318</v>
      </c>
      <c r="H4727" s="8" t="s">
        <v>10319</v>
      </c>
      <c r="I4727" s="8" t="s">
        <v>10319</v>
      </c>
      <c r="J4727" s="5">
        <f>137-3</f>
        <v>134</v>
      </c>
      <c r="K4727" s="5" t="s">
        <v>292</v>
      </c>
      <c r="L4727" s="5" t="s">
        <v>10320</v>
      </c>
      <c r="M4727" s="22">
        <f>0</f>
        <v>0</v>
      </c>
      <c r="N4727" s="5" t="s">
        <v>516</v>
      </c>
      <c r="O4727" s="5" t="s">
        <v>1640</v>
      </c>
      <c r="Q4727" s="5" t="s">
        <v>10321</v>
      </c>
    </row>
    <row r="4728" spans="1:23" x14ac:dyDescent="0.2">
      <c r="B4728" s="8" t="s">
        <v>10322</v>
      </c>
      <c r="H4728" s="8" t="s">
        <v>10323</v>
      </c>
      <c r="I4728" s="8" t="s">
        <v>10323</v>
      </c>
      <c r="J4728" s="5">
        <v>1</v>
      </c>
      <c r="K4728" s="5" t="s">
        <v>292</v>
      </c>
      <c r="L4728" s="5" t="s">
        <v>10324</v>
      </c>
      <c r="M4728" s="5">
        <v>33</v>
      </c>
    </row>
    <row r="4729" spans="1:23" x14ac:dyDescent="0.2">
      <c r="B4729" s="34" t="s">
        <v>10325</v>
      </c>
      <c r="H4729" s="8" t="s">
        <v>10325</v>
      </c>
      <c r="J4729" s="5">
        <v>1</v>
      </c>
      <c r="K4729" s="5" t="s">
        <v>292</v>
      </c>
      <c r="L4729" s="5" t="s">
        <v>10324</v>
      </c>
      <c r="M4729" s="5">
        <v>33</v>
      </c>
    </row>
    <row r="4730" spans="1:23" x14ac:dyDescent="0.2">
      <c r="A4730" s="5">
        <v>372</v>
      </c>
      <c r="B4730" s="8" t="s">
        <v>8159</v>
      </c>
      <c r="H4730" s="8" t="s">
        <v>8160</v>
      </c>
      <c r="I4730" s="8" t="s">
        <v>8160</v>
      </c>
      <c r="J4730" s="5">
        <v>3</v>
      </c>
      <c r="K4730" s="5" t="s">
        <v>10326</v>
      </c>
      <c r="Q4730" s="5" t="s">
        <v>10327</v>
      </c>
    </row>
    <row r="4731" spans="1:23" x14ac:dyDescent="0.2">
      <c r="B4731" s="8" t="s">
        <v>10328</v>
      </c>
      <c r="H4731" s="8" t="s">
        <v>10329</v>
      </c>
      <c r="I4731" s="8" t="s">
        <v>10330</v>
      </c>
      <c r="J4731" s="5">
        <v>1</v>
      </c>
      <c r="K4731" s="5" t="s">
        <v>292</v>
      </c>
      <c r="Q4731" s="5" t="s">
        <v>10331</v>
      </c>
    </row>
    <row r="4732" spans="1:23" x14ac:dyDescent="0.2">
      <c r="B4732" s="8" t="s">
        <v>10332</v>
      </c>
      <c r="H4732" s="8" t="s">
        <v>10333</v>
      </c>
      <c r="I4732" s="8" t="s">
        <v>10333</v>
      </c>
      <c r="J4732" s="5">
        <v>9</v>
      </c>
      <c r="K4732" s="5" t="s">
        <v>6996</v>
      </c>
    </row>
    <row r="4733" spans="1:23" x14ac:dyDescent="0.2">
      <c r="B4733" s="8" t="s">
        <v>10334</v>
      </c>
      <c r="H4733" s="8" t="s">
        <v>7205</v>
      </c>
      <c r="I4733" s="8" t="s">
        <v>10335</v>
      </c>
      <c r="J4733" s="5">
        <v>10</v>
      </c>
      <c r="K4733" s="5" t="s">
        <v>6996</v>
      </c>
    </row>
    <row r="4734" spans="1:23" x14ac:dyDescent="0.2">
      <c r="B4734" s="8" t="s">
        <v>10336</v>
      </c>
      <c r="H4734" s="8" t="s">
        <v>10337</v>
      </c>
      <c r="J4734" s="5">
        <f>900-100-8-32-4-8-72</f>
        <v>676</v>
      </c>
    </row>
    <row r="4735" spans="1:23" x14ac:dyDescent="0.2">
      <c r="N4735" s="8"/>
      <c r="O4735" s="5" t="s">
        <v>789</v>
      </c>
      <c r="S4735" s="5" t="s">
        <v>852</v>
      </c>
    </row>
  </sheetData>
  <autoFilter ref="A1:AA2769" xr:uid="{1FA6835B-3E96-4ED4-AFC9-101B60977909}"/>
  <sortState xmlns:xlrd2="http://schemas.microsoft.com/office/spreadsheetml/2017/richdata2" ref="B1500:Q1535">
    <sortCondition ref="B1500:B1535"/>
  </sortState>
  <hyperlinks>
    <hyperlink ref="B2904" r:id="rId1" xr:uid="{83856067-D8D4-47E3-BC6B-4F8775F4A97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0213-B788-43A9-86AF-1479F26D4744}">
  <dimension ref="A1:AN370"/>
  <sheetViews>
    <sheetView topLeftCell="A335" workbookViewId="0"/>
  </sheetViews>
  <sheetFormatPr defaultRowHeight="15" x14ac:dyDescent="0.2"/>
  <cols>
    <col min="2" max="2" width="36.9921875" customWidth="1"/>
    <col min="3" max="3" width="65.375" customWidth="1"/>
    <col min="4" max="4" width="10.625" customWidth="1"/>
    <col min="5" max="5" width="5.37890625" customWidth="1"/>
    <col min="6" max="6" width="5.6484375" customWidth="1"/>
    <col min="8" max="8" width="12.5078125" customWidth="1"/>
  </cols>
  <sheetData>
    <row r="1" spans="1:17" s="63" customFormat="1" x14ac:dyDescent="0.2">
      <c r="A1" s="63" t="s">
        <v>10338</v>
      </c>
      <c r="B1" s="63" t="s">
        <v>26</v>
      </c>
      <c r="C1" s="63" t="s">
        <v>10339</v>
      </c>
      <c r="D1" s="63" t="s">
        <v>248</v>
      </c>
      <c r="E1" s="63" t="s">
        <v>5</v>
      </c>
      <c r="F1" s="63" t="s">
        <v>10340</v>
      </c>
      <c r="G1" s="63" t="s">
        <v>10341</v>
      </c>
      <c r="H1" s="63" t="s">
        <v>251</v>
      </c>
      <c r="N1" s="8" t="s">
        <v>10342</v>
      </c>
      <c r="P1" s="8" t="s">
        <v>10343</v>
      </c>
      <c r="Q1" s="8" t="s">
        <v>6422</v>
      </c>
    </row>
    <row r="2" spans="1:17" x14ac:dyDescent="0.2">
      <c r="A2" t="s">
        <v>6204</v>
      </c>
      <c r="B2" t="s">
        <v>6205</v>
      </c>
      <c r="C2" t="s">
        <v>6206</v>
      </c>
      <c r="I2" s="63"/>
      <c r="J2" s="63"/>
      <c r="K2" s="63"/>
      <c r="L2" s="63"/>
      <c r="M2" s="63"/>
      <c r="N2" s="8" t="s">
        <v>6707</v>
      </c>
      <c r="P2" s="8" t="s">
        <v>9037</v>
      </c>
      <c r="Q2" s="8" t="s">
        <v>6630</v>
      </c>
    </row>
    <row r="3" spans="1:17" x14ac:dyDescent="0.2">
      <c r="A3">
        <v>1</v>
      </c>
      <c r="B3" t="s">
        <v>2668</v>
      </c>
      <c r="C3" t="s">
        <v>6207</v>
      </c>
      <c r="D3">
        <v>89</v>
      </c>
      <c r="E3" t="s">
        <v>21</v>
      </c>
      <c r="F3" t="s">
        <v>5970</v>
      </c>
      <c r="G3">
        <v>65</v>
      </c>
      <c r="H3" t="s">
        <v>6206</v>
      </c>
      <c r="N3" s="8" t="s">
        <v>6499</v>
      </c>
      <c r="P3" s="8" t="s">
        <v>9039</v>
      </c>
      <c r="Q3" s="8" t="s">
        <v>9088</v>
      </c>
    </row>
    <row r="4" spans="1:17" x14ac:dyDescent="0.2">
      <c r="A4">
        <v>2</v>
      </c>
      <c r="B4" t="s">
        <v>6209</v>
      </c>
      <c r="C4" t="s">
        <v>6207</v>
      </c>
      <c r="D4">
        <v>357</v>
      </c>
      <c r="E4" t="s">
        <v>21</v>
      </c>
      <c r="F4" t="s">
        <v>5970</v>
      </c>
      <c r="G4">
        <v>65</v>
      </c>
      <c r="H4" t="s">
        <v>6206</v>
      </c>
      <c r="N4" s="8" t="s">
        <v>8901</v>
      </c>
      <c r="P4" s="8" t="s">
        <v>9041</v>
      </c>
      <c r="Q4" s="8" t="s">
        <v>6626</v>
      </c>
    </row>
    <row r="5" spans="1:17" x14ac:dyDescent="0.2">
      <c r="A5">
        <v>3</v>
      </c>
      <c r="B5" t="s">
        <v>6211</v>
      </c>
      <c r="C5" t="s">
        <v>6207</v>
      </c>
      <c r="D5">
        <v>398</v>
      </c>
      <c r="E5" t="s">
        <v>21</v>
      </c>
      <c r="F5" t="s">
        <v>5970</v>
      </c>
      <c r="G5">
        <v>65</v>
      </c>
      <c r="H5" t="s">
        <v>6206</v>
      </c>
      <c r="N5" s="8" t="s">
        <v>8902</v>
      </c>
      <c r="P5" s="8" t="s">
        <v>9043</v>
      </c>
      <c r="Q5" s="8" t="s">
        <v>6628</v>
      </c>
    </row>
    <row r="6" spans="1:17" x14ac:dyDescent="0.2">
      <c r="A6">
        <v>4</v>
      </c>
      <c r="B6" t="s">
        <v>6212</v>
      </c>
      <c r="C6" t="s">
        <v>6207</v>
      </c>
      <c r="D6">
        <v>99</v>
      </c>
      <c r="E6" t="s">
        <v>21</v>
      </c>
      <c r="F6" t="s">
        <v>5970</v>
      </c>
      <c r="G6">
        <v>65</v>
      </c>
      <c r="H6" t="s">
        <v>6206</v>
      </c>
      <c r="N6" s="8" t="s">
        <v>8904</v>
      </c>
      <c r="P6" s="8" t="s">
        <v>6622</v>
      </c>
      <c r="Q6" s="8" t="s">
        <v>9089</v>
      </c>
    </row>
    <row r="7" spans="1:17" x14ac:dyDescent="0.2">
      <c r="A7">
        <v>5</v>
      </c>
      <c r="B7" t="s">
        <v>6214</v>
      </c>
      <c r="C7" t="s">
        <v>6215</v>
      </c>
      <c r="D7">
        <v>65</v>
      </c>
      <c r="E7" t="s">
        <v>21</v>
      </c>
      <c r="F7" t="s">
        <v>5970</v>
      </c>
      <c r="G7">
        <v>65</v>
      </c>
      <c r="H7" t="s">
        <v>6206</v>
      </c>
      <c r="N7" s="8" t="s">
        <v>10344</v>
      </c>
      <c r="P7" s="8" t="s">
        <v>6624</v>
      </c>
      <c r="Q7" s="8" t="s">
        <v>9090</v>
      </c>
    </row>
    <row r="8" spans="1:17" x14ac:dyDescent="0.2">
      <c r="A8">
        <v>6</v>
      </c>
      <c r="B8" t="s">
        <v>6217</v>
      </c>
      <c r="C8" t="s">
        <v>6215</v>
      </c>
      <c r="D8">
        <v>63</v>
      </c>
      <c r="E8" t="s">
        <v>21</v>
      </c>
      <c r="F8" t="s">
        <v>5970</v>
      </c>
      <c r="G8">
        <v>65</v>
      </c>
      <c r="H8" t="s">
        <v>6206</v>
      </c>
      <c r="N8" s="8" t="s">
        <v>8909</v>
      </c>
      <c r="P8" s="8" t="s">
        <v>6552</v>
      </c>
      <c r="Q8" s="8" t="s">
        <v>6487</v>
      </c>
    </row>
    <row r="9" spans="1:17" x14ac:dyDescent="0.2">
      <c r="A9">
        <v>7</v>
      </c>
      <c r="B9" t="s">
        <v>6218</v>
      </c>
      <c r="C9" t="s">
        <v>6215</v>
      </c>
      <c r="D9">
        <v>30</v>
      </c>
      <c r="E9" t="s">
        <v>21</v>
      </c>
      <c r="F9" t="s">
        <v>5970</v>
      </c>
      <c r="G9">
        <v>65</v>
      </c>
      <c r="H9" t="s">
        <v>6206</v>
      </c>
      <c r="N9" s="8" t="s">
        <v>8910</v>
      </c>
      <c r="P9" s="8" t="s">
        <v>9072</v>
      </c>
      <c r="Q9" s="8" t="s">
        <v>10345</v>
      </c>
    </row>
    <row r="10" spans="1:17" x14ac:dyDescent="0.2">
      <c r="A10">
        <v>8</v>
      </c>
      <c r="B10" t="s">
        <v>6212</v>
      </c>
      <c r="C10" t="s">
        <v>6219</v>
      </c>
      <c r="D10">
        <v>51</v>
      </c>
      <c r="E10" t="s">
        <v>21</v>
      </c>
      <c r="F10" t="s">
        <v>5970</v>
      </c>
      <c r="G10">
        <v>65</v>
      </c>
      <c r="H10" t="s">
        <v>6206</v>
      </c>
      <c r="N10" s="8" t="s">
        <v>6626</v>
      </c>
      <c r="P10" s="8" t="s">
        <v>9073</v>
      </c>
      <c r="Q10" s="8" t="s">
        <v>9095</v>
      </c>
    </row>
    <row r="11" spans="1:17" x14ac:dyDescent="0.2">
      <c r="A11">
        <v>9</v>
      </c>
      <c r="B11" t="s">
        <v>6220</v>
      </c>
      <c r="C11" t="s">
        <v>6219</v>
      </c>
      <c r="D11">
        <v>200</v>
      </c>
      <c r="E11" t="s">
        <v>21</v>
      </c>
      <c r="F11" t="s">
        <v>5970</v>
      </c>
      <c r="G11">
        <v>65</v>
      </c>
      <c r="H11" t="s">
        <v>6206</v>
      </c>
      <c r="N11" s="8" t="s">
        <v>8911</v>
      </c>
      <c r="P11" s="8" t="s">
        <v>9074</v>
      </c>
      <c r="Q11" s="8" t="s">
        <v>6499</v>
      </c>
    </row>
    <row r="12" spans="1:17" x14ac:dyDescent="0.2">
      <c r="A12">
        <v>10</v>
      </c>
      <c r="B12" t="s">
        <v>6221</v>
      </c>
      <c r="C12" t="s">
        <v>6219</v>
      </c>
      <c r="D12">
        <v>54</v>
      </c>
      <c r="E12" t="s">
        <v>21</v>
      </c>
      <c r="F12" t="s">
        <v>5970</v>
      </c>
      <c r="G12">
        <v>65</v>
      </c>
      <c r="H12" t="s">
        <v>6206</v>
      </c>
      <c r="N12" s="8" t="s">
        <v>8912</v>
      </c>
      <c r="P12" s="8" t="s">
        <v>6435</v>
      </c>
      <c r="Q12" s="8" t="s">
        <v>10346</v>
      </c>
    </row>
    <row r="13" spans="1:17" x14ac:dyDescent="0.2">
      <c r="A13">
        <v>11</v>
      </c>
      <c r="B13" t="s">
        <v>6223</v>
      </c>
      <c r="C13" t="s">
        <v>6219</v>
      </c>
      <c r="D13">
        <v>163</v>
      </c>
      <c r="E13" t="s">
        <v>21</v>
      </c>
      <c r="F13" t="s">
        <v>5970</v>
      </c>
      <c r="G13">
        <v>65</v>
      </c>
      <c r="H13" t="s">
        <v>6206</v>
      </c>
      <c r="N13" s="8" t="s">
        <v>6632</v>
      </c>
      <c r="P13" s="8" t="s">
        <v>6440</v>
      </c>
      <c r="Q13" s="8" t="s">
        <v>8896</v>
      </c>
    </row>
    <row r="14" spans="1:17" x14ac:dyDescent="0.2">
      <c r="A14">
        <v>12</v>
      </c>
      <c r="B14" t="s">
        <v>6224</v>
      </c>
      <c r="C14" t="s">
        <v>6219</v>
      </c>
      <c r="D14">
        <v>147</v>
      </c>
      <c r="E14" t="s">
        <v>21</v>
      </c>
      <c r="F14" t="s">
        <v>5970</v>
      </c>
      <c r="G14">
        <v>65</v>
      </c>
      <c r="H14" t="s">
        <v>6206</v>
      </c>
      <c r="N14" s="8" t="s">
        <v>8914</v>
      </c>
      <c r="P14" s="8" t="s">
        <v>6454</v>
      </c>
      <c r="Q14" s="8" t="s">
        <v>10347</v>
      </c>
    </row>
    <row r="15" spans="1:17" x14ac:dyDescent="0.2">
      <c r="A15">
        <v>13</v>
      </c>
      <c r="B15" t="s">
        <v>6225</v>
      </c>
      <c r="C15" t="s">
        <v>6219</v>
      </c>
      <c r="D15">
        <v>199</v>
      </c>
      <c r="E15" t="s">
        <v>21</v>
      </c>
      <c r="F15" t="s">
        <v>5970</v>
      </c>
      <c r="G15">
        <v>65</v>
      </c>
      <c r="H15" t="s">
        <v>6206</v>
      </c>
      <c r="N15" s="8" t="s">
        <v>6556</v>
      </c>
      <c r="P15" s="8" t="s">
        <v>6456</v>
      </c>
      <c r="Q15" s="8" t="s">
        <v>9109</v>
      </c>
    </row>
    <row r="16" spans="1:17" x14ac:dyDescent="0.2">
      <c r="A16">
        <v>14</v>
      </c>
      <c r="B16" t="s">
        <v>6251</v>
      </c>
      <c r="C16" t="s">
        <v>10348</v>
      </c>
      <c r="D16">
        <v>79</v>
      </c>
      <c r="E16" t="s">
        <v>21</v>
      </c>
      <c r="F16" t="s">
        <v>5970</v>
      </c>
      <c r="G16">
        <v>99</v>
      </c>
      <c r="H16" t="s">
        <v>6206</v>
      </c>
      <c r="N16" s="8" t="s">
        <v>6425</v>
      </c>
      <c r="P16" s="8" t="s">
        <v>6465</v>
      </c>
      <c r="Q16" s="8" t="s">
        <v>9108</v>
      </c>
    </row>
    <row r="17" spans="1:17" x14ac:dyDescent="0.2">
      <c r="A17">
        <v>15</v>
      </c>
      <c r="B17" t="s">
        <v>6226</v>
      </c>
      <c r="C17" t="s">
        <v>6227</v>
      </c>
      <c r="D17">
        <v>8</v>
      </c>
      <c r="E17" t="s">
        <v>21</v>
      </c>
      <c r="F17" t="s">
        <v>5970</v>
      </c>
      <c r="G17">
        <v>65</v>
      </c>
      <c r="H17" t="s">
        <v>6206</v>
      </c>
      <c r="N17" s="8" t="s">
        <v>6427</v>
      </c>
      <c r="P17" s="8" t="s">
        <v>10349</v>
      </c>
      <c r="Q17" s="8" t="s">
        <v>9107</v>
      </c>
    </row>
    <row r="18" spans="1:17" x14ac:dyDescent="0.2">
      <c r="A18">
        <v>16</v>
      </c>
      <c r="B18" t="s">
        <v>6229</v>
      </c>
      <c r="C18" t="s">
        <v>6230</v>
      </c>
      <c r="D18">
        <v>2</v>
      </c>
      <c r="E18" t="s">
        <v>21</v>
      </c>
      <c r="F18" t="s">
        <v>5970</v>
      </c>
      <c r="G18">
        <v>65</v>
      </c>
      <c r="H18" t="s">
        <v>6206</v>
      </c>
      <c r="N18" s="8" t="s">
        <v>6502</v>
      </c>
      <c r="P18" s="8" t="s">
        <v>6478</v>
      </c>
      <c r="Q18" s="8" t="s">
        <v>9106</v>
      </c>
    </row>
    <row r="19" spans="1:17" x14ac:dyDescent="0.2">
      <c r="A19" t="s">
        <v>6231</v>
      </c>
      <c r="B19" t="s">
        <v>10350</v>
      </c>
      <c r="C19" t="s">
        <v>6206</v>
      </c>
      <c r="N19" s="8" t="s">
        <v>6433</v>
      </c>
      <c r="P19" s="8" t="s">
        <v>6487</v>
      </c>
      <c r="Q19" s="8" t="s">
        <v>9105</v>
      </c>
    </row>
    <row r="20" spans="1:17" x14ac:dyDescent="0.2">
      <c r="A20">
        <v>1</v>
      </c>
      <c r="B20" t="s">
        <v>6233</v>
      </c>
      <c r="C20" t="s">
        <v>6234</v>
      </c>
      <c r="D20">
        <v>2274</v>
      </c>
      <c r="E20" t="s">
        <v>21</v>
      </c>
      <c r="F20" t="s">
        <v>5970</v>
      </c>
      <c r="G20">
        <v>66</v>
      </c>
      <c r="H20" t="s">
        <v>6206</v>
      </c>
      <c r="N20" s="8" t="s">
        <v>6435</v>
      </c>
      <c r="P20" s="8" t="s">
        <v>6488</v>
      </c>
      <c r="Q20" s="8" t="s">
        <v>6438</v>
      </c>
    </row>
    <row r="21" spans="1:17" x14ac:dyDescent="0.2">
      <c r="A21">
        <v>2</v>
      </c>
      <c r="B21" t="s">
        <v>6236</v>
      </c>
      <c r="C21" t="s">
        <v>6237</v>
      </c>
      <c r="D21">
        <v>261</v>
      </c>
      <c r="E21" t="s">
        <v>21</v>
      </c>
      <c r="F21" t="s">
        <v>5970</v>
      </c>
      <c r="G21">
        <v>66</v>
      </c>
      <c r="H21" t="s">
        <v>6206</v>
      </c>
      <c r="N21" s="8" t="s">
        <v>8922</v>
      </c>
      <c r="P21" s="8" t="s">
        <v>6489</v>
      </c>
      <c r="Q21" s="8" t="s">
        <v>6436</v>
      </c>
    </row>
    <row r="22" spans="1:17" x14ac:dyDescent="0.2">
      <c r="A22">
        <v>3</v>
      </c>
      <c r="B22" t="s">
        <v>6239</v>
      </c>
      <c r="C22" t="s">
        <v>6240</v>
      </c>
      <c r="D22">
        <v>90</v>
      </c>
      <c r="E22" t="s">
        <v>21</v>
      </c>
      <c r="F22" t="s">
        <v>5970</v>
      </c>
      <c r="G22">
        <v>66</v>
      </c>
      <c r="H22" t="s">
        <v>6206</v>
      </c>
      <c r="N22" s="8" t="s">
        <v>8924</v>
      </c>
      <c r="P22" s="8" t="s">
        <v>6490</v>
      </c>
      <c r="Q22" s="8" t="s">
        <v>9099</v>
      </c>
    </row>
    <row r="23" spans="1:17" x14ac:dyDescent="0.2">
      <c r="A23">
        <v>4</v>
      </c>
      <c r="B23" t="s">
        <v>2668</v>
      </c>
      <c r="C23" t="s">
        <v>6241</v>
      </c>
      <c r="D23">
        <v>13616</v>
      </c>
      <c r="E23" t="s">
        <v>21</v>
      </c>
      <c r="F23" t="s">
        <v>5970</v>
      </c>
      <c r="G23">
        <v>66</v>
      </c>
      <c r="H23" t="s">
        <v>6206</v>
      </c>
      <c r="N23" s="8" t="s">
        <v>6438</v>
      </c>
      <c r="P23" s="8" t="s">
        <v>6509</v>
      </c>
      <c r="Q23" s="8" t="s">
        <v>8922</v>
      </c>
    </row>
    <row r="24" spans="1:17" x14ac:dyDescent="0.2">
      <c r="A24">
        <v>5</v>
      </c>
      <c r="B24" t="s">
        <v>6209</v>
      </c>
      <c r="C24" t="s">
        <v>6242</v>
      </c>
      <c r="D24">
        <v>1919</v>
      </c>
      <c r="E24" t="s">
        <v>21</v>
      </c>
      <c r="F24" t="s">
        <v>5970</v>
      </c>
      <c r="G24">
        <v>66</v>
      </c>
      <c r="H24" t="s">
        <v>6206</v>
      </c>
      <c r="N24" s="8" t="s">
        <v>10351</v>
      </c>
      <c r="P24" s="8" t="s">
        <v>7903</v>
      </c>
      <c r="Q24" s="8" t="s">
        <v>8924</v>
      </c>
    </row>
    <row r="25" spans="1:17" x14ac:dyDescent="0.2">
      <c r="A25">
        <v>6</v>
      </c>
      <c r="B25" t="s">
        <v>6211</v>
      </c>
      <c r="C25" t="s">
        <v>6244</v>
      </c>
      <c r="D25">
        <v>285</v>
      </c>
      <c r="E25" t="s">
        <v>21</v>
      </c>
      <c r="F25" t="s">
        <v>5970</v>
      </c>
      <c r="G25">
        <v>66</v>
      </c>
      <c r="H25" t="s">
        <v>6206</v>
      </c>
      <c r="N25" s="8" t="s">
        <v>10352</v>
      </c>
      <c r="P25" s="8" t="s">
        <v>6513</v>
      </c>
      <c r="Q25" s="8" t="s">
        <v>6562</v>
      </c>
    </row>
    <row r="26" spans="1:17" x14ac:dyDescent="0.2">
      <c r="A26" t="s">
        <v>6245</v>
      </c>
      <c r="B26" t="s">
        <v>6246</v>
      </c>
      <c r="C26" t="s">
        <v>6206</v>
      </c>
      <c r="N26" s="8" t="s">
        <v>8928</v>
      </c>
      <c r="P26" s="8" t="s">
        <v>10353</v>
      </c>
      <c r="Q26" s="8" t="s">
        <v>6502</v>
      </c>
    </row>
    <row r="27" spans="1:17" x14ac:dyDescent="0.2">
      <c r="A27">
        <v>7</v>
      </c>
      <c r="B27" t="s">
        <v>6212</v>
      </c>
      <c r="C27" t="s">
        <v>6247</v>
      </c>
      <c r="D27">
        <v>1362</v>
      </c>
      <c r="E27" t="s">
        <v>21</v>
      </c>
      <c r="F27" t="s">
        <v>5970</v>
      </c>
      <c r="G27">
        <v>67</v>
      </c>
      <c r="H27" t="s">
        <v>6206</v>
      </c>
      <c r="N27" s="8" t="s">
        <v>8929</v>
      </c>
      <c r="P27" s="8" t="s">
        <v>6504</v>
      </c>
      <c r="Q27" s="8" t="s">
        <v>6427</v>
      </c>
    </row>
    <row r="28" spans="1:17" x14ac:dyDescent="0.2">
      <c r="A28">
        <v>8</v>
      </c>
      <c r="B28" t="s">
        <v>6249</v>
      </c>
      <c r="C28" t="s">
        <v>6250</v>
      </c>
      <c r="D28">
        <v>2754</v>
      </c>
      <c r="E28" t="s">
        <v>21</v>
      </c>
      <c r="F28" t="s">
        <v>5970</v>
      </c>
      <c r="G28">
        <v>67</v>
      </c>
      <c r="H28" t="s">
        <v>6206</v>
      </c>
      <c r="N28" s="8" t="s">
        <v>8930</v>
      </c>
      <c r="P28" s="8" t="s">
        <v>8965</v>
      </c>
      <c r="Q28" s="8" t="s">
        <v>6724</v>
      </c>
    </row>
    <row r="29" spans="1:17" x14ac:dyDescent="0.2">
      <c r="A29">
        <v>9</v>
      </c>
      <c r="B29" t="s">
        <v>6251</v>
      </c>
      <c r="C29" t="s">
        <v>6252</v>
      </c>
      <c r="D29">
        <v>178</v>
      </c>
      <c r="E29" t="s">
        <v>21</v>
      </c>
      <c r="F29" t="s">
        <v>5970</v>
      </c>
      <c r="G29">
        <v>67</v>
      </c>
      <c r="H29" t="s">
        <v>6206</v>
      </c>
      <c r="N29" s="8" t="s">
        <v>10354</v>
      </c>
      <c r="P29" s="8" t="s">
        <v>6517</v>
      </c>
      <c r="Q29" s="8" t="s">
        <v>6487</v>
      </c>
    </row>
    <row r="30" spans="1:17" x14ac:dyDescent="0.2">
      <c r="A30">
        <v>10</v>
      </c>
      <c r="B30" t="s">
        <v>6253</v>
      </c>
      <c r="C30" t="s">
        <v>6254</v>
      </c>
      <c r="D30">
        <v>195</v>
      </c>
      <c r="E30" t="s">
        <v>21</v>
      </c>
      <c r="F30" t="s">
        <v>5970</v>
      </c>
      <c r="G30">
        <v>67</v>
      </c>
      <c r="H30" t="s">
        <v>6206</v>
      </c>
      <c r="N30" s="8" t="s">
        <v>6649</v>
      </c>
      <c r="P30" s="8" t="s">
        <v>8968</v>
      </c>
      <c r="Q30" s="8" t="s">
        <v>9110</v>
      </c>
    </row>
    <row r="31" spans="1:17" x14ac:dyDescent="0.2">
      <c r="A31" t="s">
        <v>6256</v>
      </c>
      <c r="B31" t="s">
        <v>10355</v>
      </c>
      <c r="C31" t="s">
        <v>5971</v>
      </c>
      <c r="N31" s="8" t="s">
        <v>6450</v>
      </c>
      <c r="P31" s="8" t="s">
        <v>6829</v>
      </c>
      <c r="Q31" s="8" t="s">
        <v>8945</v>
      </c>
    </row>
    <row r="32" spans="1:17" x14ac:dyDescent="0.2">
      <c r="A32">
        <v>1</v>
      </c>
      <c r="B32" t="s">
        <v>6233</v>
      </c>
      <c r="C32" t="s">
        <v>6258</v>
      </c>
      <c r="D32">
        <v>546</v>
      </c>
      <c r="E32" t="s">
        <v>21</v>
      </c>
      <c r="F32" t="s">
        <v>5970</v>
      </c>
      <c r="G32">
        <v>68</v>
      </c>
      <c r="H32" t="s">
        <v>5971</v>
      </c>
      <c r="N32" s="8" t="s">
        <v>6452</v>
      </c>
      <c r="P32" s="8" t="s">
        <v>6683</v>
      </c>
      <c r="Q32" s="8" t="s">
        <v>9155</v>
      </c>
    </row>
    <row r="33" spans="1:40" x14ac:dyDescent="0.2">
      <c r="A33">
        <v>2</v>
      </c>
      <c r="B33" t="s">
        <v>6236</v>
      </c>
      <c r="C33" t="s">
        <v>6260</v>
      </c>
      <c r="D33">
        <v>24</v>
      </c>
      <c r="E33" t="s">
        <v>21</v>
      </c>
      <c r="F33" t="s">
        <v>5970</v>
      </c>
      <c r="G33">
        <v>68</v>
      </c>
      <c r="H33" t="s">
        <v>5971</v>
      </c>
      <c r="N33" s="8" t="s">
        <v>6454</v>
      </c>
      <c r="P33" s="8" t="s">
        <v>6523</v>
      </c>
      <c r="Q33" s="8" t="s">
        <v>9111</v>
      </c>
    </row>
    <row r="34" spans="1:40" x14ac:dyDescent="0.2">
      <c r="A34">
        <v>3</v>
      </c>
      <c r="B34" t="s">
        <v>2668</v>
      </c>
      <c r="C34" t="s">
        <v>6262</v>
      </c>
      <c r="D34">
        <v>495</v>
      </c>
      <c r="E34" t="s">
        <v>21</v>
      </c>
      <c r="F34" t="s">
        <v>5970</v>
      </c>
      <c r="G34">
        <v>68</v>
      </c>
      <c r="H34" t="s">
        <v>5971</v>
      </c>
      <c r="N34" s="8" t="s">
        <v>6456</v>
      </c>
      <c r="P34" s="8" t="s">
        <v>6405</v>
      </c>
      <c r="Q34" s="8" t="s">
        <v>9112</v>
      </c>
    </row>
    <row r="35" spans="1:40" x14ac:dyDescent="0.2">
      <c r="A35">
        <v>4</v>
      </c>
      <c r="B35" t="s">
        <v>6261</v>
      </c>
      <c r="C35" t="s">
        <v>10356</v>
      </c>
      <c r="D35">
        <v>47</v>
      </c>
      <c r="E35" t="s">
        <v>21</v>
      </c>
      <c r="F35" t="s">
        <v>5970</v>
      </c>
      <c r="G35">
        <v>68</v>
      </c>
      <c r="H35" t="s">
        <v>5971</v>
      </c>
      <c r="N35" s="8" t="s">
        <v>8935</v>
      </c>
      <c r="P35" s="8" t="s">
        <v>6407</v>
      </c>
      <c r="Q35" s="8" t="s">
        <v>9113</v>
      </c>
    </row>
    <row r="36" spans="1:40" x14ac:dyDescent="0.2">
      <c r="A36" t="s">
        <v>6264</v>
      </c>
      <c r="B36" t="s">
        <v>6265</v>
      </c>
      <c r="C36" t="s">
        <v>5971</v>
      </c>
      <c r="N36" s="8" t="s">
        <v>6465</v>
      </c>
      <c r="P36" s="8" t="s">
        <v>6408</v>
      </c>
      <c r="Q36" s="8" t="s">
        <v>7922</v>
      </c>
    </row>
    <row r="37" spans="1:40" x14ac:dyDescent="0.2">
      <c r="A37">
        <v>5</v>
      </c>
      <c r="B37" t="s">
        <v>6209</v>
      </c>
      <c r="C37" t="s">
        <v>6266</v>
      </c>
      <c r="D37">
        <v>0</v>
      </c>
      <c r="E37" t="s">
        <v>21</v>
      </c>
      <c r="F37" t="s">
        <v>5970</v>
      </c>
      <c r="G37">
        <v>69</v>
      </c>
      <c r="H37" t="s">
        <v>5971</v>
      </c>
      <c r="N37" s="8" t="s">
        <v>8936</v>
      </c>
      <c r="P37" s="8" t="s">
        <v>6413</v>
      </c>
      <c r="Q37" s="8" t="s">
        <v>9114</v>
      </c>
    </row>
    <row r="38" spans="1:40" x14ac:dyDescent="0.2">
      <c r="A38">
        <v>6</v>
      </c>
      <c r="B38" t="s">
        <v>6267</v>
      </c>
      <c r="C38" t="s">
        <v>6268</v>
      </c>
      <c r="D38">
        <v>416</v>
      </c>
      <c r="E38" t="s">
        <v>21</v>
      </c>
      <c r="F38" t="s">
        <v>5970</v>
      </c>
      <c r="G38">
        <v>69</v>
      </c>
      <c r="H38" t="s">
        <v>5971</v>
      </c>
      <c r="N38" s="8" t="s">
        <v>6659</v>
      </c>
      <c r="P38" s="8" t="s">
        <v>6524</v>
      </c>
      <c r="Q38" s="8" t="s">
        <v>6659</v>
      </c>
    </row>
    <row r="39" spans="1:40" x14ac:dyDescent="0.2">
      <c r="A39">
        <v>7</v>
      </c>
      <c r="B39" t="s">
        <v>6269</v>
      </c>
      <c r="C39" t="s">
        <v>6270</v>
      </c>
      <c r="D39">
        <v>526</v>
      </c>
      <c r="E39" t="s">
        <v>21</v>
      </c>
      <c r="F39" t="s">
        <v>5970</v>
      </c>
      <c r="G39">
        <v>69</v>
      </c>
      <c r="H39" t="s">
        <v>5971</v>
      </c>
      <c r="N39" s="8" t="s">
        <v>6467</v>
      </c>
      <c r="P39" s="8" t="s">
        <v>9082</v>
      </c>
      <c r="Q39" s="8" t="s">
        <v>9116</v>
      </c>
    </row>
    <row r="40" spans="1:40" x14ac:dyDescent="0.2">
      <c r="A40">
        <v>8</v>
      </c>
      <c r="B40" t="s">
        <v>6211</v>
      </c>
      <c r="C40" t="s">
        <v>6272</v>
      </c>
      <c r="D40">
        <v>873</v>
      </c>
      <c r="E40" t="s">
        <v>21</v>
      </c>
      <c r="F40" t="s">
        <v>5970</v>
      </c>
      <c r="G40">
        <v>69</v>
      </c>
      <c r="H40" t="s">
        <v>5971</v>
      </c>
      <c r="N40" s="8" t="s">
        <v>7922</v>
      </c>
      <c r="P40" s="8" t="s">
        <v>9083</v>
      </c>
      <c r="Q40" s="8" t="s">
        <v>9117</v>
      </c>
    </row>
    <row r="41" spans="1:40" x14ac:dyDescent="0.2">
      <c r="A41">
        <v>9</v>
      </c>
      <c r="B41" t="s">
        <v>6275</v>
      </c>
      <c r="C41" t="s">
        <v>6276</v>
      </c>
      <c r="D41">
        <v>85</v>
      </c>
      <c r="E41" t="s">
        <v>21</v>
      </c>
      <c r="F41" t="s">
        <v>5970</v>
      </c>
      <c r="G41">
        <v>69</v>
      </c>
      <c r="H41" t="s">
        <v>5971</v>
      </c>
      <c r="N41" s="8" t="s">
        <v>8941</v>
      </c>
      <c r="P41" s="8" t="s">
        <v>9084</v>
      </c>
      <c r="Q41" s="8" t="s">
        <v>6656</v>
      </c>
    </row>
    <row r="42" spans="1:40" x14ac:dyDescent="0.2">
      <c r="A42" t="s">
        <v>6280</v>
      </c>
      <c r="B42" t="s">
        <v>10357</v>
      </c>
      <c r="C42" t="s">
        <v>5971</v>
      </c>
      <c r="N42" s="8" t="s">
        <v>6469</v>
      </c>
      <c r="P42" s="8" t="s">
        <v>9006</v>
      </c>
      <c r="Q42" s="8" t="s">
        <v>9118</v>
      </c>
    </row>
    <row r="43" spans="1:40" x14ac:dyDescent="0.2">
      <c r="A43">
        <v>10</v>
      </c>
      <c r="B43" t="s">
        <v>6284</v>
      </c>
      <c r="C43" t="s">
        <v>6282</v>
      </c>
      <c r="D43">
        <v>935</v>
      </c>
      <c r="E43" t="s">
        <v>21</v>
      </c>
      <c r="F43" t="s">
        <v>5970</v>
      </c>
      <c r="G43">
        <v>70</v>
      </c>
      <c r="H43" t="s">
        <v>5971</v>
      </c>
      <c r="N43" s="8" t="s">
        <v>6665</v>
      </c>
      <c r="P43" s="8" t="s">
        <v>7928</v>
      </c>
      <c r="Q43" s="8" t="s">
        <v>6364</v>
      </c>
    </row>
    <row r="44" spans="1:40" x14ac:dyDescent="0.2">
      <c r="A44">
        <v>11</v>
      </c>
      <c r="B44" t="s">
        <v>6251</v>
      </c>
      <c r="C44" t="s">
        <v>6287</v>
      </c>
      <c r="D44">
        <v>433</v>
      </c>
      <c r="E44" t="s">
        <v>21</v>
      </c>
      <c r="F44" t="s">
        <v>5970</v>
      </c>
      <c r="G44">
        <v>70</v>
      </c>
      <c r="H44" t="s">
        <v>5971</v>
      </c>
      <c r="N44" s="8" t="s">
        <v>6666</v>
      </c>
      <c r="Q44" s="8" t="s">
        <v>6654</v>
      </c>
    </row>
    <row r="45" spans="1:40" x14ac:dyDescent="0.2">
      <c r="A45">
        <v>12</v>
      </c>
      <c r="B45" t="s">
        <v>6825</v>
      </c>
      <c r="C45" t="s">
        <v>6290</v>
      </c>
      <c r="D45">
        <v>94</v>
      </c>
      <c r="E45" t="s">
        <v>21</v>
      </c>
      <c r="F45" t="s">
        <v>5970</v>
      </c>
      <c r="G45">
        <v>70</v>
      </c>
      <c r="H45" t="s">
        <v>5971</v>
      </c>
      <c r="N45" s="8" t="s">
        <v>6478</v>
      </c>
      <c r="Q45" s="8" t="s">
        <v>6652</v>
      </c>
    </row>
    <row r="46" spans="1:40" x14ac:dyDescent="0.2">
      <c r="B46" t="s">
        <v>6292</v>
      </c>
      <c r="C46" t="s">
        <v>5971</v>
      </c>
      <c r="N46" s="8" t="s">
        <v>10358</v>
      </c>
      <c r="Q46" s="8" t="s">
        <v>6564</v>
      </c>
    </row>
    <row r="47" spans="1:40" x14ac:dyDescent="0.2">
      <c r="A47">
        <v>1</v>
      </c>
      <c r="B47" t="s">
        <v>2668</v>
      </c>
      <c r="C47" t="s">
        <v>6293</v>
      </c>
      <c r="D47">
        <v>240</v>
      </c>
      <c r="E47" t="s">
        <v>21</v>
      </c>
      <c r="F47" t="s">
        <v>5970</v>
      </c>
      <c r="G47">
        <v>70</v>
      </c>
      <c r="H47" t="s">
        <v>5971</v>
      </c>
      <c r="N47" s="8" t="s">
        <v>10359</v>
      </c>
      <c r="Q47" s="8" t="s">
        <v>9120</v>
      </c>
    </row>
    <row r="48" spans="1:40" x14ac:dyDescent="0.2">
      <c r="A48">
        <v>2</v>
      </c>
      <c r="B48" t="s">
        <v>6209</v>
      </c>
      <c r="C48" t="s">
        <v>6293</v>
      </c>
      <c r="D48">
        <v>100</v>
      </c>
      <c r="E48" t="s">
        <v>21</v>
      </c>
      <c r="F48" t="s">
        <v>5970</v>
      </c>
      <c r="G48">
        <v>70</v>
      </c>
      <c r="N48" s="8" t="s">
        <v>6488</v>
      </c>
      <c r="Q48" s="8" t="s">
        <v>6829</v>
      </c>
      <c r="AN48" s="8" t="s">
        <v>6829</v>
      </c>
    </row>
    <row r="49" spans="1:40" x14ac:dyDescent="0.2">
      <c r="A49">
        <v>3</v>
      </c>
      <c r="B49" t="s">
        <v>6211</v>
      </c>
      <c r="C49" t="s">
        <v>6293</v>
      </c>
      <c r="D49">
        <v>100</v>
      </c>
      <c r="E49" t="s">
        <v>21</v>
      </c>
      <c r="F49" t="s">
        <v>5970</v>
      </c>
      <c r="G49">
        <v>70</v>
      </c>
      <c r="N49" s="8" t="s">
        <v>8951</v>
      </c>
      <c r="Q49" s="8" t="s">
        <v>8968</v>
      </c>
      <c r="AN49" s="8" t="s">
        <v>8968</v>
      </c>
    </row>
    <row r="50" spans="1:40" x14ac:dyDescent="0.2">
      <c r="A50">
        <v>4</v>
      </c>
      <c r="B50" t="s">
        <v>6212</v>
      </c>
      <c r="C50" t="s">
        <v>6293</v>
      </c>
      <c r="D50">
        <v>100</v>
      </c>
      <c r="E50" t="s">
        <v>21</v>
      </c>
      <c r="F50" t="s">
        <v>5970</v>
      </c>
      <c r="G50">
        <v>70</v>
      </c>
      <c r="H50" t="s">
        <v>5971</v>
      </c>
      <c r="N50" s="8" t="s">
        <v>6490</v>
      </c>
      <c r="Q50" s="8" t="s">
        <v>9121</v>
      </c>
      <c r="AN50" s="8" t="s">
        <v>9121</v>
      </c>
    </row>
    <row r="51" spans="1:40" x14ac:dyDescent="0.2">
      <c r="A51" t="s">
        <v>6299</v>
      </c>
      <c r="B51" t="s">
        <v>4115</v>
      </c>
      <c r="C51" t="s">
        <v>5971</v>
      </c>
      <c r="N51" s="8" t="s">
        <v>8953</v>
      </c>
      <c r="Q51" s="8" t="s">
        <v>8966</v>
      </c>
      <c r="AN51" s="8" t="s">
        <v>8966</v>
      </c>
    </row>
    <row r="52" spans="1:40" x14ac:dyDescent="0.2">
      <c r="A52">
        <v>13</v>
      </c>
      <c r="B52" t="s">
        <v>4115</v>
      </c>
      <c r="C52" t="s">
        <v>6295</v>
      </c>
      <c r="D52">
        <v>668</v>
      </c>
      <c r="E52" t="s">
        <v>21</v>
      </c>
      <c r="F52" t="s">
        <v>5970</v>
      </c>
      <c r="G52">
        <v>71</v>
      </c>
      <c r="H52" t="s">
        <v>5971</v>
      </c>
      <c r="N52" s="8" t="s">
        <v>8955</v>
      </c>
      <c r="Q52" s="8" t="s">
        <v>8965</v>
      </c>
      <c r="AN52" s="8" t="s">
        <v>8965</v>
      </c>
    </row>
    <row r="53" spans="1:40" x14ac:dyDescent="0.2">
      <c r="A53" t="s">
        <v>6303</v>
      </c>
      <c r="B53" t="s">
        <v>6304</v>
      </c>
      <c r="C53" t="s">
        <v>6206</v>
      </c>
      <c r="N53" s="8" t="s">
        <v>8957</v>
      </c>
      <c r="Q53" s="8" t="s">
        <v>8963</v>
      </c>
      <c r="AN53" s="8" t="s">
        <v>8963</v>
      </c>
    </row>
    <row r="54" spans="1:40" x14ac:dyDescent="0.2">
      <c r="A54">
        <v>1</v>
      </c>
      <c r="B54" t="s">
        <v>6236</v>
      </c>
      <c r="C54" t="s">
        <v>6305</v>
      </c>
      <c r="D54">
        <v>930</v>
      </c>
      <c r="E54" t="s">
        <v>21</v>
      </c>
      <c r="F54" t="s">
        <v>5970</v>
      </c>
      <c r="G54">
        <v>73</v>
      </c>
      <c r="H54" t="s">
        <v>6206</v>
      </c>
      <c r="N54" s="8" t="s">
        <v>6509</v>
      </c>
      <c r="Q54" s="8" t="s">
        <v>9122</v>
      </c>
      <c r="AN54" s="8" t="s">
        <v>9122</v>
      </c>
    </row>
    <row r="55" spans="1:40" x14ac:dyDescent="0.2">
      <c r="A55">
        <v>2</v>
      </c>
      <c r="B55" t="s">
        <v>6307</v>
      </c>
      <c r="C55" t="s">
        <v>6308</v>
      </c>
      <c r="D55">
        <v>513</v>
      </c>
      <c r="E55" t="s">
        <v>21</v>
      </c>
      <c r="F55" t="s">
        <v>5970</v>
      </c>
      <c r="G55">
        <v>73</v>
      </c>
      <c r="H55" t="s">
        <v>6206</v>
      </c>
      <c r="N55" s="8" t="s">
        <v>8958</v>
      </c>
      <c r="Q55" s="8" t="s">
        <v>9123</v>
      </c>
      <c r="AN55" s="8" t="s">
        <v>9123</v>
      </c>
    </row>
    <row r="56" spans="1:40" x14ac:dyDescent="0.2">
      <c r="A56">
        <v>3</v>
      </c>
      <c r="B56" t="s">
        <v>2668</v>
      </c>
      <c r="C56" t="s">
        <v>6309</v>
      </c>
      <c r="D56">
        <v>17340</v>
      </c>
      <c r="E56" t="s">
        <v>21</v>
      </c>
      <c r="F56" t="s">
        <v>5970</v>
      </c>
      <c r="G56">
        <v>73</v>
      </c>
      <c r="H56" t="s">
        <v>6206</v>
      </c>
      <c r="N56" s="8" t="s">
        <v>8959</v>
      </c>
      <c r="Q56" s="8" t="s">
        <v>9124</v>
      </c>
      <c r="AN56" s="8" t="s">
        <v>9124</v>
      </c>
    </row>
    <row r="57" spans="1:40" x14ac:dyDescent="0.2">
      <c r="A57">
        <v>4</v>
      </c>
      <c r="B57" t="s">
        <v>6310</v>
      </c>
      <c r="C57" t="s">
        <v>6311</v>
      </c>
      <c r="D57">
        <v>201</v>
      </c>
      <c r="E57" t="s">
        <v>21</v>
      </c>
      <c r="F57" t="s">
        <v>5970</v>
      </c>
      <c r="G57">
        <v>73</v>
      </c>
      <c r="H57" t="s">
        <v>6206</v>
      </c>
      <c r="N57" s="8" t="s">
        <v>7903</v>
      </c>
      <c r="Q57" s="8" t="s">
        <v>9125</v>
      </c>
      <c r="AN57" s="8" t="s">
        <v>9125</v>
      </c>
    </row>
    <row r="58" spans="1:40" x14ac:dyDescent="0.2">
      <c r="A58">
        <v>5</v>
      </c>
      <c r="B58" t="s">
        <v>6209</v>
      </c>
      <c r="C58" t="s">
        <v>6312</v>
      </c>
      <c r="D58">
        <v>43</v>
      </c>
      <c r="E58" t="s">
        <v>21</v>
      </c>
      <c r="F58" t="s">
        <v>5970</v>
      </c>
      <c r="G58">
        <v>73</v>
      </c>
      <c r="H58" t="s">
        <v>6206</v>
      </c>
      <c r="N58" s="8" t="s">
        <v>8960</v>
      </c>
      <c r="Q58" s="8" t="s">
        <v>9126</v>
      </c>
      <c r="AN58" s="8" t="s">
        <v>9126</v>
      </c>
    </row>
    <row r="59" spans="1:40" x14ac:dyDescent="0.2">
      <c r="A59">
        <v>6</v>
      </c>
      <c r="B59" t="s">
        <v>6211</v>
      </c>
      <c r="C59" t="s">
        <v>6313</v>
      </c>
      <c r="D59">
        <v>59</v>
      </c>
      <c r="E59" t="s">
        <v>21</v>
      </c>
      <c r="F59" t="s">
        <v>5970</v>
      </c>
      <c r="G59">
        <v>73</v>
      </c>
      <c r="H59" t="s">
        <v>6206</v>
      </c>
      <c r="N59" s="8" t="s">
        <v>8961</v>
      </c>
      <c r="Q59" s="8" t="s">
        <v>8951</v>
      </c>
      <c r="AN59" s="8" t="s">
        <v>8951</v>
      </c>
    </row>
    <row r="60" spans="1:40" x14ac:dyDescent="0.2">
      <c r="A60">
        <v>7</v>
      </c>
      <c r="B60" t="s">
        <v>6212</v>
      </c>
      <c r="C60" t="s">
        <v>6314</v>
      </c>
      <c r="D60">
        <v>1711</v>
      </c>
      <c r="E60" t="s">
        <v>21</v>
      </c>
      <c r="F60" t="s">
        <v>5970</v>
      </c>
      <c r="G60">
        <v>73</v>
      </c>
      <c r="H60" t="s">
        <v>6206</v>
      </c>
      <c r="N60" s="8" t="s">
        <v>8965</v>
      </c>
      <c r="Q60" s="8" t="s">
        <v>6488</v>
      </c>
      <c r="AN60" s="8" t="s">
        <v>6488</v>
      </c>
    </row>
    <row r="61" spans="1:40" x14ac:dyDescent="0.2">
      <c r="A61" t="s">
        <v>6315</v>
      </c>
      <c r="B61" t="s">
        <v>6316</v>
      </c>
      <c r="C61" t="s">
        <v>6206</v>
      </c>
      <c r="N61" s="8" t="s">
        <v>6513</v>
      </c>
      <c r="Q61" s="8" t="s">
        <v>6580</v>
      </c>
      <c r="AN61" s="8" t="s">
        <v>6580</v>
      </c>
    </row>
    <row r="62" spans="1:40" x14ac:dyDescent="0.2">
      <c r="A62">
        <v>8</v>
      </c>
      <c r="B62" t="s">
        <v>6249</v>
      </c>
      <c r="C62" t="s">
        <v>6317</v>
      </c>
      <c r="D62">
        <v>204</v>
      </c>
      <c r="E62" t="s">
        <v>21</v>
      </c>
      <c r="F62" t="s">
        <v>5970</v>
      </c>
      <c r="G62">
        <v>74</v>
      </c>
      <c r="H62" t="s">
        <v>6206</v>
      </c>
      <c r="N62" s="8" t="s">
        <v>6517</v>
      </c>
      <c r="Q62" s="8" t="s">
        <v>9128</v>
      </c>
      <c r="AN62" s="8" t="s">
        <v>9128</v>
      </c>
    </row>
    <row r="63" spans="1:40" x14ac:dyDescent="0.2">
      <c r="A63">
        <v>9</v>
      </c>
      <c r="B63" t="s">
        <v>6251</v>
      </c>
      <c r="C63" t="s">
        <v>6318</v>
      </c>
      <c r="D63">
        <v>91</v>
      </c>
      <c r="E63" t="s">
        <v>21</v>
      </c>
      <c r="F63" t="s">
        <v>5970</v>
      </c>
      <c r="G63">
        <v>74</v>
      </c>
      <c r="H63" t="s">
        <v>6206</v>
      </c>
      <c r="N63" s="8" t="s">
        <v>8968</v>
      </c>
      <c r="Q63" s="8" t="s">
        <v>9129</v>
      </c>
      <c r="AN63" s="8" t="s">
        <v>9129</v>
      </c>
    </row>
    <row r="64" spans="1:40" x14ac:dyDescent="0.2">
      <c r="A64">
        <v>10</v>
      </c>
      <c r="B64" t="s">
        <v>6253</v>
      </c>
      <c r="C64" t="s">
        <v>6319</v>
      </c>
      <c r="D64">
        <v>153</v>
      </c>
      <c r="E64" t="s">
        <v>21</v>
      </c>
      <c r="F64" t="s">
        <v>5970</v>
      </c>
      <c r="G64">
        <v>74</v>
      </c>
      <c r="H64" t="s">
        <v>6206</v>
      </c>
      <c r="N64" s="8" t="s">
        <v>8969</v>
      </c>
      <c r="Q64" s="8" t="s">
        <v>9130</v>
      </c>
      <c r="AN64" s="8" t="s">
        <v>9130</v>
      </c>
    </row>
    <row r="65" spans="1:40" x14ac:dyDescent="0.2">
      <c r="A65" t="s">
        <v>6358</v>
      </c>
      <c r="B65" t="s">
        <v>10360</v>
      </c>
      <c r="C65" t="s">
        <v>5971</v>
      </c>
      <c r="N65" s="8" t="s">
        <v>8970</v>
      </c>
      <c r="Q65" s="8" t="s">
        <v>9131</v>
      </c>
      <c r="AN65" s="8" t="s">
        <v>9131</v>
      </c>
    </row>
    <row r="66" spans="1:40" x14ac:dyDescent="0.2">
      <c r="A66">
        <v>1</v>
      </c>
      <c r="B66" t="s">
        <v>6236</v>
      </c>
      <c r="C66" t="s">
        <v>6360</v>
      </c>
      <c r="D66">
        <v>124</v>
      </c>
      <c r="E66" t="s">
        <v>21</v>
      </c>
      <c r="F66" t="s">
        <v>5970</v>
      </c>
      <c r="G66">
        <v>76</v>
      </c>
      <c r="H66" t="s">
        <v>5971</v>
      </c>
      <c r="N66" s="8" t="s">
        <v>8971</v>
      </c>
      <c r="Q66" s="8" t="s">
        <v>9132</v>
      </c>
      <c r="AN66" s="8" t="s">
        <v>9132</v>
      </c>
    </row>
    <row r="67" spans="1:40" x14ac:dyDescent="0.2">
      <c r="A67">
        <v>2</v>
      </c>
      <c r="B67" t="s">
        <v>2668</v>
      </c>
      <c r="C67" t="s">
        <v>6360</v>
      </c>
      <c r="D67">
        <v>1328</v>
      </c>
      <c r="E67" t="s">
        <v>21</v>
      </c>
      <c r="F67" t="s">
        <v>5970</v>
      </c>
      <c r="G67">
        <v>76</v>
      </c>
      <c r="H67" t="s">
        <v>5971</v>
      </c>
      <c r="N67" s="8" t="s">
        <v>6684</v>
      </c>
      <c r="Q67" s="8" t="s">
        <v>7915</v>
      </c>
      <c r="AN67" s="8" t="s">
        <v>7915</v>
      </c>
    </row>
    <row r="68" spans="1:40" x14ac:dyDescent="0.2">
      <c r="A68">
        <v>3</v>
      </c>
      <c r="B68" t="s">
        <v>6209</v>
      </c>
      <c r="C68" t="s">
        <v>6360</v>
      </c>
      <c r="D68">
        <v>414</v>
      </c>
      <c r="E68" t="s">
        <v>21</v>
      </c>
      <c r="F68" t="s">
        <v>5970</v>
      </c>
      <c r="G68">
        <v>76</v>
      </c>
      <c r="H68" t="s">
        <v>5971</v>
      </c>
      <c r="N68" s="8" t="s">
        <v>8972</v>
      </c>
      <c r="Q68" s="8" t="s">
        <v>9133</v>
      </c>
      <c r="AN68" s="8" t="s">
        <v>9133</v>
      </c>
    </row>
    <row r="69" spans="1:40" x14ac:dyDescent="0.2">
      <c r="A69">
        <v>4</v>
      </c>
      <c r="B69" t="s">
        <v>3515</v>
      </c>
      <c r="C69" t="s">
        <v>3516</v>
      </c>
      <c r="D69">
        <v>5</v>
      </c>
      <c r="E69" t="s">
        <v>21</v>
      </c>
      <c r="F69" t="s">
        <v>5970</v>
      </c>
      <c r="G69">
        <v>76</v>
      </c>
      <c r="H69" t="s">
        <v>5971</v>
      </c>
      <c r="N69" s="8" t="s">
        <v>8973</v>
      </c>
      <c r="Q69" s="8" t="s">
        <v>9134</v>
      </c>
      <c r="AN69" s="8" t="s">
        <v>9134</v>
      </c>
    </row>
    <row r="70" spans="1:40" x14ac:dyDescent="0.2">
      <c r="A70">
        <v>5</v>
      </c>
      <c r="B70" t="s">
        <v>2668</v>
      </c>
      <c r="C70" t="s">
        <v>6363</v>
      </c>
      <c r="D70">
        <v>140</v>
      </c>
      <c r="E70" t="s">
        <v>21</v>
      </c>
      <c r="F70" t="s">
        <v>5970</v>
      </c>
      <c r="G70">
        <v>76</v>
      </c>
      <c r="H70" t="s">
        <v>5971</v>
      </c>
      <c r="N70" s="8" t="s">
        <v>8974</v>
      </c>
      <c r="Q70" s="8" t="s">
        <v>9135</v>
      </c>
      <c r="AN70" s="8" t="s">
        <v>9135</v>
      </c>
    </row>
    <row r="71" spans="1:40" x14ac:dyDescent="0.2">
      <c r="A71">
        <v>6</v>
      </c>
      <c r="B71" t="s">
        <v>6364</v>
      </c>
      <c r="C71" t="s">
        <v>6365</v>
      </c>
      <c r="D71">
        <v>240</v>
      </c>
      <c r="E71" t="s">
        <v>21</v>
      </c>
      <c r="F71" t="s">
        <v>5970</v>
      </c>
      <c r="G71">
        <v>76</v>
      </c>
      <c r="H71" t="s">
        <v>34</v>
      </c>
      <c r="N71" s="8" t="s">
        <v>8976</v>
      </c>
      <c r="Q71" s="8" t="s">
        <v>9136</v>
      </c>
      <c r="AN71" s="8" t="s">
        <v>9136</v>
      </c>
    </row>
    <row r="72" spans="1:40" x14ac:dyDescent="0.2">
      <c r="A72">
        <v>7</v>
      </c>
      <c r="B72" t="s">
        <v>6366</v>
      </c>
      <c r="C72" t="s">
        <v>6367</v>
      </c>
      <c r="D72">
        <v>6</v>
      </c>
      <c r="E72" t="s">
        <v>21</v>
      </c>
      <c r="F72" t="s">
        <v>5970</v>
      </c>
      <c r="G72">
        <v>76</v>
      </c>
      <c r="H72" t="s">
        <v>34</v>
      </c>
      <c r="N72" s="8" t="s">
        <v>6523</v>
      </c>
      <c r="Q72" s="8" t="s">
        <v>6398</v>
      </c>
      <c r="AN72" s="8" t="s">
        <v>6398</v>
      </c>
    </row>
    <row r="73" spans="1:40" x14ac:dyDescent="0.2">
      <c r="A73">
        <v>8</v>
      </c>
      <c r="B73" t="s">
        <v>6368</v>
      </c>
      <c r="C73" t="s">
        <v>6369</v>
      </c>
      <c r="D73">
        <v>2</v>
      </c>
      <c r="E73" t="s">
        <v>21</v>
      </c>
      <c r="F73" t="s">
        <v>5970</v>
      </c>
      <c r="G73">
        <v>76</v>
      </c>
      <c r="H73" t="s">
        <v>5971</v>
      </c>
      <c r="N73" s="8" t="s">
        <v>8979</v>
      </c>
      <c r="Q73" s="8" t="s">
        <v>9137</v>
      </c>
      <c r="AN73" s="8" t="s">
        <v>9137</v>
      </c>
    </row>
    <row r="74" spans="1:40" x14ac:dyDescent="0.2">
      <c r="A74">
        <v>9</v>
      </c>
      <c r="B74" t="s">
        <v>6373</v>
      </c>
      <c r="C74" t="s">
        <v>6369</v>
      </c>
      <c r="D74">
        <v>705</v>
      </c>
      <c r="E74" t="s">
        <v>21</v>
      </c>
      <c r="F74" t="s">
        <v>5970</v>
      </c>
      <c r="G74">
        <v>76</v>
      </c>
      <c r="H74" t="s">
        <v>5971</v>
      </c>
      <c r="N74" s="8" t="s">
        <v>6405</v>
      </c>
      <c r="Q74" s="8" t="s">
        <v>9007</v>
      </c>
      <c r="AN74" s="8" t="s">
        <v>9007</v>
      </c>
    </row>
    <row r="75" spans="1:40" x14ac:dyDescent="0.2">
      <c r="A75">
        <v>10</v>
      </c>
      <c r="B75" t="s">
        <v>6375</v>
      </c>
      <c r="C75" t="s">
        <v>6369</v>
      </c>
      <c r="D75">
        <v>14</v>
      </c>
      <c r="E75" t="s">
        <v>21</v>
      </c>
      <c r="F75" t="s">
        <v>5970</v>
      </c>
      <c r="G75">
        <v>76</v>
      </c>
      <c r="H75" t="s">
        <v>5971</v>
      </c>
      <c r="N75" s="8" t="s">
        <v>8982</v>
      </c>
      <c r="Q75" s="8" t="s">
        <v>9138</v>
      </c>
      <c r="AN75" s="8" t="s">
        <v>9138</v>
      </c>
    </row>
    <row r="76" spans="1:40" x14ac:dyDescent="0.2">
      <c r="A76">
        <v>11</v>
      </c>
      <c r="B76" t="s">
        <v>6376</v>
      </c>
      <c r="C76" t="s">
        <v>6369</v>
      </c>
      <c r="D76">
        <v>52</v>
      </c>
      <c r="E76" t="s">
        <v>21</v>
      </c>
      <c r="F76" t="s">
        <v>5970</v>
      </c>
      <c r="G76">
        <v>76</v>
      </c>
      <c r="H76" t="s">
        <v>5971</v>
      </c>
      <c r="N76" s="8" t="s">
        <v>8983</v>
      </c>
      <c r="Q76" s="8" t="s">
        <v>9139</v>
      </c>
      <c r="AN76" s="8" t="s">
        <v>9139</v>
      </c>
    </row>
    <row r="77" spans="1:40" x14ac:dyDescent="0.2">
      <c r="A77" t="s">
        <v>6377</v>
      </c>
      <c r="B77" t="s">
        <v>6378</v>
      </c>
      <c r="C77" t="s">
        <v>5971</v>
      </c>
      <c r="N77" s="8" t="s">
        <v>8984</v>
      </c>
      <c r="Q77" s="8" t="s">
        <v>9140</v>
      </c>
      <c r="AN77" s="8" t="s">
        <v>9140</v>
      </c>
    </row>
    <row r="78" spans="1:40" x14ac:dyDescent="0.2">
      <c r="A78">
        <v>1</v>
      </c>
      <c r="B78" t="s">
        <v>6211</v>
      </c>
      <c r="C78" t="s">
        <v>6379</v>
      </c>
      <c r="D78">
        <v>321</v>
      </c>
      <c r="E78" t="s">
        <v>21</v>
      </c>
      <c r="F78" t="s">
        <v>5970</v>
      </c>
      <c r="G78">
        <v>77</v>
      </c>
      <c r="H78" t="s">
        <v>5971</v>
      </c>
      <c r="N78" s="8" t="s">
        <v>8985</v>
      </c>
      <c r="Q78" s="8" t="s">
        <v>6601</v>
      </c>
      <c r="AN78" s="8" t="s">
        <v>6601</v>
      </c>
    </row>
    <row r="79" spans="1:40" x14ac:dyDescent="0.2">
      <c r="A79">
        <v>2</v>
      </c>
      <c r="B79" t="s">
        <v>6380</v>
      </c>
      <c r="C79" t="s">
        <v>6381</v>
      </c>
      <c r="D79">
        <v>227</v>
      </c>
      <c r="E79" t="s">
        <v>21</v>
      </c>
      <c r="F79" t="s">
        <v>5970</v>
      </c>
      <c r="G79">
        <v>77</v>
      </c>
      <c r="H79" t="s">
        <v>5971</v>
      </c>
      <c r="N79" s="8" t="s">
        <v>8986</v>
      </c>
      <c r="Q79" s="8" t="s">
        <v>8996</v>
      </c>
      <c r="AN79" s="8" t="s">
        <v>8996</v>
      </c>
    </row>
    <row r="80" spans="1:40" x14ac:dyDescent="0.2">
      <c r="A80">
        <v>3</v>
      </c>
      <c r="B80" t="s">
        <v>6212</v>
      </c>
      <c r="C80" t="s">
        <v>6379</v>
      </c>
      <c r="D80">
        <v>243</v>
      </c>
      <c r="E80" t="s">
        <v>21</v>
      </c>
      <c r="F80" t="s">
        <v>5970</v>
      </c>
      <c r="G80">
        <v>77</v>
      </c>
      <c r="H80" t="s">
        <v>5971</v>
      </c>
      <c r="N80" s="8" t="s">
        <v>8987</v>
      </c>
      <c r="Q80" s="8" t="s">
        <v>9141</v>
      </c>
      <c r="AN80" s="8" t="s">
        <v>9141</v>
      </c>
    </row>
    <row r="81" spans="1:40" x14ac:dyDescent="0.2">
      <c r="A81">
        <v>4</v>
      </c>
      <c r="B81" t="s">
        <v>6249</v>
      </c>
      <c r="C81" t="s">
        <v>6382</v>
      </c>
      <c r="D81">
        <v>4393</v>
      </c>
      <c r="E81" t="s">
        <v>21</v>
      </c>
      <c r="F81" t="s">
        <v>5970</v>
      </c>
      <c r="G81">
        <v>77</v>
      </c>
      <c r="H81" t="s">
        <v>5971</v>
      </c>
      <c r="N81" s="8" t="s">
        <v>8988</v>
      </c>
      <c r="Q81" s="8" t="s">
        <v>9142</v>
      </c>
      <c r="AN81" s="8" t="s">
        <v>9142</v>
      </c>
    </row>
    <row r="82" spans="1:40" x14ac:dyDescent="0.2">
      <c r="A82" t="s">
        <v>6377</v>
      </c>
      <c r="B82" t="s">
        <v>6384</v>
      </c>
      <c r="C82" t="s">
        <v>5971</v>
      </c>
      <c r="N82" s="8" t="s">
        <v>8989</v>
      </c>
      <c r="Q82" s="8" t="s">
        <v>9143</v>
      </c>
      <c r="AN82" s="8" t="s">
        <v>9143</v>
      </c>
    </row>
    <row r="83" spans="1:40" x14ac:dyDescent="0.2">
      <c r="A83">
        <v>1</v>
      </c>
      <c r="B83" t="s">
        <v>2668</v>
      </c>
      <c r="C83" t="s">
        <v>6362</v>
      </c>
      <c r="D83">
        <v>1195</v>
      </c>
      <c r="E83" t="s">
        <v>21</v>
      </c>
      <c r="F83" t="s">
        <v>5970</v>
      </c>
      <c r="G83">
        <v>77</v>
      </c>
      <c r="H83" t="s">
        <v>5971</v>
      </c>
      <c r="N83" s="8" t="s">
        <v>8990</v>
      </c>
      <c r="Q83" s="8" t="s">
        <v>9144</v>
      </c>
      <c r="AN83" s="8" t="s">
        <v>9144</v>
      </c>
    </row>
    <row r="84" spans="1:40" x14ac:dyDescent="0.2">
      <c r="A84">
        <v>2</v>
      </c>
      <c r="B84" t="s">
        <v>6385</v>
      </c>
      <c r="C84" t="s">
        <v>6386</v>
      </c>
      <c r="D84">
        <v>256</v>
      </c>
      <c r="E84" t="s">
        <v>21</v>
      </c>
      <c r="F84" t="s">
        <v>5970</v>
      </c>
      <c r="G84">
        <v>77</v>
      </c>
      <c r="H84" t="s">
        <v>5971</v>
      </c>
      <c r="N84" s="8" t="s">
        <v>8991</v>
      </c>
      <c r="Q84" s="8" t="s">
        <v>9145</v>
      </c>
      <c r="AN84" s="8" t="s">
        <v>9145</v>
      </c>
    </row>
    <row r="85" spans="1:40" x14ac:dyDescent="0.2">
      <c r="A85">
        <v>3</v>
      </c>
      <c r="B85" t="s">
        <v>6387</v>
      </c>
      <c r="C85" t="s">
        <v>6386</v>
      </c>
      <c r="D85">
        <v>25</v>
      </c>
      <c r="E85" t="s">
        <v>21</v>
      </c>
      <c r="F85" t="s">
        <v>5970</v>
      </c>
      <c r="G85">
        <v>77</v>
      </c>
      <c r="H85" t="s">
        <v>5971</v>
      </c>
      <c r="N85" s="8" t="s">
        <v>8992</v>
      </c>
    </row>
    <row r="86" spans="1:40" x14ac:dyDescent="0.2">
      <c r="A86">
        <v>4</v>
      </c>
      <c r="B86" t="s">
        <v>6389</v>
      </c>
      <c r="C86" t="s">
        <v>6386</v>
      </c>
      <c r="D86">
        <v>1</v>
      </c>
      <c r="E86" t="s">
        <v>21</v>
      </c>
      <c r="F86" t="s">
        <v>5970</v>
      </c>
      <c r="G86">
        <v>77</v>
      </c>
      <c r="H86" t="s">
        <v>5971</v>
      </c>
      <c r="N86" s="8" t="s">
        <v>8993</v>
      </c>
    </row>
    <row r="87" spans="1:40" x14ac:dyDescent="0.2">
      <c r="A87">
        <v>5</v>
      </c>
      <c r="B87" t="s">
        <v>6391</v>
      </c>
      <c r="C87" t="s">
        <v>6386</v>
      </c>
      <c r="D87">
        <v>47</v>
      </c>
      <c r="E87" t="s">
        <v>21</v>
      </c>
      <c r="F87" t="s">
        <v>5970</v>
      </c>
      <c r="G87">
        <v>77</v>
      </c>
      <c r="H87" t="s">
        <v>5971</v>
      </c>
      <c r="N87" s="8" t="s">
        <v>8994</v>
      </c>
    </row>
    <row r="88" spans="1:40" x14ac:dyDescent="0.2">
      <c r="A88">
        <v>6</v>
      </c>
      <c r="B88" t="s">
        <v>6392</v>
      </c>
      <c r="C88" t="s">
        <v>6386</v>
      </c>
      <c r="D88">
        <v>25</v>
      </c>
      <c r="E88" t="s">
        <v>21</v>
      </c>
      <c r="F88" t="s">
        <v>5970</v>
      </c>
      <c r="G88">
        <v>77</v>
      </c>
      <c r="H88" t="s">
        <v>5971</v>
      </c>
      <c r="N88" s="8" t="s">
        <v>8995</v>
      </c>
    </row>
    <row r="89" spans="1:40" x14ac:dyDescent="0.2">
      <c r="A89">
        <v>7</v>
      </c>
      <c r="B89" t="s">
        <v>6393</v>
      </c>
      <c r="C89" t="s">
        <v>6394</v>
      </c>
      <c r="D89">
        <v>9</v>
      </c>
      <c r="E89" t="s">
        <v>21</v>
      </c>
      <c r="F89" t="s">
        <v>5970</v>
      </c>
      <c r="G89">
        <v>77</v>
      </c>
      <c r="H89" t="s">
        <v>5971</v>
      </c>
      <c r="N89" s="8" t="s">
        <v>8996</v>
      </c>
    </row>
    <row r="90" spans="1:40" s="173" customFormat="1" x14ac:dyDescent="0.2">
      <c r="A90" s="170" t="s">
        <v>6396</v>
      </c>
      <c r="B90" s="171" t="s">
        <v>10361</v>
      </c>
      <c r="C90" s="171" t="s">
        <v>6397</v>
      </c>
      <c r="D90" s="140"/>
      <c r="E90" s="170"/>
      <c r="F90" s="170"/>
      <c r="G90" s="170"/>
      <c r="H90" s="170"/>
      <c r="I90" s="170"/>
      <c r="J90" s="170"/>
      <c r="K90" s="170"/>
      <c r="L90" s="170"/>
      <c r="M90" s="170"/>
      <c r="N90" s="8" t="s">
        <v>8997</v>
      </c>
      <c r="O90" s="170"/>
    </row>
    <row r="91" spans="1:40" s="169" customFormat="1" x14ac:dyDescent="0.2">
      <c r="B91" s="140" t="s">
        <v>10336</v>
      </c>
      <c r="C91" s="140" t="s">
        <v>6399</v>
      </c>
      <c r="D91" s="167">
        <v>1588</v>
      </c>
      <c r="E91" s="167" t="s">
        <v>292</v>
      </c>
      <c r="F91" s="167" t="s">
        <v>5970</v>
      </c>
      <c r="G91" s="167">
        <v>78</v>
      </c>
      <c r="H91" s="167" t="s">
        <v>6401</v>
      </c>
      <c r="I91" s="167"/>
      <c r="J91" s="167"/>
      <c r="K91" s="168" t="s">
        <v>9233</v>
      </c>
      <c r="L91" s="167"/>
      <c r="M91" s="167"/>
      <c r="N91" s="8" t="s">
        <v>8998</v>
      </c>
      <c r="AA91" s="140" t="s">
        <v>6399</v>
      </c>
    </row>
    <row r="92" spans="1:40" s="63" customFormat="1" x14ac:dyDescent="0.2">
      <c r="A92" s="63">
        <v>91</v>
      </c>
      <c r="B92" s="153" t="s">
        <v>6400</v>
      </c>
      <c r="C92" s="153" t="s">
        <v>6399</v>
      </c>
      <c r="D92" s="152">
        <f>76+48-2</f>
        <v>122</v>
      </c>
      <c r="E92" s="152" t="s">
        <v>292</v>
      </c>
      <c r="F92" s="152" t="s">
        <v>5970</v>
      </c>
      <c r="G92" s="152">
        <v>78</v>
      </c>
      <c r="H92" s="152" t="s">
        <v>6401</v>
      </c>
      <c r="I92" s="152"/>
      <c r="J92" s="152"/>
      <c r="K92" s="161"/>
      <c r="L92" s="152"/>
      <c r="M92" s="152"/>
      <c r="N92" s="8" t="s">
        <v>8999</v>
      </c>
      <c r="AA92" s="153" t="s">
        <v>6399</v>
      </c>
    </row>
    <row r="93" spans="1:40" x14ac:dyDescent="0.2">
      <c r="A93">
        <v>1</v>
      </c>
      <c r="B93" s="8" t="s">
        <v>6402</v>
      </c>
      <c r="C93" s="8" t="s">
        <v>6399</v>
      </c>
      <c r="D93" s="5">
        <f>741-16-44-22-20-15</f>
        <v>624</v>
      </c>
      <c r="E93" s="5" t="s">
        <v>292</v>
      </c>
      <c r="F93" s="5" t="s">
        <v>5970</v>
      </c>
      <c r="G93" s="5">
        <v>78</v>
      </c>
      <c r="H93" s="5" t="s">
        <v>6401</v>
      </c>
      <c r="I93" s="5"/>
      <c r="J93" s="5"/>
      <c r="K93" s="107"/>
      <c r="L93" s="5"/>
      <c r="M93" s="5"/>
      <c r="N93" s="8" t="s">
        <v>9000</v>
      </c>
      <c r="AA93" s="8" t="s">
        <v>6399</v>
      </c>
    </row>
    <row r="94" spans="1:40" x14ac:dyDescent="0.2">
      <c r="A94">
        <v>2</v>
      </c>
      <c r="B94" s="8" t="s">
        <v>6405</v>
      </c>
      <c r="C94" s="8" t="s">
        <v>6399</v>
      </c>
      <c r="D94" s="5">
        <f>476+72-444+1+6+12-46-1-76+300-44-138-6-1+7-16-100+1000-4-414-92-46-184-108-138+250-92-20-4</f>
        <v>150</v>
      </c>
      <c r="E94" s="5" t="s">
        <v>292</v>
      </c>
      <c r="F94" s="5" t="s">
        <v>5970</v>
      </c>
      <c r="G94" s="5">
        <v>78</v>
      </c>
      <c r="H94" s="5" t="s">
        <v>6401</v>
      </c>
      <c r="I94" s="5"/>
      <c r="J94" s="5"/>
      <c r="K94" s="107" t="s">
        <v>9081</v>
      </c>
      <c r="L94" s="5"/>
      <c r="M94" s="5"/>
      <c r="N94" s="8" t="s">
        <v>9001</v>
      </c>
      <c r="AA94" s="8" t="s">
        <v>6399</v>
      </c>
    </row>
    <row r="95" spans="1:40" x14ac:dyDescent="0.2">
      <c r="A95">
        <v>3</v>
      </c>
      <c r="B95" s="8" t="s">
        <v>6407</v>
      </c>
      <c r="C95" s="8" t="s">
        <v>6399</v>
      </c>
      <c r="D95" s="5">
        <f>13+70-20-1-6-56+56-3+31+840</f>
        <v>924</v>
      </c>
      <c r="E95" s="5" t="s">
        <v>292</v>
      </c>
      <c r="F95" s="5" t="s">
        <v>5970</v>
      </c>
      <c r="G95" s="5">
        <v>78</v>
      </c>
      <c r="H95" s="5" t="s">
        <v>6401</v>
      </c>
      <c r="I95" s="5"/>
      <c r="J95" s="5"/>
      <c r="K95" s="107"/>
      <c r="L95" s="5"/>
      <c r="M95" s="5"/>
      <c r="N95" s="8" t="s">
        <v>9002</v>
      </c>
      <c r="AA95" s="8" t="s">
        <v>6399</v>
      </c>
    </row>
    <row r="96" spans="1:40" x14ac:dyDescent="0.2">
      <c r="A96">
        <v>4</v>
      </c>
      <c r="B96" s="8" t="s">
        <v>6408</v>
      </c>
      <c r="C96" s="8" t="s">
        <v>6399</v>
      </c>
      <c r="D96" s="5">
        <f>6+88-16-12+69-12-8-4-12-90</f>
        <v>9</v>
      </c>
      <c r="E96" s="5" t="s">
        <v>292</v>
      </c>
      <c r="F96" s="5" t="s">
        <v>5970</v>
      </c>
      <c r="G96" s="5">
        <v>78</v>
      </c>
      <c r="H96" s="5" t="s">
        <v>6401</v>
      </c>
      <c r="I96" s="5"/>
      <c r="J96" s="5"/>
      <c r="K96" s="107" t="s">
        <v>6409</v>
      </c>
      <c r="L96" s="5"/>
      <c r="M96" s="5"/>
      <c r="N96" s="8" t="s">
        <v>9003</v>
      </c>
      <c r="AA96" s="8" t="s">
        <v>6399</v>
      </c>
    </row>
    <row r="97" spans="1:27" x14ac:dyDescent="0.2">
      <c r="A97">
        <v>5</v>
      </c>
      <c r="B97" s="8" t="s">
        <v>6410</v>
      </c>
      <c r="C97" s="8" t="s">
        <v>6399</v>
      </c>
      <c r="D97" s="5">
        <f>72+21+91-4-4-12+4-72-12-36-8+2000-4-16-10-4-8-36+148</f>
        <v>2110</v>
      </c>
      <c r="E97" s="5" t="s">
        <v>292</v>
      </c>
      <c r="F97" s="5" t="s">
        <v>5970</v>
      </c>
      <c r="G97" s="5">
        <v>78</v>
      </c>
      <c r="H97" s="5" t="s">
        <v>6401</v>
      </c>
      <c r="I97" s="5"/>
      <c r="J97" s="5"/>
      <c r="K97" s="107"/>
      <c r="L97" s="5"/>
      <c r="M97" s="5"/>
      <c r="N97" s="8" t="s">
        <v>9004</v>
      </c>
      <c r="AA97" s="8" t="s">
        <v>6399</v>
      </c>
    </row>
    <row r="98" spans="1:27" x14ac:dyDescent="0.2">
      <c r="A98">
        <v>6</v>
      </c>
      <c r="B98" s="8" t="s">
        <v>6411</v>
      </c>
      <c r="C98" s="8" t="s">
        <v>6399</v>
      </c>
      <c r="D98" s="5">
        <f>58+56+75-10-8-8-15</f>
        <v>148</v>
      </c>
      <c r="E98" s="5" t="s">
        <v>292</v>
      </c>
      <c r="F98" s="5" t="s">
        <v>5970</v>
      </c>
      <c r="G98" s="5">
        <v>78</v>
      </c>
      <c r="H98" s="5" t="s">
        <v>6401</v>
      </c>
      <c r="I98" s="5"/>
      <c r="J98" s="5"/>
      <c r="K98" s="107" t="s">
        <v>6412</v>
      </c>
      <c r="L98" s="5"/>
      <c r="M98" s="5"/>
      <c r="N98" s="8" t="s">
        <v>9005</v>
      </c>
      <c r="AA98" s="8" t="s">
        <v>6399</v>
      </c>
    </row>
    <row r="99" spans="1:27" s="63" customFormat="1" x14ac:dyDescent="0.2">
      <c r="A99" s="63">
        <v>95</v>
      </c>
      <c r="B99" s="153" t="s">
        <v>6413</v>
      </c>
      <c r="C99" s="153" t="s">
        <v>6399</v>
      </c>
      <c r="D99" s="152">
        <f>1-1+101+18</f>
        <v>119</v>
      </c>
      <c r="E99" s="152" t="s">
        <v>292</v>
      </c>
      <c r="F99" s="152" t="s">
        <v>5970</v>
      </c>
      <c r="G99" s="152">
        <v>78</v>
      </c>
      <c r="H99" s="152" t="s">
        <v>6401</v>
      </c>
      <c r="I99" s="152"/>
      <c r="J99" s="152"/>
      <c r="K99" s="161" t="s">
        <v>6414</v>
      </c>
      <c r="L99" s="152"/>
      <c r="M99" s="152"/>
      <c r="N99" s="8" t="s">
        <v>9006</v>
      </c>
      <c r="AA99" s="153" t="s">
        <v>6399</v>
      </c>
    </row>
    <row r="100" spans="1:27" x14ac:dyDescent="0.2">
      <c r="A100">
        <v>7</v>
      </c>
      <c r="B100" s="8" t="s">
        <v>6415</v>
      </c>
      <c r="C100" s="8" t="s">
        <v>6399</v>
      </c>
      <c r="D100" s="5">
        <f>15-4-4+136</f>
        <v>143</v>
      </c>
      <c r="E100" s="5" t="s">
        <v>292</v>
      </c>
      <c r="F100" s="5" t="s">
        <v>5970</v>
      </c>
      <c r="G100" s="5">
        <v>78</v>
      </c>
      <c r="H100" s="5" t="s">
        <v>6401</v>
      </c>
      <c r="I100" s="5"/>
      <c r="J100" s="5"/>
      <c r="K100" s="107" t="s">
        <v>6416</v>
      </c>
      <c r="L100" s="5"/>
      <c r="M100" s="5"/>
      <c r="N100" s="8" t="s">
        <v>9007</v>
      </c>
      <c r="AA100" s="8" t="s">
        <v>6399</v>
      </c>
    </row>
    <row r="101" spans="1:27" x14ac:dyDescent="0.2">
      <c r="A101">
        <v>8</v>
      </c>
      <c r="B101" s="8" t="s">
        <v>6417</v>
      </c>
      <c r="C101" s="8" t="s">
        <v>6399</v>
      </c>
      <c r="D101" s="5">
        <f>6+9+78</f>
        <v>93</v>
      </c>
      <c r="E101" s="5" t="s">
        <v>292</v>
      </c>
      <c r="F101" s="5" t="s">
        <v>5970</v>
      </c>
      <c r="G101" s="5">
        <v>78</v>
      </c>
      <c r="H101" s="5" t="s">
        <v>6401</v>
      </c>
      <c r="I101" s="5"/>
      <c r="J101" s="5"/>
      <c r="K101" s="107" t="s">
        <v>6416</v>
      </c>
      <c r="L101" s="5"/>
      <c r="M101" s="5"/>
      <c r="N101" s="8" t="s">
        <v>9008</v>
      </c>
      <c r="AA101" s="8" t="s">
        <v>6399</v>
      </c>
    </row>
    <row r="102" spans="1:27" x14ac:dyDescent="0.2">
      <c r="A102">
        <v>9</v>
      </c>
      <c r="B102" s="8" t="s">
        <v>6418</v>
      </c>
      <c r="C102" s="8" t="s">
        <v>6399</v>
      </c>
      <c r="D102" s="5">
        <f>200-6</f>
        <v>194</v>
      </c>
      <c r="E102" s="5" t="s">
        <v>292</v>
      </c>
      <c r="F102" s="5" t="s">
        <v>5970</v>
      </c>
      <c r="G102" s="5">
        <v>78</v>
      </c>
      <c r="H102" s="5" t="s">
        <v>6401</v>
      </c>
      <c r="I102" s="5"/>
      <c r="J102" s="5"/>
      <c r="K102" s="107" t="s">
        <v>6416</v>
      </c>
      <c r="L102" s="5"/>
      <c r="M102" s="5"/>
      <c r="N102" s="8" t="s">
        <v>9009</v>
      </c>
      <c r="AA102" s="8" t="s">
        <v>6399</v>
      </c>
    </row>
    <row r="103" spans="1:27" s="174" customFormat="1" x14ac:dyDescent="0.2">
      <c r="A103" s="174" t="s">
        <v>6420</v>
      </c>
      <c r="B103" s="175" t="s">
        <v>10362</v>
      </c>
      <c r="C103" s="175" t="s">
        <v>81</v>
      </c>
      <c r="D103" s="176"/>
      <c r="E103" s="176"/>
      <c r="F103" s="176"/>
      <c r="G103" s="176"/>
      <c r="H103" s="176"/>
      <c r="I103" s="176"/>
      <c r="J103" s="176"/>
      <c r="K103" s="177"/>
      <c r="L103" s="176"/>
      <c r="M103" s="176"/>
      <c r="N103" s="176"/>
      <c r="AA103" s="140"/>
    </row>
    <row r="104" spans="1:27" x14ac:dyDescent="0.2">
      <c r="A104" s="5">
        <v>1</v>
      </c>
      <c r="B104" s="8" t="s">
        <v>9010</v>
      </c>
      <c r="C104" s="8" t="s">
        <v>9011</v>
      </c>
      <c r="D104" s="5">
        <v>8</v>
      </c>
      <c r="E104" s="5" t="s">
        <v>21</v>
      </c>
      <c r="F104" s="5" t="s">
        <v>5970</v>
      </c>
      <c r="G104" s="5">
        <v>79</v>
      </c>
      <c r="H104" s="5" t="s">
        <v>81</v>
      </c>
      <c r="I104" s="5"/>
      <c r="J104" s="5"/>
      <c r="K104" s="5"/>
      <c r="L104" s="5"/>
      <c r="M104" s="5"/>
      <c r="N104" s="5"/>
      <c r="AA104" s="8" t="s">
        <v>6424</v>
      </c>
    </row>
    <row r="105" spans="1:27" x14ac:dyDescent="0.2">
      <c r="A105" s="5">
        <v>2</v>
      </c>
      <c r="B105" s="8" t="s">
        <v>9013</v>
      </c>
      <c r="C105" s="8" t="s">
        <v>6453</v>
      </c>
      <c r="D105" s="5">
        <v>696</v>
      </c>
      <c r="E105" s="5" t="s">
        <v>21</v>
      </c>
      <c r="F105" s="5" t="s">
        <v>5970</v>
      </c>
      <c r="G105" s="5">
        <v>79</v>
      </c>
      <c r="H105" s="5" t="s">
        <v>81</v>
      </c>
      <c r="I105" s="5"/>
      <c r="J105" s="5"/>
      <c r="K105" s="5"/>
      <c r="L105" s="5"/>
      <c r="M105" s="5"/>
      <c r="N105" s="5"/>
      <c r="AA105" s="8" t="s">
        <v>6424</v>
      </c>
    </row>
    <row r="106" spans="1:27" x14ac:dyDescent="0.2">
      <c r="A106" s="5">
        <v>3</v>
      </c>
      <c r="B106" s="8" t="s">
        <v>9015</v>
      </c>
      <c r="C106" s="8" t="s">
        <v>9016</v>
      </c>
      <c r="D106" s="5">
        <v>96</v>
      </c>
      <c r="E106" s="5" t="s">
        <v>21</v>
      </c>
      <c r="F106" s="5" t="s">
        <v>5970</v>
      </c>
      <c r="G106" s="5">
        <v>79</v>
      </c>
      <c r="H106" s="5" t="s">
        <v>81</v>
      </c>
      <c r="I106" s="5"/>
      <c r="J106" s="5"/>
      <c r="K106" s="5"/>
      <c r="L106" s="5"/>
      <c r="M106" s="5"/>
      <c r="N106" s="5"/>
      <c r="O106" t="s">
        <v>321</v>
      </c>
      <c r="AA106" s="8" t="s">
        <v>6424</v>
      </c>
    </row>
    <row r="107" spans="1:27" x14ac:dyDescent="0.2">
      <c r="A107" s="5">
        <v>4</v>
      </c>
      <c r="B107" s="8" t="s">
        <v>9018</v>
      </c>
      <c r="C107" s="8" t="s">
        <v>9019</v>
      </c>
      <c r="D107" s="5">
        <f>92-6-6-60-20</f>
        <v>0</v>
      </c>
      <c r="E107" s="5" t="s">
        <v>21</v>
      </c>
      <c r="F107" s="5" t="s">
        <v>5970</v>
      </c>
      <c r="G107" s="5">
        <v>79</v>
      </c>
      <c r="H107" s="5" t="s">
        <v>81</v>
      </c>
      <c r="I107" s="5"/>
      <c r="J107" s="5"/>
      <c r="K107" s="5"/>
      <c r="L107" s="5"/>
      <c r="M107" s="5"/>
      <c r="N107" s="5"/>
      <c r="AA107" s="8" t="s">
        <v>6424</v>
      </c>
    </row>
    <row r="108" spans="1:27" x14ac:dyDescent="0.2">
      <c r="A108" s="5">
        <v>5</v>
      </c>
      <c r="B108" s="8" t="s">
        <v>9021</v>
      </c>
      <c r="C108" s="8" t="s">
        <v>9022</v>
      </c>
      <c r="D108" s="5">
        <f>29</f>
        <v>29</v>
      </c>
      <c r="E108" s="5" t="s">
        <v>21</v>
      </c>
      <c r="F108" s="5" t="s">
        <v>5970</v>
      </c>
      <c r="G108" s="5">
        <v>79</v>
      </c>
      <c r="H108" s="5" t="s">
        <v>81</v>
      </c>
      <c r="I108" s="5"/>
      <c r="J108" s="5"/>
      <c r="K108" s="107" t="s">
        <v>9024</v>
      </c>
      <c r="L108" s="5"/>
      <c r="M108" s="5"/>
      <c r="N108" s="5"/>
      <c r="AA108" s="8" t="s">
        <v>6424</v>
      </c>
    </row>
    <row r="109" spans="1:27" x14ac:dyDescent="0.2">
      <c r="A109" s="5">
        <v>6</v>
      </c>
      <c r="B109" s="8" t="s">
        <v>9025</v>
      </c>
      <c r="C109" s="8" t="s">
        <v>6468</v>
      </c>
      <c r="D109" s="5">
        <v>278</v>
      </c>
      <c r="E109" s="5" t="s">
        <v>21</v>
      </c>
      <c r="F109" s="5" t="s">
        <v>5970</v>
      </c>
      <c r="G109" s="5">
        <v>79</v>
      </c>
      <c r="H109" s="5" t="s">
        <v>81</v>
      </c>
      <c r="I109" s="5"/>
      <c r="J109" s="5"/>
      <c r="K109" s="5"/>
      <c r="L109" s="5"/>
      <c r="M109" s="5"/>
      <c r="N109" s="5"/>
      <c r="AA109" s="8" t="s">
        <v>6424</v>
      </c>
    </row>
    <row r="110" spans="1:27" x14ac:dyDescent="0.2">
      <c r="A110" s="5">
        <v>7</v>
      </c>
      <c r="B110" s="8" t="s">
        <v>9027</v>
      </c>
      <c r="C110" s="8" t="s">
        <v>6470</v>
      </c>
      <c r="D110" s="5">
        <f>20-8+191-2-2-8</f>
        <v>191</v>
      </c>
      <c r="E110" s="5" t="s">
        <v>21</v>
      </c>
      <c r="F110" s="5" t="s">
        <v>5970</v>
      </c>
      <c r="G110" s="5">
        <v>79</v>
      </c>
      <c r="H110" s="5" t="s">
        <v>81</v>
      </c>
      <c r="I110" s="5"/>
      <c r="J110" s="5"/>
      <c r="K110" s="107" t="s">
        <v>6763</v>
      </c>
      <c r="L110" s="5"/>
      <c r="M110" s="5"/>
      <c r="N110" s="5"/>
      <c r="AA110" s="8" t="s">
        <v>6424</v>
      </c>
    </row>
    <row r="111" spans="1:27" x14ac:dyDescent="0.2">
      <c r="A111" s="5">
        <v>8</v>
      </c>
      <c r="B111" s="8" t="s">
        <v>9029</v>
      </c>
      <c r="C111" s="8" t="s">
        <v>6472</v>
      </c>
      <c r="D111" s="5">
        <f>47</f>
        <v>47</v>
      </c>
      <c r="E111" s="5" t="s">
        <v>21</v>
      </c>
      <c r="F111" s="5" t="s">
        <v>5970</v>
      </c>
      <c r="G111" s="5">
        <v>79</v>
      </c>
      <c r="H111" s="5" t="s">
        <v>81</v>
      </c>
      <c r="I111" s="5"/>
      <c r="J111" s="5"/>
      <c r="K111" s="107" t="s">
        <v>6329</v>
      </c>
      <c r="L111" s="5"/>
      <c r="M111" s="5"/>
      <c r="N111" s="5"/>
      <c r="AA111" s="8" t="s">
        <v>6424</v>
      </c>
    </row>
    <row r="112" spans="1:27" x14ac:dyDescent="0.2">
      <c r="A112" s="5">
        <v>9</v>
      </c>
      <c r="B112" s="8" t="s">
        <v>9031</v>
      </c>
      <c r="C112" s="8" t="s">
        <v>9032</v>
      </c>
      <c r="D112" s="5">
        <f>100-48-1</f>
        <v>51</v>
      </c>
      <c r="E112" s="5" t="s">
        <v>21</v>
      </c>
      <c r="F112" s="5" t="s">
        <v>5970</v>
      </c>
      <c r="G112" s="5">
        <v>79</v>
      </c>
      <c r="H112" s="5" t="s">
        <v>81</v>
      </c>
      <c r="I112" s="5"/>
      <c r="J112" s="5"/>
      <c r="K112" s="107" t="s">
        <v>9034</v>
      </c>
      <c r="L112" s="5"/>
      <c r="M112" s="5"/>
      <c r="N112" s="5"/>
      <c r="AA112" s="8" t="s">
        <v>6424</v>
      </c>
    </row>
    <row r="113" spans="1:27" x14ac:dyDescent="0.2">
      <c r="A113" s="5">
        <v>10</v>
      </c>
      <c r="B113" s="8" t="s">
        <v>9046</v>
      </c>
      <c r="C113" s="8" t="s">
        <v>6477</v>
      </c>
      <c r="D113" s="5">
        <v>9</v>
      </c>
      <c r="E113" s="5" t="s">
        <v>21</v>
      </c>
      <c r="F113" s="5" t="s">
        <v>5970</v>
      </c>
      <c r="G113" s="5">
        <v>79</v>
      </c>
      <c r="H113" s="5" t="s">
        <v>81</v>
      </c>
      <c r="I113" s="5"/>
      <c r="J113" s="5"/>
      <c r="K113" s="5"/>
      <c r="L113" s="5"/>
      <c r="M113" s="5"/>
      <c r="N113" s="5"/>
      <c r="O113" t="s">
        <v>321</v>
      </c>
      <c r="AA113" s="8" t="s">
        <v>6424</v>
      </c>
    </row>
    <row r="114" spans="1:27" x14ac:dyDescent="0.2">
      <c r="A114" s="5">
        <v>11</v>
      </c>
      <c r="B114" s="8" t="s">
        <v>9048</v>
      </c>
      <c r="C114" s="8" t="s">
        <v>6482</v>
      </c>
      <c r="D114" s="5">
        <f>30-4+1+14+22</f>
        <v>63</v>
      </c>
      <c r="E114" s="5" t="s">
        <v>21</v>
      </c>
      <c r="F114" s="5" t="s">
        <v>5970</v>
      </c>
      <c r="G114" s="5">
        <v>79</v>
      </c>
      <c r="H114" s="5" t="s">
        <v>81</v>
      </c>
      <c r="I114" s="5"/>
      <c r="J114" s="5"/>
      <c r="K114" s="107" t="s">
        <v>6763</v>
      </c>
      <c r="L114" s="5"/>
      <c r="M114" s="5"/>
      <c r="N114" s="5"/>
      <c r="AA114" s="8" t="s">
        <v>6424</v>
      </c>
    </row>
    <row r="115" spans="1:27" x14ac:dyDescent="0.2">
      <c r="A115" s="5">
        <v>12</v>
      </c>
      <c r="B115" s="8" t="s">
        <v>9050</v>
      </c>
      <c r="C115" s="8" t="s">
        <v>6484</v>
      </c>
      <c r="D115" s="5">
        <f>259+19</f>
        <v>278</v>
      </c>
      <c r="E115" s="5" t="s">
        <v>21</v>
      </c>
      <c r="F115" s="5" t="s">
        <v>5970</v>
      </c>
      <c r="G115" s="5">
        <v>79</v>
      </c>
      <c r="H115" s="5" t="s">
        <v>81</v>
      </c>
      <c r="I115" s="5"/>
      <c r="J115" s="5"/>
      <c r="K115" s="5"/>
      <c r="L115" s="5"/>
      <c r="M115" s="5"/>
      <c r="N115" s="5"/>
      <c r="O115" t="s">
        <v>321</v>
      </c>
      <c r="AA115" s="8" t="s">
        <v>6424</v>
      </c>
    </row>
    <row r="116" spans="1:27" x14ac:dyDescent="0.2">
      <c r="A116" s="5">
        <v>13</v>
      </c>
      <c r="B116" s="8" t="s">
        <v>8896</v>
      </c>
      <c r="C116" s="8" t="s">
        <v>6492</v>
      </c>
      <c r="D116" s="5">
        <f>232-30</f>
        <v>202</v>
      </c>
      <c r="E116" s="5" t="s">
        <v>21</v>
      </c>
      <c r="F116" s="5" t="s">
        <v>5970</v>
      </c>
      <c r="G116" s="5">
        <v>79</v>
      </c>
      <c r="H116" s="5" t="s">
        <v>81</v>
      </c>
      <c r="I116" s="5"/>
      <c r="J116" s="5"/>
      <c r="K116" s="5"/>
      <c r="L116" s="5"/>
      <c r="M116" s="5"/>
      <c r="N116" s="5"/>
      <c r="O116" t="s">
        <v>321</v>
      </c>
      <c r="AA116" s="8" t="s">
        <v>6424</v>
      </c>
    </row>
    <row r="117" spans="1:27" x14ac:dyDescent="0.2">
      <c r="A117" s="5">
        <v>14</v>
      </c>
      <c r="B117" s="8" t="s">
        <v>10363</v>
      </c>
      <c r="C117" s="8" t="s">
        <v>6495</v>
      </c>
      <c r="D117" s="5">
        <v>368</v>
      </c>
      <c r="E117" s="5" t="s">
        <v>21</v>
      </c>
      <c r="F117" s="5" t="s">
        <v>5970</v>
      </c>
      <c r="G117" s="5">
        <v>79</v>
      </c>
      <c r="H117" s="5" t="s">
        <v>81</v>
      </c>
      <c r="I117" s="5"/>
      <c r="J117" s="5"/>
      <c r="K117" s="5" t="s">
        <v>6799</v>
      </c>
      <c r="L117" s="5"/>
      <c r="M117" s="5"/>
      <c r="N117" s="5"/>
      <c r="AA117" s="8" t="s">
        <v>6424</v>
      </c>
    </row>
    <row r="118" spans="1:27" x14ac:dyDescent="0.2">
      <c r="A118" s="5">
        <v>15</v>
      </c>
      <c r="B118" s="8" t="s">
        <v>10364</v>
      </c>
      <c r="C118" s="8" t="s">
        <v>9068</v>
      </c>
      <c r="D118" s="5">
        <f>694+150-6-6-60-60-200+3-60+20-6+46-100-4-4</f>
        <v>407</v>
      </c>
      <c r="E118" s="5" t="s">
        <v>21</v>
      </c>
      <c r="F118" s="5" t="s">
        <v>5970</v>
      </c>
      <c r="G118" s="5">
        <v>79</v>
      </c>
      <c r="H118" s="5" t="s">
        <v>81</v>
      </c>
      <c r="I118" s="5"/>
      <c r="J118" s="5"/>
      <c r="K118" s="5"/>
      <c r="L118" s="5"/>
      <c r="M118" s="5"/>
      <c r="N118" s="5"/>
      <c r="AA118" s="8" t="s">
        <v>6424</v>
      </c>
    </row>
    <row r="119" spans="1:27" x14ac:dyDescent="0.2">
      <c r="A119" s="5">
        <v>16</v>
      </c>
      <c r="B119" s="8" t="s">
        <v>6707</v>
      </c>
      <c r="C119" s="8" t="s">
        <v>10365</v>
      </c>
      <c r="D119" s="5">
        <f>150-60-60-30</f>
        <v>0</v>
      </c>
      <c r="E119" s="5" t="s">
        <v>21</v>
      </c>
      <c r="F119" s="5" t="s">
        <v>5970</v>
      </c>
      <c r="G119" s="5">
        <v>79</v>
      </c>
      <c r="H119" s="5" t="s">
        <v>81</v>
      </c>
      <c r="I119" s="5"/>
      <c r="J119" s="5"/>
      <c r="K119" s="107" t="s">
        <v>6776</v>
      </c>
      <c r="L119" s="5"/>
      <c r="M119" s="5"/>
      <c r="N119" s="5"/>
      <c r="AA119" s="8" t="s">
        <v>6424</v>
      </c>
    </row>
    <row r="120" spans="1:27" x14ac:dyDescent="0.2">
      <c r="A120" s="5">
        <v>17</v>
      </c>
      <c r="B120" s="8" t="s">
        <v>6499</v>
      </c>
      <c r="C120" s="8" t="s">
        <v>9069</v>
      </c>
      <c r="D120" s="5">
        <f>507-24+4-2-1-2-2-12-4-8-8-4-20-14</f>
        <v>410</v>
      </c>
      <c r="E120" s="5" t="s">
        <v>21</v>
      </c>
      <c r="F120" s="5" t="s">
        <v>5970</v>
      </c>
      <c r="G120" s="5">
        <v>79</v>
      </c>
      <c r="H120" s="5" t="s">
        <v>81</v>
      </c>
      <c r="I120" s="5"/>
      <c r="J120" s="5"/>
      <c r="K120" s="5"/>
      <c r="L120" s="5"/>
      <c r="M120" s="5"/>
      <c r="N120" s="5"/>
      <c r="AA120" s="8" t="s">
        <v>6424</v>
      </c>
    </row>
    <row r="121" spans="1:27" x14ac:dyDescent="0.2">
      <c r="A121" s="5">
        <v>18</v>
      </c>
      <c r="B121" s="8" t="s">
        <v>9075</v>
      </c>
      <c r="C121" s="8" t="s">
        <v>9076</v>
      </c>
      <c r="D121" s="5">
        <v>94</v>
      </c>
      <c r="E121" s="5" t="s">
        <v>21</v>
      </c>
      <c r="F121" s="5" t="s">
        <v>5970</v>
      </c>
      <c r="G121" s="5">
        <v>79</v>
      </c>
      <c r="H121" s="5" t="s">
        <v>81</v>
      </c>
      <c r="I121" s="5"/>
      <c r="J121" s="5"/>
      <c r="K121" s="5"/>
      <c r="L121" s="5"/>
      <c r="M121" s="5"/>
      <c r="N121" s="5"/>
      <c r="AA121" s="8" t="s">
        <v>6424</v>
      </c>
    </row>
    <row r="122" spans="1:27" x14ac:dyDescent="0.2">
      <c r="A122" s="5">
        <v>19</v>
      </c>
      <c r="B122" s="8" t="s">
        <v>9077</v>
      </c>
      <c r="C122" s="8" t="s">
        <v>9078</v>
      </c>
      <c r="D122" s="5">
        <f>9</f>
        <v>9</v>
      </c>
      <c r="E122" s="5" t="s">
        <v>21</v>
      </c>
      <c r="F122" s="5" t="s">
        <v>5970</v>
      </c>
      <c r="G122" s="5">
        <v>79</v>
      </c>
      <c r="H122" s="5" t="s">
        <v>81</v>
      </c>
      <c r="I122" s="5"/>
      <c r="J122" s="5"/>
      <c r="K122" s="131" t="s">
        <v>8981</v>
      </c>
      <c r="L122" s="5"/>
      <c r="M122" s="5"/>
      <c r="N122" s="5"/>
      <c r="AA122" s="8" t="s">
        <v>6424</v>
      </c>
    </row>
    <row r="123" spans="1:27" x14ac:dyDescent="0.2">
      <c r="A123" s="5">
        <v>20</v>
      </c>
      <c r="B123" s="8" t="s">
        <v>9052</v>
      </c>
      <c r="C123" s="8" t="s">
        <v>9053</v>
      </c>
      <c r="D123" s="5">
        <f>200-32-32-32-40</f>
        <v>64</v>
      </c>
      <c r="E123" s="5" t="s">
        <v>21</v>
      </c>
      <c r="F123" s="5" t="s">
        <v>5970</v>
      </c>
      <c r="G123" s="5">
        <v>79</v>
      </c>
      <c r="H123" s="5" t="s">
        <v>81</v>
      </c>
      <c r="I123" s="5"/>
      <c r="J123" s="5"/>
      <c r="K123" s="5"/>
      <c r="L123" s="5"/>
      <c r="M123" s="5"/>
      <c r="N123" s="5"/>
      <c r="AA123" s="8" t="s">
        <v>6424</v>
      </c>
    </row>
    <row r="124" spans="1:27" x14ac:dyDescent="0.2">
      <c r="A124" s="5">
        <v>21</v>
      </c>
      <c r="B124" s="8" t="s">
        <v>6626</v>
      </c>
      <c r="C124" s="8" t="s">
        <v>9055</v>
      </c>
      <c r="D124" s="5">
        <f>93-40-10+388-60-60-40-1-40-4-4+29-20-4-4-16-4-4</f>
        <v>199</v>
      </c>
      <c r="E124" s="5" t="s">
        <v>21</v>
      </c>
      <c r="F124" s="5" t="s">
        <v>5970</v>
      </c>
      <c r="G124" s="5">
        <v>79</v>
      </c>
      <c r="H124" s="5" t="s">
        <v>81</v>
      </c>
      <c r="I124" s="5"/>
      <c r="J124" s="5"/>
      <c r="K124" s="5"/>
      <c r="L124" s="5"/>
      <c r="M124" s="5"/>
      <c r="N124" s="5"/>
      <c r="AA124" s="8" t="s">
        <v>6424</v>
      </c>
    </row>
    <row r="125" spans="1:27" x14ac:dyDescent="0.2">
      <c r="A125" s="5">
        <v>22</v>
      </c>
      <c r="B125" s="8" t="s">
        <v>6628</v>
      </c>
      <c r="C125" s="8" t="s">
        <v>9057</v>
      </c>
      <c r="D125" s="5">
        <f>489-8-6-4+434-3-36-48-9-3-4-9+1-64-32-2-4-32-24-6-24-63-4-8-8+1-32-16-40-8-4-4-2-4-12-8-6+41-32-48-8-2-8-40-80-12-88-8-66-32+500-56-21-48-27</f>
        <v>353</v>
      </c>
      <c r="E125" s="5" t="s">
        <v>21</v>
      </c>
      <c r="F125" s="5" t="s">
        <v>5970</v>
      </c>
      <c r="G125" s="5">
        <v>79</v>
      </c>
      <c r="H125" s="5" t="s">
        <v>81</v>
      </c>
      <c r="I125" s="5"/>
      <c r="J125" s="5"/>
      <c r="K125" s="5"/>
      <c r="L125" s="5"/>
      <c r="M125" s="5"/>
      <c r="N125" s="5"/>
      <c r="AA125" s="8" t="s">
        <v>6424</v>
      </c>
    </row>
    <row r="126" spans="1:27" x14ac:dyDescent="0.2">
      <c r="A126" s="5">
        <v>23</v>
      </c>
      <c r="B126" s="8" t="s">
        <v>8912</v>
      </c>
      <c r="C126" s="8" t="s">
        <v>9059</v>
      </c>
      <c r="D126" s="5">
        <f>198-2-4-24-20-16-2</f>
        <v>130</v>
      </c>
      <c r="E126" s="5" t="s">
        <v>21</v>
      </c>
      <c r="F126" s="5" t="s">
        <v>5970</v>
      </c>
      <c r="G126" s="5">
        <v>79</v>
      </c>
      <c r="H126" s="5" t="s">
        <v>81</v>
      </c>
      <c r="I126" s="5"/>
      <c r="J126" s="5"/>
      <c r="K126" s="5"/>
      <c r="L126" s="5"/>
      <c r="M126" s="5"/>
      <c r="N126" s="5"/>
      <c r="AA126" s="8" t="s">
        <v>6424</v>
      </c>
    </row>
    <row r="127" spans="1:27" x14ac:dyDescent="0.2">
      <c r="A127" s="5">
        <v>24</v>
      </c>
      <c r="B127" s="8" t="s">
        <v>6630</v>
      </c>
      <c r="C127" s="8" t="s">
        <v>9061</v>
      </c>
      <c r="D127" s="5">
        <f>50</f>
        <v>50</v>
      </c>
      <c r="E127" s="5" t="s">
        <v>21</v>
      </c>
      <c r="F127" s="5" t="s">
        <v>5970</v>
      </c>
      <c r="G127" s="5">
        <v>79</v>
      </c>
      <c r="H127" s="5" t="s">
        <v>81</v>
      </c>
      <c r="I127" s="5"/>
      <c r="J127" s="5"/>
      <c r="K127" s="107" t="s">
        <v>6776</v>
      </c>
      <c r="L127" s="5"/>
      <c r="M127" s="5"/>
      <c r="N127" s="5"/>
      <c r="AA127" s="8" t="s">
        <v>6424</v>
      </c>
    </row>
    <row r="128" spans="1:27" x14ac:dyDescent="0.2">
      <c r="A128" s="5">
        <v>25</v>
      </c>
      <c r="B128" s="8" t="s">
        <v>6632</v>
      </c>
      <c r="C128" s="8" t="s">
        <v>9062</v>
      </c>
      <c r="D128" s="5">
        <f>380-1-12-30-1-1-1-4-16-1-4-8-48-1-24-24-2-6+50-32-4-48-8-16+34-8-4-4-2-48-32-48-12+48-48+500-42+8-8-10-8-12-12+8-48-6-32-12-14-16-2-1-80-8-44-44-16</f>
        <v>115</v>
      </c>
      <c r="E128" s="5" t="s">
        <v>21</v>
      </c>
      <c r="F128" s="5" t="s">
        <v>5970</v>
      </c>
      <c r="G128" s="5">
        <v>79</v>
      </c>
      <c r="H128" s="5" t="s">
        <v>81</v>
      </c>
      <c r="I128" s="5"/>
      <c r="J128" s="5"/>
      <c r="K128" s="5"/>
      <c r="L128" s="5"/>
      <c r="M128" s="5"/>
      <c r="N128" s="5"/>
      <c r="AA128" s="8" t="s">
        <v>6424</v>
      </c>
    </row>
    <row r="129" spans="1:27" x14ac:dyDescent="0.2">
      <c r="A129" s="5">
        <v>26</v>
      </c>
      <c r="B129" s="8" t="s">
        <v>9064</v>
      </c>
      <c r="C129" s="8" t="s">
        <v>9065</v>
      </c>
      <c r="D129" s="5">
        <v>50</v>
      </c>
      <c r="E129" s="5" t="s">
        <v>21</v>
      </c>
      <c r="F129" s="5" t="s">
        <v>5970</v>
      </c>
      <c r="G129" s="5">
        <v>79</v>
      </c>
      <c r="H129" s="5" t="s">
        <v>81</v>
      </c>
      <c r="I129" s="5"/>
      <c r="J129" s="5"/>
      <c r="K129" s="5" t="s">
        <v>9067</v>
      </c>
      <c r="L129" s="5"/>
      <c r="M129" s="5"/>
      <c r="N129" s="5"/>
      <c r="AA129" s="8" t="s">
        <v>6424</v>
      </c>
    </row>
    <row r="130" spans="1:27" x14ac:dyDescent="0.2">
      <c r="A130" s="5">
        <v>27</v>
      </c>
      <c r="B130" s="8" t="s">
        <v>6422</v>
      </c>
      <c r="C130" s="8" t="s">
        <v>6423</v>
      </c>
      <c r="D130" s="5">
        <v>141</v>
      </c>
      <c r="E130" s="5" t="s">
        <v>21</v>
      </c>
      <c r="F130" s="5" t="s">
        <v>5970</v>
      </c>
      <c r="G130" s="5">
        <v>79</v>
      </c>
      <c r="H130" s="5" t="s">
        <v>81</v>
      </c>
      <c r="I130" s="5"/>
      <c r="J130" s="5"/>
      <c r="K130" s="5"/>
      <c r="L130" s="5"/>
      <c r="M130" s="5"/>
      <c r="N130" s="5"/>
      <c r="O130" t="s">
        <v>321</v>
      </c>
      <c r="AA130" s="8" t="s">
        <v>6424</v>
      </c>
    </row>
    <row r="131" spans="1:27" ht="17.25" customHeight="1" x14ac:dyDescent="0.2">
      <c r="A131" s="5">
        <v>28</v>
      </c>
      <c r="B131" s="8" t="s">
        <v>6425</v>
      </c>
      <c r="C131" s="8" t="s">
        <v>6426</v>
      </c>
      <c r="D131" s="5">
        <v>1049</v>
      </c>
      <c r="E131" s="5" t="s">
        <v>21</v>
      </c>
      <c r="F131" s="5" t="s">
        <v>5970</v>
      </c>
      <c r="G131" s="5">
        <v>79</v>
      </c>
      <c r="H131" s="5" t="s">
        <v>81</v>
      </c>
      <c r="I131" s="5"/>
      <c r="J131" s="5"/>
      <c r="K131" s="5"/>
      <c r="L131" s="5"/>
      <c r="M131" s="5"/>
      <c r="N131" s="5"/>
      <c r="AA131" s="8" t="s">
        <v>6424</v>
      </c>
    </row>
    <row r="132" spans="1:27" x14ac:dyDescent="0.2">
      <c r="A132" s="5">
        <v>29</v>
      </c>
      <c r="B132" s="8" t="s">
        <v>6427</v>
      </c>
      <c r="C132" s="8" t="s">
        <v>6428</v>
      </c>
      <c r="D132" s="5">
        <f>185-6-6-6-24-5-6-3-2-2+16-8-8-16-2-2-42-2-2+500-6-10-2-4+10-2-32-2-2-2-2+4-10-8-16-9-2-8-2-8-44-2-8-2-2-14-16-8</f>
        <v>350</v>
      </c>
      <c r="E132" s="5" t="s">
        <v>21</v>
      </c>
      <c r="F132" s="5" t="s">
        <v>5970</v>
      </c>
      <c r="G132" s="5">
        <v>79</v>
      </c>
      <c r="H132" s="5" t="s">
        <v>81</v>
      </c>
      <c r="I132" s="5"/>
      <c r="J132" s="5"/>
      <c r="K132" s="107" t="s">
        <v>6429</v>
      </c>
      <c r="L132" s="5"/>
      <c r="M132" s="5"/>
      <c r="N132" s="5"/>
      <c r="AA132" s="8" t="s">
        <v>6424</v>
      </c>
    </row>
    <row r="133" spans="1:27" x14ac:dyDescent="0.2">
      <c r="A133" s="5">
        <v>30</v>
      </c>
      <c r="B133" s="8" t="s">
        <v>6430</v>
      </c>
      <c r="C133" s="8" t="s">
        <v>6431</v>
      </c>
      <c r="D133" s="5">
        <f>1000-24</f>
        <v>976</v>
      </c>
      <c r="E133" s="5" t="s">
        <v>21</v>
      </c>
      <c r="F133" s="5" t="s">
        <v>5970</v>
      </c>
      <c r="G133" s="5">
        <v>79</v>
      </c>
      <c r="H133" s="5" t="s">
        <v>81</v>
      </c>
      <c r="I133" s="5"/>
      <c r="J133" s="5"/>
      <c r="K133" s="5" t="s">
        <v>6432</v>
      </c>
      <c r="L133" s="5"/>
      <c r="M133" s="5"/>
      <c r="N133" s="5"/>
      <c r="AA133" s="8" t="s">
        <v>6424</v>
      </c>
    </row>
    <row r="134" spans="1:27" x14ac:dyDescent="0.2">
      <c r="A134" s="5">
        <v>31</v>
      </c>
      <c r="B134" s="8" t="s">
        <v>6433</v>
      </c>
      <c r="C134" s="8" t="s">
        <v>6434</v>
      </c>
      <c r="D134" s="5">
        <f>1103-8-44-37-88-7-50-2-20-8-2-96-1-650+56+158</f>
        <v>304</v>
      </c>
      <c r="E134" s="5" t="s">
        <v>21</v>
      </c>
      <c r="F134" s="5" t="s">
        <v>5970</v>
      </c>
      <c r="G134" s="5">
        <v>79</v>
      </c>
      <c r="H134" s="5" t="s">
        <v>81</v>
      </c>
      <c r="I134" s="5"/>
      <c r="J134" s="5"/>
      <c r="K134" s="5"/>
      <c r="L134" s="5"/>
      <c r="M134" s="5"/>
      <c r="N134" s="5"/>
      <c r="AA134" s="8" t="s">
        <v>6424</v>
      </c>
    </row>
    <row r="135" spans="1:27" x14ac:dyDescent="0.2">
      <c r="A135" s="5">
        <v>32</v>
      </c>
      <c r="B135" s="8" t="s">
        <v>6436</v>
      </c>
      <c r="C135" s="8" t="s">
        <v>6437</v>
      </c>
      <c r="D135" s="5">
        <f>18-12+100-24-6-4-4</f>
        <v>68</v>
      </c>
      <c r="E135" s="5" t="s">
        <v>21</v>
      </c>
      <c r="F135" s="5" t="s">
        <v>5970</v>
      </c>
      <c r="G135" s="5">
        <v>79</v>
      </c>
      <c r="H135" s="5" t="s">
        <v>81</v>
      </c>
      <c r="I135" s="5"/>
      <c r="J135" s="5"/>
      <c r="K135" s="5"/>
      <c r="L135" s="5"/>
      <c r="M135" s="5"/>
      <c r="N135" s="5"/>
      <c r="AA135" s="8" t="s">
        <v>6424</v>
      </c>
    </row>
    <row r="136" spans="1:27" x14ac:dyDescent="0.2">
      <c r="A136" s="5">
        <v>33</v>
      </c>
      <c r="B136" s="8" t="s">
        <v>6438</v>
      </c>
      <c r="C136" s="8" t="s">
        <v>6439</v>
      </c>
      <c r="D136" s="5">
        <f>196-1-8-48-96-32+62-17+1-6+40-6+1-1-1-1-1-12-3-1-2-1-2-16-4-16-16-6</f>
        <v>3</v>
      </c>
      <c r="E136" s="5" t="s">
        <v>21</v>
      </c>
      <c r="F136" s="5" t="s">
        <v>5970</v>
      </c>
      <c r="G136" s="5">
        <v>79</v>
      </c>
      <c r="H136" s="5" t="s">
        <v>81</v>
      </c>
      <c r="I136" s="5"/>
      <c r="J136" s="5"/>
      <c r="K136" s="5"/>
      <c r="L136" s="5"/>
      <c r="M136" s="5"/>
      <c r="N136" s="5"/>
      <c r="AA136" s="8" t="s">
        <v>6424</v>
      </c>
    </row>
    <row r="137" spans="1:27" x14ac:dyDescent="0.2">
      <c r="A137" s="5">
        <v>34</v>
      </c>
      <c r="B137" s="8" t="s">
        <v>6441</v>
      </c>
      <c r="C137" s="8" t="s">
        <v>6442</v>
      </c>
      <c r="D137" s="5">
        <f>95-4+4-4</f>
        <v>91</v>
      </c>
      <c r="E137" s="5" t="s">
        <v>21</v>
      </c>
      <c r="F137" s="5" t="s">
        <v>5970</v>
      </c>
      <c r="G137" s="5">
        <v>79</v>
      </c>
      <c r="H137" s="5" t="s">
        <v>81</v>
      </c>
      <c r="I137" s="5"/>
      <c r="J137" s="5"/>
      <c r="K137" s="5"/>
      <c r="L137" s="5"/>
      <c r="M137" s="5"/>
      <c r="N137" s="5"/>
      <c r="AA137" s="8" t="s">
        <v>6424</v>
      </c>
    </row>
    <row r="138" spans="1:27" x14ac:dyDescent="0.2">
      <c r="A138" s="5">
        <v>35</v>
      </c>
      <c r="B138" s="8" t="s">
        <v>6443</v>
      </c>
      <c r="C138" s="8" t="s">
        <v>6444</v>
      </c>
      <c r="D138" s="5">
        <f>57-3-3</f>
        <v>51</v>
      </c>
      <c r="E138" s="5" t="s">
        <v>21</v>
      </c>
      <c r="F138" s="5" t="s">
        <v>5970</v>
      </c>
      <c r="G138" s="5">
        <v>79</v>
      </c>
      <c r="H138" s="5" t="s">
        <v>81</v>
      </c>
      <c r="I138" s="5"/>
      <c r="J138" s="5"/>
      <c r="K138" s="5"/>
      <c r="L138" s="5"/>
      <c r="M138" s="5"/>
      <c r="N138" s="5"/>
      <c r="AA138" s="8" t="s">
        <v>6424</v>
      </c>
    </row>
    <row r="139" spans="1:27" x14ac:dyDescent="0.2">
      <c r="A139" s="5">
        <v>36</v>
      </c>
      <c r="B139" s="8" t="s">
        <v>6445</v>
      </c>
      <c r="C139" s="8" t="s">
        <v>6446</v>
      </c>
      <c r="D139" s="5">
        <f>33-4-4-1</f>
        <v>24</v>
      </c>
      <c r="E139" s="5" t="s">
        <v>21</v>
      </c>
      <c r="F139" s="5" t="s">
        <v>5970</v>
      </c>
      <c r="G139" s="5">
        <v>79</v>
      </c>
      <c r="H139" s="5" t="s">
        <v>81</v>
      </c>
      <c r="I139" s="5"/>
      <c r="J139" s="5"/>
      <c r="K139" s="5"/>
      <c r="L139" s="5"/>
      <c r="M139" s="5"/>
      <c r="N139" s="5"/>
      <c r="AA139" s="8" t="s">
        <v>6424</v>
      </c>
    </row>
    <row r="140" spans="1:27" x14ac:dyDescent="0.2">
      <c r="A140" s="5">
        <v>37</v>
      </c>
      <c r="B140" s="8" t="s">
        <v>6447</v>
      </c>
      <c r="C140" s="8" t="s">
        <v>6448</v>
      </c>
      <c r="D140" s="5">
        <f>52+120-2-2</f>
        <v>168</v>
      </c>
      <c r="E140" s="5" t="s">
        <v>21</v>
      </c>
      <c r="F140" s="5" t="s">
        <v>5970</v>
      </c>
      <c r="G140" s="5">
        <v>79</v>
      </c>
      <c r="H140" s="5" t="s">
        <v>81</v>
      </c>
      <c r="I140" s="5"/>
      <c r="J140" s="5"/>
      <c r="K140" s="5"/>
      <c r="L140" s="5"/>
      <c r="M140" s="5"/>
      <c r="N140" s="5"/>
      <c r="AA140" s="8" t="s">
        <v>6424</v>
      </c>
    </row>
    <row r="141" spans="1:27" s="174" customFormat="1" x14ac:dyDescent="0.2">
      <c r="A141" s="176" t="s">
        <v>6449</v>
      </c>
      <c r="B141" s="175" t="s">
        <v>10366</v>
      </c>
      <c r="C141" s="175" t="s">
        <v>81</v>
      </c>
      <c r="D141" s="176"/>
      <c r="E141" s="176"/>
      <c r="F141" s="176"/>
      <c r="G141" s="176"/>
      <c r="H141" s="167" t="s">
        <v>81</v>
      </c>
      <c r="I141" s="176"/>
      <c r="J141" s="176"/>
      <c r="K141" s="176"/>
      <c r="L141" s="176"/>
      <c r="M141" s="176"/>
      <c r="N141" s="176"/>
      <c r="AA141" s="140"/>
    </row>
    <row r="142" spans="1:27" x14ac:dyDescent="0.2">
      <c r="A142" s="5">
        <v>1</v>
      </c>
      <c r="B142" s="8" t="s">
        <v>6450</v>
      </c>
      <c r="C142" s="8" t="s">
        <v>6451</v>
      </c>
      <c r="D142" s="5">
        <f>215-2-4-24-24-16+4-2+10-3+1-2-20-15-6-3+2</f>
        <v>111</v>
      </c>
      <c r="E142" s="5" t="s">
        <v>21</v>
      </c>
      <c r="F142" s="5" t="s">
        <v>5970</v>
      </c>
      <c r="G142" s="5">
        <v>80</v>
      </c>
      <c r="H142" s="5" t="s">
        <v>81</v>
      </c>
      <c r="I142" s="5"/>
      <c r="J142" s="5"/>
      <c r="K142" s="5"/>
      <c r="L142" s="5"/>
      <c r="M142" s="5"/>
      <c r="N142" s="5"/>
      <c r="AA142" s="8" t="s">
        <v>6424</v>
      </c>
    </row>
    <row r="143" spans="1:27" x14ac:dyDescent="0.2">
      <c r="A143" s="5">
        <v>2</v>
      </c>
      <c r="B143" s="8" t="s">
        <v>6452</v>
      </c>
      <c r="C143" s="8" t="s">
        <v>6453</v>
      </c>
      <c r="D143" s="5">
        <f>193-4-20-4-2-44-74</f>
        <v>45</v>
      </c>
      <c r="E143" s="5" t="s">
        <v>21</v>
      </c>
      <c r="F143" s="5" t="s">
        <v>5970</v>
      </c>
      <c r="G143" s="5">
        <v>80</v>
      </c>
      <c r="H143" s="5" t="s">
        <v>81</v>
      </c>
      <c r="I143" s="5"/>
      <c r="J143" s="5"/>
      <c r="K143" s="5"/>
      <c r="L143" s="5"/>
      <c r="M143" s="5"/>
      <c r="N143" s="5"/>
      <c r="AA143" s="8" t="s">
        <v>6424</v>
      </c>
    </row>
    <row r="144" spans="1:27" x14ac:dyDescent="0.2">
      <c r="A144" s="5">
        <v>3</v>
      </c>
      <c r="B144" s="8" t="s">
        <v>6458</v>
      </c>
      <c r="C144" s="8" t="s">
        <v>6459</v>
      </c>
      <c r="D144" s="5">
        <f>118-18-48-48+31</f>
        <v>35</v>
      </c>
      <c r="E144" s="5" t="s">
        <v>21</v>
      </c>
      <c r="F144" s="5" t="s">
        <v>5970</v>
      </c>
      <c r="G144" s="5">
        <v>80</v>
      </c>
      <c r="H144" s="5" t="s">
        <v>81</v>
      </c>
      <c r="I144" s="5"/>
      <c r="J144" s="5"/>
      <c r="K144" s="5"/>
      <c r="L144" s="5"/>
      <c r="M144" s="5"/>
      <c r="N144" s="5"/>
      <c r="AA144" s="8" t="s">
        <v>6424</v>
      </c>
    </row>
    <row r="145" spans="1:27" x14ac:dyDescent="0.2">
      <c r="A145" s="5">
        <v>4</v>
      </c>
      <c r="B145" s="8" t="s">
        <v>6460</v>
      </c>
      <c r="C145" s="8" t="s">
        <v>6461</v>
      </c>
      <c r="D145" s="5">
        <f>925-20-6-6-14-4-56-8-8-8-44-44-308-8-16-4-8-12-100-221+200-4</f>
        <v>226</v>
      </c>
      <c r="E145" s="5" t="s">
        <v>21</v>
      </c>
      <c r="F145" s="5" t="s">
        <v>5970</v>
      </c>
      <c r="G145" s="5">
        <v>80</v>
      </c>
      <c r="H145" s="5" t="s">
        <v>81</v>
      </c>
      <c r="I145" s="5"/>
      <c r="J145" s="5"/>
      <c r="K145" s="107" t="s">
        <v>6462</v>
      </c>
      <c r="L145" s="5"/>
      <c r="M145" s="5"/>
      <c r="N145" s="5"/>
      <c r="AA145" s="8" t="s">
        <v>6424</v>
      </c>
    </row>
    <row r="146" spans="1:27" x14ac:dyDescent="0.2">
      <c r="A146" s="5">
        <v>5</v>
      </c>
      <c r="B146" s="8" t="s">
        <v>6463</v>
      </c>
      <c r="C146" s="8" t="s">
        <v>6464</v>
      </c>
      <c r="D146" s="5">
        <f>138-120-5-4-2</f>
        <v>7</v>
      </c>
      <c r="E146" s="5" t="s">
        <v>21</v>
      </c>
      <c r="F146" s="5" t="s">
        <v>5970</v>
      </c>
      <c r="G146" s="5">
        <v>80</v>
      </c>
      <c r="H146" s="5" t="s">
        <v>81</v>
      </c>
      <c r="I146" s="5"/>
      <c r="J146" s="5"/>
      <c r="K146" s="5"/>
      <c r="L146" s="5"/>
      <c r="M146" s="5"/>
      <c r="N146" s="5"/>
      <c r="AA146" s="8" t="s">
        <v>6424</v>
      </c>
    </row>
    <row r="147" spans="1:27" x14ac:dyDescent="0.2">
      <c r="A147" s="5">
        <v>6</v>
      </c>
      <c r="B147" s="8" t="s">
        <v>6467</v>
      </c>
      <c r="C147" s="8" t="s">
        <v>6468</v>
      </c>
      <c r="D147" s="5">
        <f>45+100</f>
        <v>145</v>
      </c>
      <c r="E147" s="5" t="s">
        <v>21</v>
      </c>
      <c r="F147" s="5" t="s">
        <v>5970</v>
      </c>
      <c r="G147" s="5">
        <v>80</v>
      </c>
      <c r="H147" s="5" t="s">
        <v>81</v>
      </c>
      <c r="I147" s="5"/>
      <c r="J147" s="5"/>
      <c r="K147" s="5"/>
      <c r="L147" s="5"/>
      <c r="M147" s="5"/>
      <c r="N147" s="5"/>
      <c r="AA147" s="8" t="s">
        <v>6424</v>
      </c>
    </row>
    <row r="148" spans="1:27" x14ac:dyDescent="0.2">
      <c r="A148" s="5">
        <v>7</v>
      </c>
      <c r="B148" s="8" t="s">
        <v>6469</v>
      </c>
      <c r="C148" s="8" t="s">
        <v>6470</v>
      </c>
      <c r="D148" s="5">
        <f>50-14</f>
        <v>36</v>
      </c>
      <c r="E148" s="5" t="s">
        <v>21</v>
      </c>
      <c r="F148" s="5" t="s">
        <v>5970</v>
      </c>
      <c r="G148" s="5">
        <v>80</v>
      </c>
      <c r="H148" s="5" t="s">
        <v>81</v>
      </c>
      <c r="I148" s="5"/>
      <c r="J148" s="5"/>
      <c r="K148" s="5"/>
      <c r="L148" s="5"/>
      <c r="M148" s="5"/>
      <c r="N148" s="5"/>
      <c r="AA148" s="8" t="s">
        <v>6424</v>
      </c>
    </row>
    <row r="149" spans="1:27" x14ac:dyDescent="0.2">
      <c r="A149" s="5">
        <v>8</v>
      </c>
      <c r="B149" s="8" t="s">
        <v>6471</v>
      </c>
      <c r="C149" s="8" t="s">
        <v>6472</v>
      </c>
      <c r="D149" s="5">
        <f>50-14</f>
        <v>36</v>
      </c>
      <c r="E149" s="5" t="s">
        <v>21</v>
      </c>
      <c r="F149" s="5" t="s">
        <v>5970</v>
      </c>
      <c r="G149" s="5">
        <v>80</v>
      </c>
      <c r="H149" s="5" t="s">
        <v>81</v>
      </c>
      <c r="I149" s="5"/>
      <c r="J149" s="5"/>
      <c r="K149" s="5"/>
      <c r="L149" s="5"/>
      <c r="M149" s="5"/>
      <c r="N149" s="5"/>
      <c r="AA149" s="8" t="s">
        <v>6424</v>
      </c>
    </row>
    <row r="150" spans="1:27" x14ac:dyDescent="0.2">
      <c r="A150" s="5">
        <v>9</v>
      </c>
      <c r="B150" s="8" t="s">
        <v>6473</v>
      </c>
      <c r="C150" s="8" t="s">
        <v>6474</v>
      </c>
      <c r="D150" s="5">
        <f>75+18-1-1-1</f>
        <v>90</v>
      </c>
      <c r="E150" s="5" t="s">
        <v>21</v>
      </c>
      <c r="F150" s="5" t="s">
        <v>5970</v>
      </c>
      <c r="G150" s="5">
        <v>80</v>
      </c>
      <c r="H150" s="5" t="s">
        <v>81</v>
      </c>
      <c r="I150" s="5"/>
      <c r="J150" s="5"/>
      <c r="K150" s="5"/>
      <c r="L150" s="5"/>
      <c r="M150" s="5"/>
      <c r="N150" s="5"/>
      <c r="AA150" s="8" t="s">
        <v>6424</v>
      </c>
    </row>
    <row r="151" spans="1:27" x14ac:dyDescent="0.2">
      <c r="A151" s="5">
        <v>10</v>
      </c>
      <c r="B151" s="8" t="s">
        <v>6476</v>
      </c>
      <c r="C151" s="8" t="s">
        <v>6477</v>
      </c>
      <c r="D151" s="5">
        <f>268+4+64-4</f>
        <v>332</v>
      </c>
      <c r="E151" s="5" t="s">
        <v>21</v>
      </c>
      <c r="F151" s="5" t="s">
        <v>5970</v>
      </c>
      <c r="G151" s="5">
        <v>80</v>
      </c>
      <c r="H151" s="5" t="s">
        <v>81</v>
      </c>
      <c r="I151" s="5"/>
      <c r="J151" s="5"/>
      <c r="K151" s="5"/>
      <c r="L151" s="5"/>
      <c r="M151" s="5"/>
      <c r="N151" s="5"/>
      <c r="AA151" s="8" t="s">
        <v>6424</v>
      </c>
    </row>
    <row r="152" spans="1:27" x14ac:dyDescent="0.2">
      <c r="A152" s="5">
        <v>11</v>
      </c>
      <c r="B152" s="8" t="s">
        <v>6481</v>
      </c>
      <c r="C152" s="8" t="s">
        <v>6482</v>
      </c>
      <c r="D152" s="5">
        <v>131</v>
      </c>
      <c r="E152" s="5" t="s">
        <v>21</v>
      </c>
      <c r="F152" s="5" t="s">
        <v>5970</v>
      </c>
      <c r="G152" s="5">
        <v>80</v>
      </c>
      <c r="H152" s="5" t="s">
        <v>81</v>
      </c>
      <c r="I152" s="5"/>
      <c r="J152" s="5"/>
      <c r="K152" s="5"/>
      <c r="L152" s="5"/>
      <c r="M152" s="5"/>
      <c r="N152" s="5"/>
      <c r="AA152" s="8" t="s">
        <v>6424</v>
      </c>
    </row>
    <row r="153" spans="1:27" x14ac:dyDescent="0.2">
      <c r="A153" s="5">
        <v>12</v>
      </c>
      <c r="B153" s="8" t="s">
        <v>6483</v>
      </c>
      <c r="C153" s="8" t="s">
        <v>6484</v>
      </c>
      <c r="D153" s="5">
        <f>13-7</f>
        <v>6</v>
      </c>
      <c r="E153" s="5" t="s">
        <v>21</v>
      </c>
      <c r="F153" s="5" t="s">
        <v>5970</v>
      </c>
      <c r="G153" s="5">
        <v>80</v>
      </c>
      <c r="H153" s="5" t="s">
        <v>81</v>
      </c>
      <c r="I153" s="5"/>
      <c r="J153" s="5"/>
      <c r="K153" s="107" t="s">
        <v>6486</v>
      </c>
      <c r="L153" s="5"/>
      <c r="M153" s="5"/>
      <c r="N153" s="5"/>
      <c r="AA153" s="8" t="s">
        <v>6485</v>
      </c>
    </row>
    <row r="154" spans="1:27" x14ac:dyDescent="0.2">
      <c r="A154" s="5">
        <v>13</v>
      </c>
      <c r="B154" s="8" t="s">
        <v>6491</v>
      </c>
      <c r="C154" s="8" t="s">
        <v>6492</v>
      </c>
      <c r="D154" s="5">
        <f>50-4</f>
        <v>46</v>
      </c>
      <c r="E154" s="5" t="s">
        <v>21</v>
      </c>
      <c r="F154" s="5" t="s">
        <v>5970</v>
      </c>
      <c r="G154" s="5">
        <v>80</v>
      </c>
      <c r="H154" s="5" t="s">
        <v>81</v>
      </c>
      <c r="I154" s="5"/>
      <c r="J154" s="5"/>
      <c r="K154" s="107" t="s">
        <v>6486</v>
      </c>
      <c r="L154" s="5"/>
      <c r="M154" s="5"/>
      <c r="N154" s="5"/>
      <c r="AA154" s="8" t="s">
        <v>6493</v>
      </c>
    </row>
    <row r="155" spans="1:27" x14ac:dyDescent="0.2">
      <c r="A155" s="5">
        <v>14</v>
      </c>
      <c r="B155" s="8" t="s">
        <v>6494</v>
      </c>
      <c r="C155" s="8" t="s">
        <v>6495</v>
      </c>
      <c r="D155" s="5">
        <v>42</v>
      </c>
      <c r="E155" s="5" t="s">
        <v>21</v>
      </c>
      <c r="F155" s="5" t="s">
        <v>5970</v>
      </c>
      <c r="G155" s="5">
        <v>80</v>
      </c>
      <c r="H155" s="5" t="s">
        <v>81</v>
      </c>
      <c r="I155" s="5"/>
      <c r="J155" s="5"/>
      <c r="K155" s="5"/>
      <c r="L155" s="5"/>
      <c r="M155" s="5"/>
      <c r="N155" s="5"/>
      <c r="AA155" s="8" t="s">
        <v>6493</v>
      </c>
    </row>
    <row r="156" spans="1:27" s="174" customFormat="1" x14ac:dyDescent="0.2">
      <c r="A156" s="176" t="s">
        <v>6475</v>
      </c>
      <c r="B156" s="175" t="s">
        <v>6676</v>
      </c>
      <c r="C156" s="175" t="s">
        <v>81</v>
      </c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AA156" s="140"/>
    </row>
    <row r="157" spans="1:27" x14ac:dyDescent="0.2">
      <c r="A157" s="5">
        <v>1</v>
      </c>
      <c r="B157" s="8" t="s">
        <v>6679</v>
      </c>
      <c r="C157" s="8" t="s">
        <v>6451</v>
      </c>
      <c r="D157" s="5">
        <f>95</f>
        <v>95</v>
      </c>
      <c r="E157" s="5" t="s">
        <v>21</v>
      </c>
      <c r="F157" s="5" t="s">
        <v>5970</v>
      </c>
      <c r="G157" s="5">
        <v>81</v>
      </c>
      <c r="H157" s="5" t="s">
        <v>81</v>
      </c>
      <c r="I157" s="5"/>
      <c r="J157" s="5"/>
      <c r="K157" s="5"/>
      <c r="L157" s="5"/>
      <c r="M157" s="5"/>
      <c r="N157" s="5"/>
      <c r="AA157" s="8" t="s">
        <v>6493</v>
      </c>
    </row>
    <row r="158" spans="1:27" x14ac:dyDescent="0.2">
      <c r="A158" s="5">
        <v>2</v>
      </c>
      <c r="B158" s="8" t="s">
        <v>6514</v>
      </c>
      <c r="C158" s="8" t="s">
        <v>6453</v>
      </c>
      <c r="D158" s="5">
        <f>12+50-8-32-19</f>
        <v>3</v>
      </c>
      <c r="E158" s="5" t="s">
        <v>21</v>
      </c>
      <c r="F158" s="5" t="s">
        <v>5970</v>
      </c>
      <c r="G158" s="5">
        <v>81</v>
      </c>
      <c r="H158" s="5" t="s">
        <v>81</v>
      </c>
      <c r="I158" s="5"/>
      <c r="J158" s="5"/>
      <c r="K158" s="107" t="s">
        <v>6486</v>
      </c>
      <c r="L158" s="5"/>
      <c r="M158" s="5"/>
      <c r="N158" s="5"/>
      <c r="AA158" s="8" t="s">
        <v>6493</v>
      </c>
    </row>
    <row r="159" spans="1:27" x14ac:dyDescent="0.2">
      <c r="A159" s="5">
        <v>3</v>
      </c>
      <c r="B159" s="8" t="s">
        <v>9079</v>
      </c>
      <c r="C159" s="8" t="s">
        <v>6459</v>
      </c>
      <c r="D159" s="5">
        <f>4</f>
        <v>4</v>
      </c>
      <c r="E159" s="5" t="s">
        <v>21</v>
      </c>
      <c r="F159" s="5" t="s">
        <v>5970</v>
      </c>
      <c r="G159" s="5">
        <v>81</v>
      </c>
      <c r="H159" s="5" t="s">
        <v>81</v>
      </c>
      <c r="I159" s="5"/>
      <c r="J159" s="5"/>
      <c r="K159" s="107" t="s">
        <v>6486</v>
      </c>
      <c r="L159" s="5"/>
      <c r="M159" s="5"/>
      <c r="N159" s="5"/>
      <c r="AA159" s="8" t="s">
        <v>6493</v>
      </c>
    </row>
    <row r="160" spans="1:27" x14ac:dyDescent="0.2">
      <c r="A160" s="5">
        <v>4</v>
      </c>
      <c r="B160" s="8" t="s">
        <v>6684</v>
      </c>
      <c r="C160" s="8" t="s">
        <v>6461</v>
      </c>
      <c r="D160" s="5">
        <f>47-3-3-3-3</f>
        <v>35</v>
      </c>
      <c r="E160" s="5" t="s">
        <v>21</v>
      </c>
      <c r="F160" s="5" t="s">
        <v>5970</v>
      </c>
      <c r="G160" s="5">
        <v>81</v>
      </c>
      <c r="H160" s="5" t="s">
        <v>81</v>
      </c>
      <c r="I160" s="5"/>
      <c r="J160" s="5"/>
      <c r="K160" s="5"/>
      <c r="L160" s="5"/>
      <c r="M160" s="5"/>
      <c r="N160" s="5"/>
      <c r="AA160" s="8" t="s">
        <v>6493</v>
      </c>
    </row>
    <row r="161" spans="1:27" x14ac:dyDescent="0.2">
      <c r="A161" s="5">
        <v>5</v>
      </c>
      <c r="B161" s="8" t="s">
        <v>6408</v>
      </c>
      <c r="C161" s="8" t="s">
        <v>6464</v>
      </c>
      <c r="D161" s="5">
        <v>7</v>
      </c>
      <c r="E161" s="5" t="s">
        <v>21</v>
      </c>
      <c r="F161" s="5" t="s">
        <v>5970</v>
      </c>
      <c r="G161" s="5">
        <v>81</v>
      </c>
      <c r="H161" s="5" t="s">
        <v>81</v>
      </c>
      <c r="I161" s="5"/>
      <c r="J161" s="5"/>
      <c r="K161" s="5"/>
      <c r="L161" s="5"/>
      <c r="M161" s="5"/>
      <c r="N161" s="5"/>
      <c r="AA161" s="8" t="s">
        <v>6493</v>
      </c>
    </row>
    <row r="162" spans="1:27" x14ac:dyDescent="0.2">
      <c r="A162" s="5">
        <v>6</v>
      </c>
      <c r="B162" s="8" t="s">
        <v>6781</v>
      </c>
      <c r="C162" s="8" t="s">
        <v>6468</v>
      </c>
      <c r="D162" s="5">
        <f>16+12</f>
        <v>28</v>
      </c>
      <c r="E162" s="5" t="s">
        <v>21</v>
      </c>
      <c r="F162" s="5" t="s">
        <v>5970</v>
      </c>
      <c r="G162" s="5">
        <v>81</v>
      </c>
      <c r="H162" s="5" t="s">
        <v>81</v>
      </c>
      <c r="I162" s="5"/>
      <c r="J162" s="5"/>
      <c r="K162" s="5"/>
      <c r="L162" s="5"/>
      <c r="M162" s="5"/>
      <c r="N162" s="5"/>
      <c r="AA162" s="8" t="s">
        <v>6493</v>
      </c>
    </row>
    <row r="163" spans="1:27" x14ac:dyDescent="0.2">
      <c r="A163" s="5">
        <v>7</v>
      </c>
      <c r="B163" s="8" t="s">
        <v>7928</v>
      </c>
      <c r="C163" s="8" t="s">
        <v>6470</v>
      </c>
      <c r="D163" s="5">
        <f>99</f>
        <v>99</v>
      </c>
      <c r="E163" s="5" t="s">
        <v>21</v>
      </c>
      <c r="F163" s="5" t="s">
        <v>5970</v>
      </c>
      <c r="G163" s="5">
        <v>81</v>
      </c>
      <c r="H163" s="5" t="s">
        <v>81</v>
      </c>
      <c r="I163" s="5"/>
      <c r="J163" s="5"/>
      <c r="K163" s="5"/>
      <c r="L163" s="5"/>
      <c r="M163" s="5"/>
      <c r="N163" s="5"/>
      <c r="AA163" s="8" t="s">
        <v>6493</v>
      </c>
    </row>
    <row r="164" spans="1:27" s="174" customFormat="1" x14ac:dyDescent="0.2">
      <c r="A164" s="176" t="s">
        <v>6496</v>
      </c>
      <c r="B164" s="175" t="s">
        <v>6497</v>
      </c>
      <c r="C164" s="175" t="s">
        <v>6498</v>
      </c>
      <c r="D164" s="176"/>
      <c r="E164" s="176"/>
      <c r="F164" s="176"/>
      <c r="G164" s="176"/>
      <c r="H164" s="167" t="s">
        <v>81</v>
      </c>
      <c r="I164" s="176"/>
      <c r="J164" s="176"/>
      <c r="K164" s="176"/>
      <c r="L164" s="176"/>
      <c r="M164" s="176"/>
      <c r="N164" s="176"/>
      <c r="AA164" s="140"/>
    </row>
    <row r="165" spans="1:27" x14ac:dyDescent="0.2">
      <c r="A165" s="5">
        <v>1</v>
      </c>
      <c r="B165" s="8" t="s">
        <v>6504</v>
      </c>
      <c r="C165" s="8" t="s">
        <v>6453</v>
      </c>
      <c r="D165" s="5">
        <f>16</f>
        <v>16</v>
      </c>
      <c r="E165" s="5" t="s">
        <v>21</v>
      </c>
      <c r="F165" s="5" t="s">
        <v>5970</v>
      </c>
      <c r="G165" s="5">
        <v>82</v>
      </c>
      <c r="H165" s="5" t="s">
        <v>81</v>
      </c>
      <c r="I165" s="5"/>
      <c r="J165" s="5"/>
      <c r="K165" s="107" t="s">
        <v>6500</v>
      </c>
      <c r="L165" s="5"/>
      <c r="M165" s="5"/>
      <c r="N165" s="5"/>
      <c r="AA165" s="8" t="s">
        <v>6479</v>
      </c>
    </row>
    <row r="166" spans="1:27" x14ac:dyDescent="0.2">
      <c r="A166" s="5">
        <v>2</v>
      </c>
      <c r="B166" s="8" t="s">
        <v>6436</v>
      </c>
      <c r="C166" s="8" t="s">
        <v>6451</v>
      </c>
      <c r="D166" s="5">
        <f>100</f>
        <v>100</v>
      </c>
      <c r="E166" s="5" t="s">
        <v>21</v>
      </c>
      <c r="F166" s="5" t="s">
        <v>5970</v>
      </c>
      <c r="G166" s="5">
        <v>82</v>
      </c>
      <c r="H166" s="5" t="s">
        <v>81</v>
      </c>
      <c r="I166" s="5"/>
      <c r="J166" s="5"/>
      <c r="K166" s="107" t="s">
        <v>6500</v>
      </c>
      <c r="L166" s="5"/>
      <c r="M166" s="5"/>
      <c r="N166" s="5"/>
      <c r="AA166" s="8" t="s">
        <v>6479</v>
      </c>
    </row>
    <row r="167" spans="1:27" x14ac:dyDescent="0.2">
      <c r="A167" s="5">
        <v>3</v>
      </c>
      <c r="B167" s="8" t="s">
        <v>6440</v>
      </c>
      <c r="C167" s="8" t="s">
        <v>6459</v>
      </c>
      <c r="D167" s="5">
        <f>32</f>
        <v>32</v>
      </c>
      <c r="E167" s="5" t="s">
        <v>21</v>
      </c>
      <c r="F167" s="5" t="s">
        <v>5970</v>
      </c>
      <c r="G167" s="5">
        <v>82</v>
      </c>
      <c r="H167" s="5" t="s">
        <v>81</v>
      </c>
      <c r="I167" s="5"/>
      <c r="J167" s="5"/>
      <c r="K167" s="107" t="s">
        <v>6505</v>
      </c>
      <c r="L167" s="5"/>
      <c r="M167" s="5"/>
      <c r="N167" s="5"/>
      <c r="AA167" s="8" t="s">
        <v>6479</v>
      </c>
    </row>
    <row r="168" spans="1:27" x14ac:dyDescent="0.2">
      <c r="A168" s="5">
        <v>4</v>
      </c>
      <c r="B168" s="8" t="s">
        <v>6452</v>
      </c>
      <c r="C168" s="8" t="s">
        <v>6461</v>
      </c>
      <c r="D168" s="5">
        <f>100</f>
        <v>100</v>
      </c>
      <c r="E168" s="5" t="s">
        <v>21</v>
      </c>
      <c r="F168" s="5" t="s">
        <v>5970</v>
      </c>
      <c r="G168" s="5">
        <v>82</v>
      </c>
      <c r="H168" s="5" t="s">
        <v>81</v>
      </c>
      <c r="I168" s="5"/>
      <c r="J168" s="5"/>
      <c r="K168" s="107" t="s">
        <v>6505</v>
      </c>
      <c r="L168" s="5"/>
      <c r="M168" s="5"/>
      <c r="N168" s="5"/>
      <c r="AA168" s="8" t="s">
        <v>6479</v>
      </c>
    </row>
    <row r="169" spans="1:27" x14ac:dyDescent="0.2">
      <c r="A169" s="5">
        <v>5</v>
      </c>
      <c r="B169" s="8" t="s">
        <v>6460</v>
      </c>
      <c r="C169" s="8" t="s">
        <v>6464</v>
      </c>
      <c r="D169" s="5">
        <f>200</f>
        <v>200</v>
      </c>
      <c r="E169" s="5" t="s">
        <v>21</v>
      </c>
      <c r="F169" s="5" t="s">
        <v>5970</v>
      </c>
      <c r="G169" s="5">
        <v>82</v>
      </c>
      <c r="H169" s="5" t="s">
        <v>81</v>
      </c>
      <c r="I169" s="5"/>
      <c r="J169" s="5"/>
      <c r="K169" s="107" t="s">
        <v>6505</v>
      </c>
      <c r="L169" s="5"/>
      <c r="M169" s="5"/>
      <c r="N169" s="5"/>
      <c r="AA169" s="8" t="s">
        <v>6479</v>
      </c>
    </row>
    <row r="170" spans="1:27" x14ac:dyDescent="0.2">
      <c r="A170" s="5">
        <v>6</v>
      </c>
      <c r="B170" s="8" t="s">
        <v>6481</v>
      </c>
      <c r="C170" s="8" t="s">
        <v>6468</v>
      </c>
      <c r="D170" s="5">
        <f>68</f>
        <v>68</v>
      </c>
      <c r="E170" s="5" t="s">
        <v>21</v>
      </c>
      <c r="F170" s="5" t="s">
        <v>5970</v>
      </c>
      <c r="G170" s="5">
        <v>82</v>
      </c>
      <c r="H170" s="5" t="s">
        <v>81</v>
      </c>
      <c r="I170" s="5"/>
      <c r="J170" s="5"/>
      <c r="K170" s="107" t="s">
        <v>6506</v>
      </c>
      <c r="L170" s="5"/>
      <c r="M170" s="5"/>
      <c r="N170" s="5"/>
      <c r="AA170" s="8" t="s">
        <v>6479</v>
      </c>
    </row>
    <row r="171" spans="1:27" x14ac:dyDescent="0.2">
      <c r="A171" s="5">
        <v>7</v>
      </c>
      <c r="B171" s="8" t="s">
        <v>6507</v>
      </c>
      <c r="C171" s="8" t="s">
        <v>6470</v>
      </c>
      <c r="D171" s="5">
        <f>54-30</f>
        <v>24</v>
      </c>
      <c r="E171" s="5" t="s">
        <v>21</v>
      </c>
      <c r="F171" s="5" t="s">
        <v>5970</v>
      </c>
      <c r="G171" s="5">
        <v>82</v>
      </c>
      <c r="H171" s="5" t="s">
        <v>81</v>
      </c>
      <c r="I171" s="5"/>
      <c r="J171" s="5"/>
      <c r="K171" s="107" t="s">
        <v>6506</v>
      </c>
      <c r="L171" s="5"/>
      <c r="M171" s="5"/>
      <c r="N171" s="5"/>
      <c r="AA171" s="8" t="s">
        <v>6479</v>
      </c>
    </row>
    <row r="172" spans="1:27" x14ac:dyDescent="0.2">
      <c r="A172" s="5">
        <v>8</v>
      </c>
      <c r="B172" s="8" t="s">
        <v>6509</v>
      </c>
      <c r="C172" s="8" t="s">
        <v>6472</v>
      </c>
      <c r="D172" s="5">
        <f>10</f>
        <v>10</v>
      </c>
      <c r="E172" s="5" t="s">
        <v>21</v>
      </c>
      <c r="F172" s="5" t="s">
        <v>5970</v>
      </c>
      <c r="G172" s="5">
        <v>82</v>
      </c>
      <c r="H172" s="5" t="s">
        <v>81</v>
      </c>
      <c r="I172" s="5"/>
      <c r="J172" s="5"/>
      <c r="K172" s="107" t="s">
        <v>6510</v>
      </c>
      <c r="L172" s="5"/>
      <c r="M172" s="5"/>
      <c r="N172" s="5"/>
      <c r="AA172" s="8" t="s">
        <v>6479</v>
      </c>
    </row>
    <row r="173" spans="1:27" x14ac:dyDescent="0.2">
      <c r="A173" s="5">
        <v>9</v>
      </c>
      <c r="B173" s="8" t="s">
        <v>6511</v>
      </c>
      <c r="C173" s="8" t="s">
        <v>6474</v>
      </c>
      <c r="D173" s="5">
        <v>3</v>
      </c>
      <c r="E173" s="5" t="s">
        <v>21</v>
      </c>
      <c r="F173" s="5" t="s">
        <v>5970</v>
      </c>
      <c r="G173" s="5">
        <v>82</v>
      </c>
      <c r="H173" s="5" t="s">
        <v>81</v>
      </c>
      <c r="I173" s="5"/>
      <c r="J173" s="5"/>
      <c r="K173" s="107" t="s">
        <v>6512</v>
      </c>
      <c r="L173" s="5"/>
      <c r="M173" s="5"/>
      <c r="N173" s="5"/>
      <c r="AA173" s="8" t="s">
        <v>6479</v>
      </c>
    </row>
    <row r="174" spans="1:27" x14ac:dyDescent="0.2">
      <c r="A174" s="5">
        <v>10</v>
      </c>
      <c r="B174" s="8" t="s">
        <v>6513</v>
      </c>
      <c r="C174" s="8" t="s">
        <v>6477</v>
      </c>
      <c r="D174" s="5">
        <f>16-8</f>
        <v>8</v>
      </c>
      <c r="E174" s="5" t="s">
        <v>21</v>
      </c>
      <c r="F174" s="5" t="s">
        <v>5970</v>
      </c>
      <c r="G174" s="5">
        <v>82</v>
      </c>
      <c r="H174" s="5" t="s">
        <v>81</v>
      </c>
      <c r="I174" s="5"/>
      <c r="J174" s="5"/>
      <c r="K174" s="107" t="s">
        <v>6515</v>
      </c>
      <c r="L174" s="5"/>
      <c r="M174" s="5"/>
      <c r="N174" s="5"/>
      <c r="AA174" s="8" t="s">
        <v>6479</v>
      </c>
    </row>
    <row r="175" spans="1:27" x14ac:dyDescent="0.2">
      <c r="A175" s="5">
        <v>11</v>
      </c>
      <c r="B175" s="8" t="s">
        <v>6516</v>
      </c>
      <c r="C175" s="8" t="s">
        <v>6482</v>
      </c>
      <c r="D175" s="5">
        <f>10</f>
        <v>10</v>
      </c>
      <c r="E175" s="5" t="s">
        <v>21</v>
      </c>
      <c r="F175" s="5" t="s">
        <v>5970</v>
      </c>
      <c r="G175" s="5">
        <v>82</v>
      </c>
      <c r="H175" s="5" t="s">
        <v>81</v>
      </c>
      <c r="I175" s="5"/>
      <c r="J175" s="5"/>
      <c r="K175" s="107" t="s">
        <v>6222</v>
      </c>
      <c r="L175" s="5"/>
      <c r="M175" s="5"/>
      <c r="N175" s="5"/>
      <c r="AA175" s="8" t="s">
        <v>6479</v>
      </c>
    </row>
    <row r="176" spans="1:27" x14ac:dyDescent="0.2">
      <c r="A176" s="5">
        <v>12</v>
      </c>
      <c r="B176" s="8" t="s">
        <v>6519</v>
      </c>
      <c r="C176" s="8" t="s">
        <v>6484</v>
      </c>
      <c r="D176" s="5">
        <f>8</f>
        <v>8</v>
      </c>
      <c r="E176" s="5" t="s">
        <v>21</v>
      </c>
      <c r="F176" s="5" t="s">
        <v>5970</v>
      </c>
      <c r="G176" s="5">
        <v>82</v>
      </c>
      <c r="H176" s="5" t="s">
        <v>81</v>
      </c>
      <c r="I176" s="5"/>
      <c r="J176" s="5"/>
      <c r="K176" s="107" t="s">
        <v>6520</v>
      </c>
      <c r="L176" s="5"/>
      <c r="M176" s="5"/>
      <c r="N176" s="5"/>
      <c r="AA176" s="8" t="s">
        <v>6479</v>
      </c>
    </row>
    <row r="177" spans="1:27" x14ac:dyDescent="0.2">
      <c r="A177" s="5">
        <v>13</v>
      </c>
      <c r="B177" s="8" t="s">
        <v>6521</v>
      </c>
      <c r="C177" s="8" t="s">
        <v>6492</v>
      </c>
      <c r="D177" s="5">
        <f>50</f>
        <v>50</v>
      </c>
      <c r="E177" s="5" t="s">
        <v>21</v>
      </c>
      <c r="F177" s="5" t="s">
        <v>5970</v>
      </c>
      <c r="G177" s="5">
        <v>82</v>
      </c>
      <c r="H177" s="5" t="s">
        <v>81</v>
      </c>
      <c r="I177" s="5"/>
      <c r="J177" s="5"/>
      <c r="K177" s="107" t="s">
        <v>6522</v>
      </c>
      <c r="L177" s="5"/>
      <c r="M177" s="5"/>
      <c r="N177" s="5"/>
      <c r="AA177" s="8" t="s">
        <v>6479</v>
      </c>
    </row>
    <row r="178" spans="1:27" x14ac:dyDescent="0.2">
      <c r="A178" s="5">
        <v>14</v>
      </c>
      <c r="B178" s="8" t="s">
        <v>6523</v>
      </c>
      <c r="C178" s="8" t="s">
        <v>6492</v>
      </c>
      <c r="D178" s="5">
        <v>10</v>
      </c>
      <c r="E178" s="5" t="s">
        <v>21</v>
      </c>
      <c r="F178" s="5" t="s">
        <v>5970</v>
      </c>
      <c r="G178" s="5">
        <v>82</v>
      </c>
      <c r="H178" s="5" t="s">
        <v>81</v>
      </c>
      <c r="I178" s="5"/>
      <c r="J178" s="5"/>
      <c r="K178" s="107" t="s">
        <v>6522</v>
      </c>
      <c r="L178" s="5"/>
      <c r="M178" s="5"/>
      <c r="N178" s="5"/>
      <c r="AA178" s="8" t="s">
        <v>6479</v>
      </c>
    </row>
    <row r="179" spans="1:27" x14ac:dyDescent="0.2">
      <c r="A179" s="5">
        <v>15</v>
      </c>
      <c r="B179" s="8" t="s">
        <v>6408</v>
      </c>
      <c r="C179" s="8" t="s">
        <v>6492</v>
      </c>
      <c r="D179" s="5">
        <v>20</v>
      </c>
      <c r="E179" s="5" t="s">
        <v>21</v>
      </c>
      <c r="F179" s="5" t="s">
        <v>5970</v>
      </c>
      <c r="G179" s="5">
        <v>82</v>
      </c>
      <c r="H179" s="5" t="s">
        <v>81</v>
      </c>
      <c r="I179" s="5"/>
      <c r="J179" s="5"/>
      <c r="K179" s="107" t="s">
        <v>6522</v>
      </c>
      <c r="L179" s="5"/>
      <c r="M179" s="5"/>
      <c r="N179" s="5"/>
      <c r="AA179" s="8" t="s">
        <v>6479</v>
      </c>
    </row>
    <row r="180" spans="1:27" x14ac:dyDescent="0.2">
      <c r="A180" s="5">
        <v>16</v>
      </c>
      <c r="B180" s="8" t="s">
        <v>6524</v>
      </c>
      <c r="C180" s="8" t="s">
        <v>6495</v>
      </c>
      <c r="D180" s="5">
        <f>8+32-8+110</f>
        <v>142</v>
      </c>
      <c r="E180" s="5" t="s">
        <v>21</v>
      </c>
      <c r="F180" s="5" t="s">
        <v>5970</v>
      </c>
      <c r="G180" s="5">
        <v>82</v>
      </c>
      <c r="H180" s="5" t="s">
        <v>81</v>
      </c>
      <c r="I180" s="5"/>
      <c r="J180" s="5"/>
      <c r="K180" s="107" t="s">
        <v>10367</v>
      </c>
      <c r="L180" s="5"/>
      <c r="M180" s="5"/>
      <c r="N180" s="5"/>
      <c r="AA180" s="8" t="s">
        <v>6479</v>
      </c>
    </row>
    <row r="181" spans="1:27" s="169" customFormat="1" x14ac:dyDescent="0.2">
      <c r="A181" s="176" t="s">
        <v>6530</v>
      </c>
      <c r="B181" s="175" t="s">
        <v>6531</v>
      </c>
      <c r="C181" s="140" t="s">
        <v>6532</v>
      </c>
      <c r="D181" s="167"/>
      <c r="E181" s="167"/>
      <c r="F181" s="167"/>
      <c r="G181" s="167"/>
      <c r="H181" s="167"/>
      <c r="I181" s="167"/>
      <c r="J181" s="167"/>
      <c r="K181" s="168"/>
      <c r="L181" s="167"/>
      <c r="M181" s="167"/>
      <c r="N181" s="167"/>
      <c r="AA181" s="140"/>
    </row>
    <row r="182" spans="1:27" x14ac:dyDescent="0.2">
      <c r="A182" s="5"/>
      <c r="B182" s="8" t="s">
        <v>6721</v>
      </c>
      <c r="C182" s="8" t="s">
        <v>10368</v>
      </c>
      <c r="D182" s="5">
        <f>80+493+20-352</f>
        <v>241</v>
      </c>
      <c r="E182" s="5" t="s">
        <v>21</v>
      </c>
      <c r="F182" s="5" t="s">
        <v>5970</v>
      </c>
      <c r="G182" s="5">
        <v>82</v>
      </c>
      <c r="H182" s="5" t="s">
        <v>34</v>
      </c>
      <c r="I182" s="5"/>
      <c r="J182" s="5"/>
      <c r="K182" s="107" t="s">
        <v>10369</v>
      </c>
      <c r="L182" s="5"/>
      <c r="M182" s="5"/>
      <c r="N182" s="5"/>
      <c r="AA182" s="8" t="s">
        <v>6535</v>
      </c>
    </row>
    <row r="183" spans="1:27" x14ac:dyDescent="0.2">
      <c r="A183" s="5"/>
      <c r="B183" s="8" t="s">
        <v>6533</v>
      </c>
      <c r="C183" s="8" t="s">
        <v>6534</v>
      </c>
      <c r="D183" s="5">
        <f>24+16</f>
        <v>40</v>
      </c>
      <c r="E183" s="5" t="s">
        <v>21</v>
      </c>
      <c r="F183" s="5" t="s">
        <v>5970</v>
      </c>
      <c r="G183" s="5">
        <v>83</v>
      </c>
      <c r="H183" s="5" t="s">
        <v>34</v>
      </c>
      <c r="I183" s="5"/>
      <c r="J183" s="5"/>
      <c r="K183" s="5"/>
      <c r="L183" s="5"/>
      <c r="M183" s="5"/>
      <c r="N183" s="5"/>
      <c r="AA183" s="8" t="s">
        <v>6535</v>
      </c>
    </row>
    <row r="184" spans="1:27" x14ac:dyDescent="0.2">
      <c r="A184" s="5"/>
      <c r="B184" s="8" t="s">
        <v>6536</v>
      </c>
      <c r="C184" s="8" t="s">
        <v>6537</v>
      </c>
      <c r="D184" s="5">
        <f>183+12</f>
        <v>195</v>
      </c>
      <c r="E184" s="5" t="s">
        <v>21</v>
      </c>
      <c r="F184" s="5" t="s">
        <v>5970</v>
      </c>
      <c r="G184" s="5">
        <v>83</v>
      </c>
      <c r="H184" s="5" t="s">
        <v>34</v>
      </c>
      <c r="I184" s="5"/>
      <c r="J184" s="5"/>
      <c r="K184" s="5"/>
      <c r="L184" s="5"/>
      <c r="M184" s="5"/>
      <c r="N184" s="5"/>
      <c r="AA184" s="8" t="s">
        <v>6535</v>
      </c>
    </row>
    <row r="185" spans="1:27" x14ac:dyDescent="0.2">
      <c r="A185" s="5"/>
      <c r="B185" s="8" t="s">
        <v>6538</v>
      </c>
      <c r="C185" s="8" t="s">
        <v>6539</v>
      </c>
      <c r="D185" s="5">
        <f>204-6+9</f>
        <v>207</v>
      </c>
      <c r="E185" s="5" t="s">
        <v>21</v>
      </c>
      <c r="F185" s="5" t="s">
        <v>5970</v>
      </c>
      <c r="G185" s="5">
        <v>83</v>
      </c>
      <c r="H185" s="5" t="s">
        <v>34</v>
      </c>
      <c r="I185" s="5"/>
      <c r="J185" s="5"/>
      <c r="K185" s="5"/>
      <c r="L185" s="5"/>
      <c r="M185" s="5"/>
      <c r="N185" s="5"/>
      <c r="AA185" s="8" t="s">
        <v>6540</v>
      </c>
    </row>
    <row r="186" spans="1:27" x14ac:dyDescent="0.2">
      <c r="A186" s="5"/>
      <c r="B186" s="8" t="s">
        <v>6541</v>
      </c>
      <c r="C186" s="8" t="s">
        <v>6542</v>
      </c>
      <c r="D186" s="5">
        <f>77+51-10-16</f>
        <v>102</v>
      </c>
      <c r="E186" s="5" t="s">
        <v>21</v>
      </c>
      <c r="F186" s="5" t="s">
        <v>5970</v>
      </c>
      <c r="G186" s="5">
        <v>83</v>
      </c>
      <c r="H186" s="5" t="s">
        <v>34</v>
      </c>
      <c r="I186" s="5"/>
      <c r="J186" s="5"/>
      <c r="K186" s="5" t="s">
        <v>6544</v>
      </c>
      <c r="L186" s="5"/>
      <c r="M186" s="5"/>
      <c r="N186" s="5"/>
      <c r="AA186" s="8" t="s">
        <v>6543</v>
      </c>
    </row>
    <row r="187" spans="1:27" x14ac:dyDescent="0.2">
      <c r="A187" s="5"/>
      <c r="B187" s="8" t="s">
        <v>6545</v>
      </c>
      <c r="C187" s="8" t="s">
        <v>6546</v>
      </c>
      <c r="D187" s="5">
        <f>170-24-3-5-8+44-120-12-40-0+500-18-88-10-200</f>
        <v>186</v>
      </c>
      <c r="E187" s="5" t="s">
        <v>21</v>
      </c>
      <c r="F187" s="5" t="s">
        <v>5970</v>
      </c>
      <c r="G187" s="5">
        <v>83</v>
      </c>
      <c r="H187" s="5" t="s">
        <v>34</v>
      </c>
      <c r="I187" s="5"/>
      <c r="J187" s="5"/>
      <c r="K187" s="5"/>
      <c r="L187" s="5"/>
      <c r="M187" s="5"/>
      <c r="N187" s="5"/>
      <c r="AA187" s="8" t="s">
        <v>6543</v>
      </c>
    </row>
    <row r="188" spans="1:27" x14ac:dyDescent="0.2">
      <c r="A188" s="5"/>
      <c r="B188" s="8" t="s">
        <v>6547</v>
      </c>
      <c r="C188" s="8" t="s">
        <v>6548</v>
      </c>
      <c r="D188" s="5">
        <f>196+300+24-2-2-2-2-2-2-2-2</f>
        <v>504</v>
      </c>
      <c r="E188" s="5" t="s">
        <v>21</v>
      </c>
      <c r="F188" s="5" t="s">
        <v>5970</v>
      </c>
      <c r="G188" s="5">
        <v>83</v>
      </c>
      <c r="H188" s="5" t="s">
        <v>34</v>
      </c>
      <c r="I188" s="5"/>
      <c r="J188" s="5"/>
      <c r="K188" s="5"/>
      <c r="L188" s="5"/>
      <c r="M188" s="5"/>
      <c r="N188" s="5"/>
      <c r="AA188" s="8" t="s">
        <v>6543</v>
      </c>
    </row>
    <row r="189" spans="1:27" x14ac:dyDescent="0.2">
      <c r="A189" s="5"/>
      <c r="B189" s="8" t="s">
        <v>6549</v>
      </c>
      <c r="C189" s="8" t="s">
        <v>6550</v>
      </c>
      <c r="D189" s="5">
        <f>37</f>
        <v>37</v>
      </c>
      <c r="E189" s="5" t="s">
        <v>21</v>
      </c>
      <c r="F189" s="5" t="s">
        <v>5970</v>
      </c>
      <c r="G189" s="5">
        <v>83</v>
      </c>
      <c r="H189" s="5" t="s">
        <v>34</v>
      </c>
      <c r="I189" s="5"/>
      <c r="J189" s="5"/>
      <c r="K189" s="5"/>
      <c r="L189" s="5"/>
      <c r="M189" s="5"/>
      <c r="N189" s="5"/>
      <c r="AA189" s="8" t="s">
        <v>6543</v>
      </c>
    </row>
    <row r="190" spans="1:27" x14ac:dyDescent="0.2">
      <c r="A190" s="5"/>
      <c r="B190" s="8" t="s">
        <v>6499</v>
      </c>
      <c r="C190" s="8" t="s">
        <v>6551</v>
      </c>
      <c r="D190" s="5">
        <f>192-8-32-48</f>
        <v>104</v>
      </c>
      <c r="E190" s="5" t="s">
        <v>21</v>
      </c>
      <c r="F190" s="5" t="s">
        <v>5970</v>
      </c>
      <c r="G190" s="5">
        <v>83</v>
      </c>
      <c r="H190" s="5" t="s">
        <v>34</v>
      </c>
      <c r="I190" s="5"/>
      <c r="J190" s="5"/>
      <c r="K190" s="5"/>
      <c r="L190" s="5"/>
      <c r="M190" s="5"/>
      <c r="N190" s="5"/>
      <c r="O190" t="s">
        <v>321</v>
      </c>
      <c r="AA190" s="8" t="s">
        <v>6543</v>
      </c>
    </row>
    <row r="191" spans="1:27" x14ac:dyDescent="0.2">
      <c r="A191" s="5"/>
      <c r="B191" s="8" t="s">
        <v>6552</v>
      </c>
      <c r="C191" s="8" t="s">
        <v>6553</v>
      </c>
      <c r="D191" s="5">
        <v>100</v>
      </c>
      <c r="E191" s="5" t="s">
        <v>21</v>
      </c>
      <c r="F191" s="5" t="s">
        <v>5970</v>
      </c>
      <c r="G191" s="5">
        <v>83</v>
      </c>
      <c r="H191" s="5" t="s">
        <v>34</v>
      </c>
      <c r="I191" s="5"/>
      <c r="J191" s="5"/>
      <c r="K191" s="5"/>
      <c r="L191" s="5"/>
      <c r="M191" s="5"/>
      <c r="N191" s="5"/>
      <c r="O191" t="s">
        <v>321</v>
      </c>
      <c r="AA191" s="8" t="s">
        <v>6543</v>
      </c>
    </row>
    <row r="192" spans="1:27" x14ac:dyDescent="0.2">
      <c r="A192" s="5"/>
      <c r="B192" s="8" t="s">
        <v>6554</v>
      </c>
      <c r="C192" s="8" t="s">
        <v>6555</v>
      </c>
      <c r="D192" s="5">
        <f>143-2-141</f>
        <v>0</v>
      </c>
      <c r="E192" s="5" t="s">
        <v>21</v>
      </c>
      <c r="F192" s="5" t="s">
        <v>5970</v>
      </c>
      <c r="G192" s="5">
        <v>83</v>
      </c>
      <c r="H192" s="5" t="s">
        <v>34</v>
      </c>
      <c r="I192" s="5"/>
      <c r="J192" s="5"/>
      <c r="K192" s="5"/>
      <c r="L192" s="5"/>
      <c r="M192" s="5"/>
      <c r="N192" s="5"/>
      <c r="AA192" s="8" t="s">
        <v>6543</v>
      </c>
    </row>
    <row r="193" spans="1:27" x14ac:dyDescent="0.2">
      <c r="A193" s="5"/>
      <c r="B193" s="8" t="s">
        <v>6556</v>
      </c>
      <c r="C193" s="8" t="s">
        <v>6557</v>
      </c>
      <c r="D193" s="5">
        <f>126+247+18-48-48-48+5-32-90-6+200</f>
        <v>324</v>
      </c>
      <c r="E193" s="5" t="s">
        <v>21</v>
      </c>
      <c r="F193" s="5" t="s">
        <v>5970</v>
      </c>
      <c r="G193" s="5">
        <v>83</v>
      </c>
      <c r="H193" s="5" t="s">
        <v>34</v>
      </c>
      <c r="I193" s="5"/>
      <c r="J193" s="5"/>
      <c r="K193" s="5" t="s">
        <v>6210</v>
      </c>
      <c r="L193" s="5"/>
      <c r="M193" s="5"/>
      <c r="N193" s="5"/>
      <c r="AA193" s="8" t="s">
        <v>6543</v>
      </c>
    </row>
    <row r="194" spans="1:27" x14ac:dyDescent="0.2">
      <c r="A194" s="5"/>
      <c r="B194" s="8" t="s">
        <v>6558</v>
      </c>
      <c r="C194" s="8" t="s">
        <v>6559</v>
      </c>
      <c r="D194" s="5">
        <f>424</f>
        <v>424</v>
      </c>
      <c r="E194" s="5" t="s">
        <v>21</v>
      </c>
      <c r="F194" s="5" t="s">
        <v>5970</v>
      </c>
      <c r="G194" s="5">
        <v>83</v>
      </c>
      <c r="H194" s="5" t="s">
        <v>34</v>
      </c>
      <c r="I194" s="5"/>
      <c r="J194" s="5"/>
      <c r="K194" s="5"/>
      <c r="L194" s="5"/>
      <c r="M194" s="5"/>
      <c r="N194" s="5"/>
      <c r="AA194" s="8" t="s">
        <v>6543</v>
      </c>
    </row>
    <row r="195" spans="1:27" x14ac:dyDescent="0.2">
      <c r="A195" s="5"/>
      <c r="B195" s="8" t="s">
        <v>6560</v>
      </c>
      <c r="C195" s="8" t="s">
        <v>6561</v>
      </c>
      <c r="D195" s="5">
        <f>150</f>
        <v>150</v>
      </c>
      <c r="E195" s="5" t="s">
        <v>21</v>
      </c>
      <c r="F195" s="5" t="s">
        <v>5970</v>
      </c>
      <c r="G195" s="5">
        <v>83</v>
      </c>
      <c r="H195" s="5" t="s">
        <v>34</v>
      </c>
      <c r="I195" s="5"/>
      <c r="J195" s="5"/>
      <c r="K195" s="5" t="s">
        <v>6210</v>
      </c>
      <c r="L195" s="5"/>
      <c r="M195" s="5"/>
      <c r="N195" s="5"/>
      <c r="AA195" s="8" t="s">
        <v>6543</v>
      </c>
    </row>
    <row r="196" spans="1:27" x14ac:dyDescent="0.2">
      <c r="A196" s="5"/>
      <c r="B196" s="8" t="s">
        <v>6562</v>
      </c>
      <c r="C196" s="8" t="s">
        <v>6563</v>
      </c>
      <c r="D196" s="5">
        <v>167</v>
      </c>
      <c r="E196" s="5" t="s">
        <v>21</v>
      </c>
      <c r="F196" s="5" t="s">
        <v>5970</v>
      </c>
      <c r="G196" s="5">
        <v>83</v>
      </c>
      <c r="H196" s="5" t="s">
        <v>34</v>
      </c>
      <c r="I196" s="5"/>
      <c r="J196" s="5"/>
      <c r="K196" s="5"/>
      <c r="L196" s="5"/>
      <c r="M196" s="5"/>
      <c r="N196" s="5"/>
      <c r="AA196" s="8" t="s">
        <v>6543</v>
      </c>
    </row>
    <row r="197" spans="1:27" x14ac:dyDescent="0.2">
      <c r="A197" s="5"/>
      <c r="B197" s="8" t="s">
        <v>6564</v>
      </c>
      <c r="C197" s="8" t="s">
        <v>6565</v>
      </c>
      <c r="D197" s="5">
        <f>172+28</f>
        <v>200</v>
      </c>
      <c r="E197" s="5" t="s">
        <v>21</v>
      </c>
      <c r="F197" s="5" t="s">
        <v>5970</v>
      </c>
      <c r="G197" s="5">
        <v>83</v>
      </c>
      <c r="H197" s="5" t="s">
        <v>34</v>
      </c>
      <c r="I197" s="5"/>
      <c r="J197" s="5"/>
      <c r="K197" s="5"/>
      <c r="L197" s="5"/>
      <c r="M197" s="5"/>
      <c r="N197" s="5"/>
      <c r="AA197" s="8" t="s">
        <v>6543</v>
      </c>
    </row>
    <row r="198" spans="1:27" x14ac:dyDescent="0.2">
      <c r="A198" s="5"/>
      <c r="B198" s="8" t="s">
        <v>6454</v>
      </c>
      <c r="C198" s="8" t="s">
        <v>6566</v>
      </c>
      <c r="D198" s="5">
        <f>123-2</f>
        <v>121</v>
      </c>
      <c r="E198" s="5" t="s">
        <v>21</v>
      </c>
      <c r="F198" s="5" t="s">
        <v>5970</v>
      </c>
      <c r="G198" s="5">
        <v>83</v>
      </c>
      <c r="H198" s="5" t="s">
        <v>34</v>
      </c>
      <c r="I198" s="5"/>
      <c r="J198" s="5"/>
      <c r="K198" s="5"/>
      <c r="L198" s="5"/>
      <c r="M198" s="5"/>
      <c r="N198" s="5"/>
      <c r="AA198" s="8" t="s">
        <v>6543</v>
      </c>
    </row>
    <row r="199" spans="1:27" x14ac:dyDescent="0.2">
      <c r="A199" s="5"/>
      <c r="B199" s="8" t="s">
        <v>6567</v>
      </c>
      <c r="C199" s="8" t="s">
        <v>6568</v>
      </c>
      <c r="D199" s="5">
        <f>613-80+4</f>
        <v>537</v>
      </c>
      <c r="E199" s="5" t="s">
        <v>21</v>
      </c>
      <c r="F199" s="5" t="s">
        <v>5970</v>
      </c>
      <c r="G199" s="5">
        <v>83</v>
      </c>
      <c r="H199" s="5" t="s">
        <v>34</v>
      </c>
      <c r="I199" s="5"/>
      <c r="J199" s="5"/>
      <c r="K199" s="107" t="s">
        <v>6409</v>
      </c>
      <c r="L199" s="5"/>
      <c r="M199" s="5"/>
      <c r="N199" s="5"/>
      <c r="AA199" s="8" t="s">
        <v>6543</v>
      </c>
    </row>
    <row r="200" spans="1:27" x14ac:dyDescent="0.2">
      <c r="A200" s="5"/>
      <c r="B200" s="8" t="s">
        <v>6570</v>
      </c>
      <c r="C200" s="8" t="s">
        <v>6571</v>
      </c>
      <c r="D200" s="5">
        <f>320-1-80-80-4</f>
        <v>155</v>
      </c>
      <c r="E200" s="5" t="s">
        <v>21</v>
      </c>
      <c r="F200" s="5" t="s">
        <v>5970</v>
      </c>
      <c r="G200" s="5">
        <v>83</v>
      </c>
      <c r="H200" s="5" t="s">
        <v>34</v>
      </c>
      <c r="I200" s="5"/>
      <c r="J200" s="5"/>
      <c r="K200" s="107"/>
      <c r="L200" s="5"/>
      <c r="M200" s="5"/>
      <c r="N200" s="5"/>
      <c r="AA200" s="8" t="s">
        <v>6572</v>
      </c>
    </row>
    <row r="201" spans="1:27" s="169" customFormat="1" x14ac:dyDescent="0.2">
      <c r="A201" s="167" t="s">
        <v>6573</v>
      </c>
      <c r="B201" s="140" t="s">
        <v>6574</v>
      </c>
      <c r="C201" s="140" t="s">
        <v>5971</v>
      </c>
      <c r="D201" s="167"/>
      <c r="E201" s="167"/>
      <c r="F201" s="167"/>
      <c r="G201" s="167"/>
      <c r="H201" s="167"/>
      <c r="I201" s="167"/>
      <c r="J201" s="167"/>
      <c r="K201" s="168"/>
      <c r="L201" s="167"/>
      <c r="M201" s="167"/>
      <c r="N201" s="167"/>
      <c r="AA201" s="140"/>
    </row>
    <row r="202" spans="1:27" x14ac:dyDescent="0.2">
      <c r="A202" s="5"/>
      <c r="B202" s="8" t="s">
        <v>6211</v>
      </c>
      <c r="C202" s="8" t="s">
        <v>6575</v>
      </c>
      <c r="D202" s="5">
        <f>200</f>
        <v>200</v>
      </c>
      <c r="E202" s="5" t="s">
        <v>21</v>
      </c>
      <c r="F202" s="5" t="s">
        <v>5970</v>
      </c>
      <c r="G202" s="5">
        <v>84</v>
      </c>
      <c r="H202" s="5" t="s">
        <v>5971</v>
      </c>
      <c r="I202" s="5"/>
      <c r="J202" s="5"/>
      <c r="K202" s="5" t="s">
        <v>6576</v>
      </c>
      <c r="L202" s="5"/>
      <c r="M202" s="5"/>
      <c r="N202" s="5"/>
      <c r="AA202" s="8" t="s">
        <v>6575</v>
      </c>
    </row>
    <row r="203" spans="1:27" x14ac:dyDescent="0.2">
      <c r="A203" s="5"/>
      <c r="B203" s="8" t="s">
        <v>6212</v>
      </c>
      <c r="C203" s="8" t="s">
        <v>6575</v>
      </c>
      <c r="D203" s="5">
        <f>200</f>
        <v>200</v>
      </c>
      <c r="E203" s="5" t="s">
        <v>21</v>
      </c>
      <c r="F203" s="5" t="s">
        <v>5970</v>
      </c>
      <c r="G203" s="5">
        <v>84</v>
      </c>
      <c r="H203" s="5" t="s">
        <v>5971</v>
      </c>
      <c r="I203" s="5"/>
      <c r="J203" s="5"/>
      <c r="K203" s="5" t="s">
        <v>6576</v>
      </c>
      <c r="L203" s="5"/>
      <c r="M203" s="5"/>
      <c r="N203" s="5"/>
      <c r="AA203" s="8" t="s">
        <v>6575</v>
      </c>
    </row>
    <row r="204" spans="1:27" s="169" customFormat="1" x14ac:dyDescent="0.2">
      <c r="A204" s="170" t="s">
        <v>6577</v>
      </c>
      <c r="B204" s="171" t="s">
        <v>6578</v>
      </c>
      <c r="C204" s="140" t="s">
        <v>6579</v>
      </c>
      <c r="D204" s="5"/>
      <c r="E204" s="5"/>
      <c r="F204" s="5"/>
      <c r="G204" s="5"/>
      <c r="H204" s="167"/>
      <c r="I204" s="167"/>
      <c r="J204" s="167"/>
      <c r="K204" s="167"/>
      <c r="L204" s="167"/>
      <c r="M204" s="167"/>
      <c r="N204" s="167"/>
      <c r="AA204" s="140"/>
    </row>
    <row r="205" spans="1:27" s="169" customFormat="1" x14ac:dyDescent="0.2">
      <c r="A205" s="170"/>
      <c r="B205" s="171" t="s">
        <v>6580</v>
      </c>
      <c r="C205" s="140" t="s">
        <v>6579</v>
      </c>
      <c r="D205" s="5">
        <f>100</f>
        <v>100</v>
      </c>
      <c r="E205" s="5" t="s">
        <v>21</v>
      </c>
      <c r="F205" s="5" t="s">
        <v>5970</v>
      </c>
      <c r="G205" s="5">
        <v>85</v>
      </c>
      <c r="H205" s="167"/>
      <c r="I205" s="167"/>
      <c r="J205" s="167"/>
      <c r="K205" s="167"/>
      <c r="L205" s="167"/>
      <c r="M205" s="167"/>
      <c r="N205" s="167"/>
      <c r="AA205" s="140"/>
    </row>
    <row r="206" spans="1:27" s="63" customFormat="1" x14ac:dyDescent="0.2">
      <c r="B206" s="153" t="s">
        <v>6581</v>
      </c>
      <c r="C206" s="153" t="s">
        <v>6582</v>
      </c>
      <c r="D206" s="152">
        <f>14-8+4-6-4+78</f>
        <v>78</v>
      </c>
      <c r="E206" s="152" t="s">
        <v>292</v>
      </c>
      <c r="F206" s="152" t="s">
        <v>5970</v>
      </c>
      <c r="G206" s="152">
        <v>85</v>
      </c>
      <c r="H206" s="152" t="s">
        <v>6401</v>
      </c>
      <c r="I206" s="152"/>
      <c r="J206" s="152"/>
      <c r="K206" s="161" t="s">
        <v>6584</v>
      </c>
      <c r="L206" s="152"/>
      <c r="M206" s="152"/>
      <c r="N206" s="152"/>
      <c r="AA206" s="153" t="s">
        <v>6399</v>
      </c>
    </row>
    <row r="207" spans="1:27" x14ac:dyDescent="0.2">
      <c r="A207">
        <v>1</v>
      </c>
      <c r="B207" s="8" t="s">
        <v>6585</v>
      </c>
      <c r="C207" s="8" t="s">
        <v>6586</v>
      </c>
      <c r="D207" s="5">
        <f>6+208</f>
        <v>214</v>
      </c>
      <c r="E207" s="5" t="s">
        <v>292</v>
      </c>
      <c r="F207" s="5" t="s">
        <v>5970</v>
      </c>
      <c r="G207" s="5">
        <v>85</v>
      </c>
      <c r="H207" s="5" t="s">
        <v>6401</v>
      </c>
      <c r="I207" s="5"/>
      <c r="J207" s="5"/>
      <c r="K207" s="107" t="s">
        <v>6587</v>
      </c>
      <c r="L207" s="5"/>
      <c r="M207" s="5"/>
      <c r="N207" s="5"/>
      <c r="AA207" s="8" t="s">
        <v>6399</v>
      </c>
    </row>
    <row r="208" spans="1:27" x14ac:dyDescent="0.2">
      <c r="A208">
        <v>2</v>
      </c>
      <c r="B208" s="8" t="s">
        <v>6588</v>
      </c>
      <c r="C208" s="8" t="s">
        <v>6589</v>
      </c>
      <c r="D208" s="5">
        <f>14-8+4-6-4</f>
        <v>0</v>
      </c>
      <c r="E208" s="5" t="s">
        <v>292</v>
      </c>
      <c r="F208" s="5" t="s">
        <v>5970</v>
      </c>
      <c r="G208" s="5">
        <v>85</v>
      </c>
      <c r="H208" s="5" t="s">
        <v>6401</v>
      </c>
      <c r="I208" s="5"/>
      <c r="J208" s="5"/>
      <c r="K208" s="107" t="s">
        <v>6584</v>
      </c>
      <c r="L208" s="5"/>
      <c r="M208" s="5"/>
      <c r="N208" s="5"/>
      <c r="O208" t="s">
        <v>321</v>
      </c>
      <c r="AA208" s="8" t="s">
        <v>6399</v>
      </c>
    </row>
    <row r="209" spans="1:27" x14ac:dyDescent="0.2">
      <c r="A209">
        <v>3</v>
      </c>
      <c r="B209" s="8" t="s">
        <v>6590</v>
      </c>
      <c r="C209" s="8" t="s">
        <v>6591</v>
      </c>
      <c r="D209" s="5">
        <f>43-28+110</f>
        <v>125</v>
      </c>
      <c r="E209" s="5" t="s">
        <v>292</v>
      </c>
      <c r="F209" s="5" t="s">
        <v>5970</v>
      </c>
      <c r="G209" s="5">
        <v>85</v>
      </c>
      <c r="H209" s="5" t="s">
        <v>6401</v>
      </c>
      <c r="I209" s="5"/>
      <c r="J209" s="5"/>
      <c r="K209" s="107" t="s">
        <v>6592</v>
      </c>
      <c r="L209" s="5"/>
      <c r="M209" s="5"/>
      <c r="N209" s="5"/>
      <c r="AA209" s="8" t="s">
        <v>6399</v>
      </c>
    </row>
    <row r="210" spans="1:27" x14ac:dyDescent="0.2">
      <c r="B210" s="8" t="s">
        <v>9144</v>
      </c>
      <c r="C210" s="8" t="s">
        <v>6399</v>
      </c>
      <c r="D210" s="5">
        <f>247-247</f>
        <v>0</v>
      </c>
      <c r="E210" s="5" t="s">
        <v>292</v>
      </c>
      <c r="F210" s="5" t="s">
        <v>5970</v>
      </c>
      <c r="G210" s="5">
        <v>85</v>
      </c>
      <c r="H210" s="5" t="s">
        <v>6401</v>
      </c>
      <c r="I210" s="5"/>
      <c r="J210" s="5"/>
      <c r="K210" s="107" t="s">
        <v>10370</v>
      </c>
      <c r="L210" s="5"/>
      <c r="M210" s="5"/>
      <c r="N210" s="5"/>
      <c r="AA210" s="8" t="s">
        <v>6399</v>
      </c>
    </row>
    <row r="211" spans="1:27" x14ac:dyDescent="0.2">
      <c r="A211">
        <v>4</v>
      </c>
      <c r="B211" s="8" t="s">
        <v>6593</v>
      </c>
      <c r="C211" s="8" t="s">
        <v>10371</v>
      </c>
      <c r="D211" s="5">
        <f>259+118-377</f>
        <v>0</v>
      </c>
      <c r="E211" s="5" t="s">
        <v>292</v>
      </c>
      <c r="F211" s="5" t="s">
        <v>5970</v>
      </c>
      <c r="G211" s="5">
        <v>85</v>
      </c>
      <c r="H211" s="5" t="s">
        <v>6401</v>
      </c>
      <c r="I211" s="5"/>
      <c r="J211" s="5"/>
      <c r="K211" s="107" t="s">
        <v>6594</v>
      </c>
      <c r="L211" s="5"/>
      <c r="M211" s="5"/>
      <c r="N211" s="5"/>
      <c r="AA211" s="8" t="s">
        <v>6399</v>
      </c>
    </row>
    <row r="212" spans="1:27" x14ac:dyDescent="0.2">
      <c r="B212" s="8" t="s">
        <v>6593</v>
      </c>
      <c r="C212" s="8" t="s">
        <v>6399</v>
      </c>
      <c r="D212" s="5">
        <f>271+157+363</f>
        <v>791</v>
      </c>
      <c r="E212" s="5" t="s">
        <v>292</v>
      </c>
      <c r="F212" s="5" t="s">
        <v>5970</v>
      </c>
      <c r="G212" s="5">
        <v>85</v>
      </c>
      <c r="H212" s="5" t="s">
        <v>6401</v>
      </c>
      <c r="I212" s="5"/>
      <c r="J212" s="5"/>
      <c r="K212" s="107" t="s">
        <v>6594</v>
      </c>
      <c r="L212" s="5"/>
      <c r="M212" s="5"/>
      <c r="N212" s="5"/>
      <c r="AA212" s="8" t="s">
        <v>6399</v>
      </c>
    </row>
    <row r="213" spans="1:27" x14ac:dyDescent="0.2">
      <c r="A213">
        <v>5</v>
      </c>
      <c r="B213" s="8" t="s">
        <v>6595</v>
      </c>
      <c r="C213" s="8" t="s">
        <v>6596</v>
      </c>
      <c r="D213" s="5">
        <f>34-1+140</f>
        <v>173</v>
      </c>
      <c r="E213" s="5" t="s">
        <v>292</v>
      </c>
      <c r="F213" s="5" t="s">
        <v>5970</v>
      </c>
      <c r="G213" s="5">
        <v>85</v>
      </c>
      <c r="H213" s="5" t="s">
        <v>6401</v>
      </c>
      <c r="I213" s="5"/>
      <c r="J213" s="5"/>
      <c r="K213" s="107"/>
      <c r="L213" s="5"/>
      <c r="M213" s="5"/>
      <c r="N213" s="5"/>
      <c r="O213" t="s">
        <v>321</v>
      </c>
      <c r="AA213" s="8" t="s">
        <v>6399</v>
      </c>
    </row>
    <row r="214" spans="1:27" x14ac:dyDescent="0.2">
      <c r="A214">
        <v>6</v>
      </c>
      <c r="B214" s="8" t="s">
        <v>6597</v>
      </c>
      <c r="C214" s="8" t="s">
        <v>10372</v>
      </c>
      <c r="D214" s="5">
        <f>192+20-212</f>
        <v>0</v>
      </c>
      <c r="E214" s="5" t="s">
        <v>292</v>
      </c>
      <c r="F214" s="5" t="s">
        <v>5970</v>
      </c>
      <c r="G214" s="5">
        <v>85</v>
      </c>
      <c r="H214" s="5" t="s">
        <v>6401</v>
      </c>
      <c r="I214" s="5"/>
      <c r="J214" s="5"/>
      <c r="K214" s="107"/>
      <c r="L214" s="5"/>
      <c r="M214" s="5"/>
      <c r="N214" s="5"/>
      <c r="AA214" s="8" t="s">
        <v>6399</v>
      </c>
    </row>
    <row r="215" spans="1:27" x14ac:dyDescent="0.2">
      <c r="B215" s="8" t="s">
        <v>6597</v>
      </c>
      <c r="C215" s="8" t="s">
        <v>6399</v>
      </c>
      <c r="D215" s="5">
        <f>160+1087</f>
        <v>1247</v>
      </c>
      <c r="E215" s="5" t="s">
        <v>292</v>
      </c>
      <c r="F215" s="5" t="s">
        <v>5970</v>
      </c>
      <c r="G215" s="5">
        <v>85</v>
      </c>
      <c r="H215" s="5" t="s">
        <v>6401</v>
      </c>
      <c r="I215" s="5"/>
      <c r="J215" s="5"/>
      <c r="K215" s="107"/>
      <c r="L215" s="5"/>
      <c r="M215" s="5"/>
      <c r="N215" s="5"/>
      <c r="AA215" s="8" t="s">
        <v>6399</v>
      </c>
    </row>
    <row r="216" spans="1:27" x14ac:dyDescent="0.2">
      <c r="A216">
        <v>7</v>
      </c>
      <c r="B216" s="8" t="s">
        <v>6598</v>
      </c>
      <c r="C216" s="8" t="s">
        <v>6599</v>
      </c>
      <c r="D216" s="5">
        <f>37+191</f>
        <v>228</v>
      </c>
      <c r="E216" s="5" t="s">
        <v>292</v>
      </c>
      <c r="F216" s="5" t="s">
        <v>5970</v>
      </c>
      <c r="G216" s="5">
        <v>85</v>
      </c>
      <c r="H216" s="5" t="s">
        <v>6401</v>
      </c>
      <c r="I216" s="5"/>
      <c r="J216" s="5"/>
      <c r="K216" s="107" t="s">
        <v>6600</v>
      </c>
      <c r="L216" s="5"/>
      <c r="M216" s="5"/>
      <c r="N216" s="5"/>
      <c r="AA216" s="8" t="s">
        <v>6399</v>
      </c>
    </row>
    <row r="217" spans="1:27" s="178" customFormat="1" x14ac:dyDescent="0.2">
      <c r="B217" s="179" t="s">
        <v>6601</v>
      </c>
      <c r="C217" s="140" t="s">
        <v>6602</v>
      </c>
      <c r="D217" s="180">
        <f>37</f>
        <v>37</v>
      </c>
      <c r="E217" s="180" t="s">
        <v>292</v>
      </c>
      <c r="F217" s="180" t="s">
        <v>5970</v>
      </c>
      <c r="G217" s="180">
        <v>85</v>
      </c>
      <c r="H217" s="180" t="s">
        <v>6401</v>
      </c>
      <c r="I217" s="180"/>
      <c r="J217" s="180"/>
      <c r="K217" s="181" t="s">
        <v>6600</v>
      </c>
      <c r="L217" s="180"/>
      <c r="M217" s="180"/>
      <c r="N217" s="180"/>
      <c r="AA217" s="179" t="s">
        <v>6399</v>
      </c>
    </row>
    <row r="218" spans="1:27" x14ac:dyDescent="0.2">
      <c r="A218">
        <v>8</v>
      </c>
      <c r="B218" s="8" t="s">
        <v>6603</v>
      </c>
      <c r="C218" s="8" t="s">
        <v>6604</v>
      </c>
      <c r="D218" s="5">
        <f>60+4+87</f>
        <v>151</v>
      </c>
      <c r="E218" s="5" t="s">
        <v>292</v>
      </c>
      <c r="F218" s="5" t="s">
        <v>5970</v>
      </c>
      <c r="G218" s="5">
        <v>85</v>
      </c>
      <c r="H218" s="5" t="s">
        <v>6401</v>
      </c>
      <c r="I218" s="5"/>
      <c r="J218" s="5"/>
      <c r="K218" s="107"/>
      <c r="L218" s="5"/>
      <c r="M218" s="5"/>
      <c r="N218" s="5"/>
      <c r="AA218" s="8" t="s">
        <v>6399</v>
      </c>
    </row>
    <row r="219" spans="1:27" x14ac:dyDescent="0.2">
      <c r="A219">
        <v>9</v>
      </c>
      <c r="B219" s="8" t="s">
        <v>6605</v>
      </c>
      <c r="C219" s="8" t="s">
        <v>6606</v>
      </c>
      <c r="D219" s="5">
        <f>5-3+17+2</f>
        <v>21</v>
      </c>
      <c r="E219" s="5" t="s">
        <v>292</v>
      </c>
      <c r="F219" s="5" t="s">
        <v>5970</v>
      </c>
      <c r="G219" s="5">
        <v>85</v>
      </c>
      <c r="H219" s="5" t="s">
        <v>6401</v>
      </c>
      <c r="I219" s="5"/>
      <c r="J219" s="5"/>
      <c r="K219" s="107"/>
      <c r="L219" s="5"/>
      <c r="M219" s="5"/>
      <c r="N219" s="5"/>
      <c r="AA219" s="8" t="s">
        <v>6399</v>
      </c>
    </row>
    <row r="220" spans="1:27" x14ac:dyDescent="0.2">
      <c r="A220">
        <v>10</v>
      </c>
      <c r="B220" s="8" t="s">
        <v>6607</v>
      </c>
      <c r="C220" s="8" t="s">
        <v>10373</v>
      </c>
      <c r="D220" s="5">
        <f>72+4-76</f>
        <v>0</v>
      </c>
      <c r="E220" s="5" t="s">
        <v>292</v>
      </c>
      <c r="F220" s="5" t="s">
        <v>5970</v>
      </c>
      <c r="G220" s="5">
        <v>85</v>
      </c>
      <c r="H220" s="5" t="s">
        <v>6401</v>
      </c>
      <c r="I220" s="5"/>
      <c r="J220" s="5"/>
      <c r="K220" s="107"/>
      <c r="L220" s="5"/>
      <c r="M220" s="5"/>
      <c r="N220" s="5"/>
      <c r="AA220" s="8" t="s">
        <v>6399</v>
      </c>
    </row>
    <row r="221" spans="1:27" s="169" customFormat="1" x14ac:dyDescent="0.2">
      <c r="B221" s="140" t="s">
        <v>6607</v>
      </c>
      <c r="C221" s="140" t="s">
        <v>6399</v>
      </c>
      <c r="D221" s="167">
        <f>72+4+90</f>
        <v>166</v>
      </c>
      <c r="E221" s="167" t="s">
        <v>292</v>
      </c>
      <c r="F221" s="167" t="s">
        <v>5970</v>
      </c>
      <c r="G221" s="167">
        <v>85</v>
      </c>
      <c r="H221" s="167" t="s">
        <v>6401</v>
      </c>
      <c r="I221" s="167"/>
      <c r="J221" s="167"/>
      <c r="K221" s="168"/>
      <c r="L221" s="167"/>
      <c r="M221" s="167"/>
      <c r="N221" s="167"/>
      <c r="AA221" s="140" t="s">
        <v>6399</v>
      </c>
    </row>
    <row r="222" spans="1:27" x14ac:dyDescent="0.2">
      <c r="A222">
        <v>11</v>
      </c>
      <c r="B222" s="8" t="s">
        <v>6608</v>
      </c>
      <c r="C222" s="8" t="s">
        <v>6609</v>
      </c>
      <c r="D222" s="5">
        <f>20+10+191</f>
        <v>221</v>
      </c>
      <c r="E222" s="5" t="s">
        <v>292</v>
      </c>
      <c r="F222" s="5" t="s">
        <v>5970</v>
      </c>
      <c r="G222" s="5">
        <v>85</v>
      </c>
      <c r="H222" s="5" t="s">
        <v>6401</v>
      </c>
      <c r="I222" s="5"/>
      <c r="J222" s="5"/>
      <c r="K222" s="107"/>
      <c r="L222" s="5"/>
      <c r="M222" s="5"/>
      <c r="N222" s="5"/>
      <c r="AA222" s="8" t="s">
        <v>6399</v>
      </c>
    </row>
    <row r="223" spans="1:27" x14ac:dyDescent="0.2">
      <c r="A223" s="5"/>
      <c r="B223" s="8" t="s">
        <v>10374</v>
      </c>
      <c r="C223" s="8" t="s">
        <v>6399</v>
      </c>
      <c r="D223" s="5">
        <f>191-191</f>
        <v>0</v>
      </c>
      <c r="E223" s="5" t="s">
        <v>21</v>
      </c>
      <c r="F223" s="5" t="s">
        <v>5970</v>
      </c>
      <c r="G223" s="5">
        <v>85</v>
      </c>
      <c r="H223" s="5" t="s">
        <v>34</v>
      </c>
      <c r="I223" s="5"/>
      <c r="J223" s="5"/>
      <c r="K223" s="107"/>
      <c r="L223" s="5"/>
      <c r="M223" s="5"/>
      <c r="N223" s="5"/>
      <c r="AA223" s="8" t="s">
        <v>10375</v>
      </c>
    </row>
    <row r="224" spans="1:27" x14ac:dyDescent="0.2">
      <c r="A224">
        <v>12</v>
      </c>
      <c r="B224" s="8" t="s">
        <v>6610</v>
      </c>
      <c r="C224" s="8" t="s">
        <v>6611</v>
      </c>
      <c r="D224" s="5">
        <f>3</f>
        <v>3</v>
      </c>
      <c r="E224" s="5" t="s">
        <v>292</v>
      </c>
      <c r="F224" s="5" t="s">
        <v>5970</v>
      </c>
      <c r="G224" s="5">
        <v>85</v>
      </c>
      <c r="H224" s="5" t="s">
        <v>6401</v>
      </c>
      <c r="I224" s="5"/>
      <c r="J224" s="5"/>
      <c r="K224" s="107"/>
      <c r="L224" s="5"/>
      <c r="M224" s="5"/>
      <c r="N224" s="5"/>
      <c r="O224" t="s">
        <v>321</v>
      </c>
      <c r="AA224" s="8" t="s">
        <v>6399</v>
      </c>
    </row>
    <row r="225" spans="1:8" x14ac:dyDescent="0.2">
      <c r="A225" t="s">
        <v>6573</v>
      </c>
      <c r="B225" t="s">
        <v>6574</v>
      </c>
      <c r="C225" t="s">
        <v>5971</v>
      </c>
    </row>
    <row r="226" spans="1:8" x14ac:dyDescent="0.2">
      <c r="B226" t="s">
        <v>6211</v>
      </c>
      <c r="C226" t="s">
        <v>6575</v>
      </c>
      <c r="D226">
        <v>200</v>
      </c>
      <c r="E226" t="s">
        <v>21</v>
      </c>
      <c r="F226" t="s">
        <v>5970</v>
      </c>
      <c r="G226">
        <v>84</v>
      </c>
      <c r="H226" t="s">
        <v>5971</v>
      </c>
    </row>
    <row r="227" spans="1:8" x14ac:dyDescent="0.2">
      <c r="B227" t="s">
        <v>6212</v>
      </c>
      <c r="C227" t="s">
        <v>6575</v>
      </c>
      <c r="D227">
        <v>200</v>
      </c>
      <c r="E227" t="s">
        <v>21</v>
      </c>
      <c r="F227" t="s">
        <v>5970</v>
      </c>
      <c r="G227">
        <v>84</v>
      </c>
      <c r="H227" t="s">
        <v>5971</v>
      </c>
    </row>
    <row r="228" spans="1:8" s="63" customFormat="1" x14ac:dyDescent="0.2"/>
    <row r="229" spans="1:8" x14ac:dyDescent="0.2">
      <c r="A229" t="s">
        <v>6617</v>
      </c>
      <c r="B229" t="s">
        <v>6618</v>
      </c>
      <c r="C229" t="s">
        <v>6619</v>
      </c>
    </row>
    <row r="230" spans="1:8" x14ac:dyDescent="0.2">
      <c r="A230">
        <v>1</v>
      </c>
      <c r="B230" t="s">
        <v>6499</v>
      </c>
      <c r="C230" t="s">
        <v>6620</v>
      </c>
      <c r="D230">
        <v>99</v>
      </c>
      <c r="E230" t="s">
        <v>21</v>
      </c>
      <c r="F230" t="s">
        <v>5970</v>
      </c>
      <c r="G230">
        <v>87</v>
      </c>
      <c r="H230" t="s">
        <v>3510</v>
      </c>
    </row>
    <row r="231" spans="1:8" x14ac:dyDescent="0.2">
      <c r="A231">
        <v>2</v>
      </c>
      <c r="B231" t="s">
        <v>6622</v>
      </c>
      <c r="C231" t="s">
        <v>6623</v>
      </c>
      <c r="D231">
        <v>294</v>
      </c>
      <c r="E231" t="s">
        <v>21</v>
      </c>
      <c r="F231" t="s">
        <v>5970</v>
      </c>
      <c r="G231">
        <v>87</v>
      </c>
      <c r="H231" t="s">
        <v>3510</v>
      </c>
    </row>
    <row r="232" spans="1:8" x14ac:dyDescent="0.2">
      <c r="A232">
        <v>3</v>
      </c>
      <c r="B232" t="s">
        <v>6624</v>
      </c>
      <c r="C232" t="s">
        <v>6625</v>
      </c>
      <c r="D232">
        <v>74</v>
      </c>
      <c r="E232" t="s">
        <v>21</v>
      </c>
      <c r="F232" t="s">
        <v>5970</v>
      </c>
      <c r="G232">
        <v>87</v>
      </c>
      <c r="H232" t="s">
        <v>3510</v>
      </c>
    </row>
    <row r="233" spans="1:8" x14ac:dyDescent="0.2">
      <c r="A233">
        <v>4</v>
      </c>
      <c r="B233" t="s">
        <v>6626</v>
      </c>
      <c r="C233" t="s">
        <v>6627</v>
      </c>
      <c r="D233">
        <v>93</v>
      </c>
      <c r="E233" t="s">
        <v>21</v>
      </c>
      <c r="F233" t="s">
        <v>5970</v>
      </c>
      <c r="G233">
        <v>87</v>
      </c>
      <c r="H233" t="s">
        <v>3510</v>
      </c>
    </row>
    <row r="234" spans="1:8" x14ac:dyDescent="0.2">
      <c r="A234">
        <v>5</v>
      </c>
      <c r="B234" t="s">
        <v>6628</v>
      </c>
      <c r="C234" t="s">
        <v>6629</v>
      </c>
      <c r="D234">
        <v>214</v>
      </c>
      <c r="E234" t="s">
        <v>21</v>
      </c>
      <c r="F234" t="s">
        <v>5970</v>
      </c>
      <c r="G234">
        <v>87</v>
      </c>
      <c r="H234" t="s">
        <v>3510</v>
      </c>
    </row>
    <row r="235" spans="1:8" x14ac:dyDescent="0.2">
      <c r="A235">
        <v>6</v>
      </c>
      <c r="B235" t="s">
        <v>6630</v>
      </c>
      <c r="C235" t="s">
        <v>6631</v>
      </c>
      <c r="D235">
        <v>100</v>
      </c>
      <c r="E235" t="s">
        <v>21</v>
      </c>
      <c r="F235" t="s">
        <v>5970</v>
      </c>
      <c r="G235">
        <v>87</v>
      </c>
      <c r="H235" t="s">
        <v>3510</v>
      </c>
    </row>
    <row r="236" spans="1:8" x14ac:dyDescent="0.2">
      <c r="A236">
        <v>7</v>
      </c>
      <c r="B236" t="s">
        <v>6632</v>
      </c>
      <c r="C236" t="s">
        <v>6633</v>
      </c>
      <c r="D236">
        <v>100</v>
      </c>
      <c r="E236" t="s">
        <v>21</v>
      </c>
      <c r="F236" t="s">
        <v>5970</v>
      </c>
      <c r="G236">
        <v>87</v>
      </c>
      <c r="H236" t="s">
        <v>3510</v>
      </c>
    </row>
    <row r="237" spans="1:8" x14ac:dyDescent="0.2">
      <c r="A237">
        <v>8</v>
      </c>
      <c r="B237" t="s">
        <v>6634</v>
      </c>
      <c r="C237" t="s">
        <v>6635</v>
      </c>
      <c r="D237">
        <v>0</v>
      </c>
      <c r="E237" t="s">
        <v>21</v>
      </c>
      <c r="F237" t="s">
        <v>5970</v>
      </c>
      <c r="G237">
        <v>87</v>
      </c>
      <c r="H237" t="s">
        <v>3510</v>
      </c>
    </row>
    <row r="238" spans="1:8" x14ac:dyDescent="0.2">
      <c r="B238" t="s">
        <v>6634</v>
      </c>
      <c r="C238" t="s">
        <v>6635</v>
      </c>
      <c r="D238">
        <v>143</v>
      </c>
      <c r="E238" t="s">
        <v>21</v>
      </c>
      <c r="F238" t="s">
        <v>5970</v>
      </c>
      <c r="G238">
        <v>87</v>
      </c>
      <c r="H238" t="s">
        <v>3510</v>
      </c>
    </row>
    <row r="239" spans="1:8" x14ac:dyDescent="0.2">
      <c r="A239">
        <v>9</v>
      </c>
      <c r="B239" t="s">
        <v>6422</v>
      </c>
      <c r="C239" t="s">
        <v>6637</v>
      </c>
      <c r="D239">
        <v>185</v>
      </c>
      <c r="E239" t="s">
        <v>21</v>
      </c>
      <c r="F239" t="s">
        <v>5970</v>
      </c>
      <c r="G239">
        <v>87</v>
      </c>
      <c r="H239" t="s">
        <v>3510</v>
      </c>
    </row>
    <row r="240" spans="1:8" x14ac:dyDescent="0.2">
      <c r="A240">
        <v>10</v>
      </c>
      <c r="B240" t="s">
        <v>6425</v>
      </c>
      <c r="C240" t="s">
        <v>6638</v>
      </c>
      <c r="D240">
        <v>82</v>
      </c>
      <c r="E240" t="s">
        <v>21</v>
      </c>
      <c r="F240" t="s">
        <v>5970</v>
      </c>
      <c r="G240">
        <v>87</v>
      </c>
      <c r="H240" t="s">
        <v>3510</v>
      </c>
    </row>
    <row r="241" spans="1:8" x14ac:dyDescent="0.2">
      <c r="A241">
        <v>11</v>
      </c>
      <c r="B241" t="s">
        <v>6427</v>
      </c>
      <c r="C241" t="s">
        <v>6639</v>
      </c>
      <c r="D241">
        <v>318</v>
      </c>
      <c r="E241" t="s">
        <v>21</v>
      </c>
      <c r="F241" t="s">
        <v>5970</v>
      </c>
      <c r="G241">
        <v>87</v>
      </c>
      <c r="H241" t="s">
        <v>3510</v>
      </c>
    </row>
    <row r="242" spans="1:8" x14ac:dyDescent="0.2">
      <c r="A242">
        <v>12</v>
      </c>
      <c r="B242" t="s">
        <v>6502</v>
      </c>
      <c r="C242" t="s">
        <v>6640</v>
      </c>
      <c r="D242">
        <v>86</v>
      </c>
      <c r="E242" t="s">
        <v>21</v>
      </c>
      <c r="F242" t="s">
        <v>5970</v>
      </c>
      <c r="G242">
        <v>87</v>
      </c>
      <c r="H242" t="s">
        <v>3510</v>
      </c>
    </row>
    <row r="243" spans="1:8" x14ac:dyDescent="0.2">
      <c r="A243">
        <v>13</v>
      </c>
      <c r="B243" t="s">
        <v>6562</v>
      </c>
      <c r="C243" t="s">
        <v>6641</v>
      </c>
      <c r="D243">
        <v>982</v>
      </c>
      <c r="E243" t="s">
        <v>21</v>
      </c>
      <c r="F243" t="s">
        <v>5970</v>
      </c>
      <c r="G243">
        <v>87</v>
      </c>
      <c r="H243" t="s">
        <v>3510</v>
      </c>
    </row>
    <row r="244" spans="1:8" x14ac:dyDescent="0.2">
      <c r="A244">
        <v>14</v>
      </c>
      <c r="B244" t="s">
        <v>6435</v>
      </c>
      <c r="C244" t="s">
        <v>6642</v>
      </c>
      <c r="D244">
        <v>744</v>
      </c>
      <c r="E244" t="s">
        <v>21</v>
      </c>
      <c r="F244" t="s">
        <v>5970</v>
      </c>
      <c r="G244">
        <v>87</v>
      </c>
      <c r="H244" t="s">
        <v>3510</v>
      </c>
    </row>
    <row r="245" spans="1:8" x14ac:dyDescent="0.2">
      <c r="A245">
        <v>15</v>
      </c>
      <c r="B245" t="s">
        <v>6504</v>
      </c>
      <c r="C245" t="s">
        <v>6643</v>
      </c>
      <c r="D245">
        <v>206</v>
      </c>
      <c r="E245" t="s">
        <v>21</v>
      </c>
      <c r="F245" t="s">
        <v>5970</v>
      </c>
      <c r="G245">
        <v>87</v>
      </c>
      <c r="H245" t="s">
        <v>3510</v>
      </c>
    </row>
    <row r="246" spans="1:8" x14ac:dyDescent="0.2">
      <c r="A246">
        <v>16</v>
      </c>
      <c r="B246" t="s">
        <v>6438</v>
      </c>
      <c r="C246" t="s">
        <v>6644</v>
      </c>
      <c r="D246">
        <v>142</v>
      </c>
      <c r="E246" t="s">
        <v>21</v>
      </c>
      <c r="F246" t="s">
        <v>5970</v>
      </c>
      <c r="G246">
        <v>87</v>
      </c>
      <c r="H246" t="s">
        <v>3510</v>
      </c>
    </row>
    <row r="247" spans="1:8" x14ac:dyDescent="0.2">
      <c r="A247" t="s">
        <v>6645</v>
      </c>
      <c r="B247" t="s">
        <v>6646</v>
      </c>
      <c r="C247" t="s">
        <v>6619</v>
      </c>
    </row>
    <row r="248" spans="1:8" x14ac:dyDescent="0.2">
      <c r="A248">
        <v>1</v>
      </c>
      <c r="B248" t="s">
        <v>6647</v>
      </c>
      <c r="C248" t="s">
        <v>6620</v>
      </c>
      <c r="D248">
        <v>454</v>
      </c>
      <c r="E248" t="s">
        <v>21</v>
      </c>
      <c r="F248" t="s">
        <v>5970</v>
      </c>
      <c r="G248">
        <v>88</v>
      </c>
      <c r="H248" t="s">
        <v>3510</v>
      </c>
    </row>
    <row r="249" spans="1:8" x14ac:dyDescent="0.2">
      <c r="B249" t="s">
        <v>6648</v>
      </c>
      <c r="C249" t="s">
        <v>6620</v>
      </c>
      <c r="D249">
        <v>100</v>
      </c>
      <c r="E249" t="s">
        <v>21</v>
      </c>
      <c r="F249" t="s">
        <v>5970</v>
      </c>
      <c r="G249">
        <v>88</v>
      </c>
      <c r="H249" t="s">
        <v>3510</v>
      </c>
    </row>
    <row r="250" spans="1:8" x14ac:dyDescent="0.2">
      <c r="A250">
        <v>2</v>
      </c>
      <c r="B250" t="s">
        <v>6649</v>
      </c>
      <c r="C250" t="s">
        <v>6650</v>
      </c>
      <c r="D250">
        <v>129</v>
      </c>
      <c r="E250" t="s">
        <v>21</v>
      </c>
      <c r="F250" t="s">
        <v>5970</v>
      </c>
      <c r="G250">
        <v>88</v>
      </c>
      <c r="H250" t="s">
        <v>3510</v>
      </c>
    </row>
    <row r="251" spans="1:8" x14ac:dyDescent="0.2">
      <c r="A251">
        <v>3</v>
      </c>
      <c r="B251" t="s">
        <v>6564</v>
      </c>
      <c r="C251" t="s">
        <v>6651</v>
      </c>
      <c r="D251">
        <v>531</v>
      </c>
      <c r="E251" t="s">
        <v>21</v>
      </c>
      <c r="F251" t="s">
        <v>5970</v>
      </c>
      <c r="G251">
        <v>88</v>
      </c>
      <c r="H251" t="s">
        <v>3510</v>
      </c>
    </row>
    <row r="252" spans="1:8" x14ac:dyDescent="0.2">
      <c r="A252">
        <v>4</v>
      </c>
      <c r="B252" t="s">
        <v>6652</v>
      </c>
      <c r="C252" t="s">
        <v>6653</v>
      </c>
      <c r="D252">
        <v>408</v>
      </c>
      <c r="E252" t="s">
        <v>21</v>
      </c>
      <c r="F252" t="s">
        <v>5970</v>
      </c>
      <c r="G252">
        <v>88</v>
      </c>
      <c r="H252" t="s">
        <v>3510</v>
      </c>
    </row>
    <row r="253" spans="1:8" x14ac:dyDescent="0.2">
      <c r="A253">
        <v>5</v>
      </c>
      <c r="B253" t="s">
        <v>6654</v>
      </c>
      <c r="C253" t="s">
        <v>6655</v>
      </c>
      <c r="D253">
        <v>69</v>
      </c>
      <c r="E253" t="s">
        <v>21</v>
      </c>
      <c r="F253" t="s">
        <v>5970</v>
      </c>
      <c r="G253">
        <v>88</v>
      </c>
      <c r="H253" t="s">
        <v>3510</v>
      </c>
    </row>
    <row r="254" spans="1:8" x14ac:dyDescent="0.2">
      <c r="A254">
        <v>6</v>
      </c>
      <c r="B254" t="s">
        <v>6456</v>
      </c>
      <c r="C254" t="s">
        <v>6631</v>
      </c>
      <c r="D254">
        <v>94</v>
      </c>
      <c r="E254" t="s">
        <v>21</v>
      </c>
      <c r="F254" t="s">
        <v>5970</v>
      </c>
      <c r="G254">
        <v>88</v>
      </c>
      <c r="H254" t="s">
        <v>3510</v>
      </c>
    </row>
    <row r="255" spans="1:8" x14ac:dyDescent="0.2">
      <c r="A255">
        <v>7</v>
      </c>
      <c r="B255" t="s">
        <v>6656</v>
      </c>
      <c r="C255" t="s">
        <v>6657</v>
      </c>
      <c r="D255">
        <v>13</v>
      </c>
      <c r="E255" t="s">
        <v>21</v>
      </c>
      <c r="F255" t="s">
        <v>5970</v>
      </c>
      <c r="G255">
        <v>88</v>
      </c>
      <c r="H255" t="s">
        <v>3510</v>
      </c>
    </row>
    <row r="256" spans="1:8" x14ac:dyDescent="0.2">
      <c r="A256">
        <v>8</v>
      </c>
      <c r="B256" t="s">
        <v>6460</v>
      </c>
      <c r="C256" t="s">
        <v>6635</v>
      </c>
      <c r="D256">
        <v>286</v>
      </c>
      <c r="E256" t="s">
        <v>21</v>
      </c>
      <c r="F256" t="s">
        <v>5970</v>
      </c>
      <c r="G256">
        <v>88</v>
      </c>
      <c r="H256" t="s">
        <v>3510</v>
      </c>
    </row>
    <row r="257" spans="1:8" x14ac:dyDescent="0.2">
      <c r="A257">
        <v>9</v>
      </c>
      <c r="B257" t="s">
        <v>6465</v>
      </c>
      <c r="C257" t="s">
        <v>6658</v>
      </c>
      <c r="D257">
        <v>98</v>
      </c>
      <c r="E257" t="s">
        <v>21</v>
      </c>
      <c r="F257" t="s">
        <v>5970</v>
      </c>
      <c r="G257">
        <v>88</v>
      </c>
      <c r="H257" t="s">
        <v>3510</v>
      </c>
    </row>
    <row r="258" spans="1:8" x14ac:dyDescent="0.2">
      <c r="A258">
        <v>10</v>
      </c>
      <c r="B258" t="s">
        <v>6466</v>
      </c>
      <c r="C258" t="s">
        <v>6638</v>
      </c>
      <c r="D258">
        <v>100</v>
      </c>
      <c r="E258" t="s">
        <v>21</v>
      </c>
      <c r="F258" t="s">
        <v>5970</v>
      </c>
      <c r="G258">
        <v>88</v>
      </c>
      <c r="H258" t="s">
        <v>3510</v>
      </c>
    </row>
    <row r="259" spans="1:8" x14ac:dyDescent="0.2">
      <c r="A259">
        <v>11</v>
      </c>
      <c r="B259" t="s">
        <v>6659</v>
      </c>
      <c r="C259" t="s">
        <v>6660</v>
      </c>
      <c r="D259">
        <v>102</v>
      </c>
      <c r="E259" t="s">
        <v>21</v>
      </c>
      <c r="F259" t="s">
        <v>5970</v>
      </c>
      <c r="G259">
        <v>88</v>
      </c>
      <c r="H259" t="s">
        <v>3510</v>
      </c>
    </row>
    <row r="260" spans="1:8" x14ac:dyDescent="0.2">
      <c r="A260">
        <v>12</v>
      </c>
      <c r="B260" t="s">
        <v>6661</v>
      </c>
      <c r="C260" t="s">
        <v>6662</v>
      </c>
      <c r="D260">
        <v>50</v>
      </c>
      <c r="E260" t="s">
        <v>21</v>
      </c>
      <c r="F260" t="s">
        <v>5970</v>
      </c>
      <c r="G260">
        <v>88</v>
      </c>
      <c r="H260" t="s">
        <v>3510</v>
      </c>
    </row>
    <row r="261" spans="1:8" x14ac:dyDescent="0.2">
      <c r="A261">
        <v>13</v>
      </c>
      <c r="B261" t="s">
        <v>6663</v>
      </c>
      <c r="C261" t="s">
        <v>6641</v>
      </c>
      <c r="D261">
        <v>456</v>
      </c>
      <c r="E261" t="s">
        <v>21</v>
      </c>
      <c r="F261" t="s">
        <v>5970</v>
      </c>
      <c r="G261">
        <v>88</v>
      </c>
      <c r="H261" t="s">
        <v>3510</v>
      </c>
    </row>
    <row r="262" spans="1:8" x14ac:dyDescent="0.2">
      <c r="A262">
        <v>14</v>
      </c>
      <c r="B262" t="s">
        <v>6664</v>
      </c>
      <c r="C262" t="s">
        <v>6642</v>
      </c>
      <c r="D262">
        <v>358</v>
      </c>
      <c r="E262" t="s">
        <v>21</v>
      </c>
      <c r="F262" t="s">
        <v>5970</v>
      </c>
      <c r="G262">
        <v>88</v>
      </c>
      <c r="H262" t="s">
        <v>3510</v>
      </c>
    </row>
    <row r="263" spans="1:8" x14ac:dyDescent="0.2">
      <c r="A263">
        <v>15</v>
      </c>
      <c r="B263" t="s">
        <v>6476</v>
      </c>
      <c r="C263" t="s">
        <v>6643</v>
      </c>
      <c r="D263">
        <v>92</v>
      </c>
      <c r="E263" t="s">
        <v>21</v>
      </c>
      <c r="F263" t="s">
        <v>5970</v>
      </c>
      <c r="G263">
        <v>88</v>
      </c>
      <c r="H263" t="s">
        <v>3510</v>
      </c>
    </row>
    <row r="264" spans="1:8" x14ac:dyDescent="0.2">
      <c r="A264">
        <v>16</v>
      </c>
      <c r="B264" t="s">
        <v>6481</v>
      </c>
      <c r="C264" t="s">
        <v>6644</v>
      </c>
      <c r="D264">
        <v>196</v>
      </c>
      <c r="E264" t="s">
        <v>21</v>
      </c>
      <c r="F264" t="s">
        <v>5970</v>
      </c>
      <c r="G264">
        <v>88</v>
      </c>
      <c r="H264" t="s">
        <v>3510</v>
      </c>
    </row>
    <row r="265" spans="1:8" x14ac:dyDescent="0.2">
      <c r="A265">
        <v>17</v>
      </c>
      <c r="B265" t="s">
        <v>6668</v>
      </c>
      <c r="C265" t="s">
        <v>6669</v>
      </c>
      <c r="D265">
        <v>47</v>
      </c>
      <c r="E265" t="s">
        <v>21</v>
      </c>
      <c r="F265" t="s">
        <v>5970</v>
      </c>
      <c r="G265">
        <v>88</v>
      </c>
      <c r="H265" t="s">
        <v>3510</v>
      </c>
    </row>
    <row r="266" spans="1:8" x14ac:dyDescent="0.2">
      <c r="A266">
        <v>18</v>
      </c>
      <c r="B266" t="s">
        <v>6670</v>
      </c>
      <c r="C266" t="s">
        <v>6671</v>
      </c>
      <c r="D266">
        <v>88</v>
      </c>
      <c r="E266" t="s">
        <v>21</v>
      </c>
      <c r="F266" t="s">
        <v>5970</v>
      </c>
      <c r="G266">
        <v>88</v>
      </c>
      <c r="H266" t="s">
        <v>3510</v>
      </c>
    </row>
    <row r="267" spans="1:8" x14ac:dyDescent="0.2">
      <c r="A267">
        <v>19</v>
      </c>
      <c r="B267" t="s">
        <v>6672</v>
      </c>
      <c r="C267" t="s">
        <v>6673</v>
      </c>
      <c r="D267">
        <v>32</v>
      </c>
      <c r="E267" t="s">
        <v>21</v>
      </c>
      <c r="F267" t="s">
        <v>5970</v>
      </c>
      <c r="G267">
        <v>88</v>
      </c>
      <c r="H267" t="s">
        <v>3510</v>
      </c>
    </row>
    <row r="268" spans="1:8" x14ac:dyDescent="0.2">
      <c r="A268">
        <v>20</v>
      </c>
      <c r="B268" t="s">
        <v>6491</v>
      </c>
      <c r="C268" t="s">
        <v>6674</v>
      </c>
      <c r="D268">
        <v>12</v>
      </c>
      <c r="E268" t="s">
        <v>21</v>
      </c>
      <c r="F268" t="s">
        <v>5970</v>
      </c>
      <c r="G268">
        <v>88</v>
      </c>
      <c r="H268" t="s">
        <v>3510</v>
      </c>
    </row>
    <row r="269" spans="1:8" x14ac:dyDescent="0.2">
      <c r="A269" t="s">
        <v>6675</v>
      </c>
      <c r="B269" t="s">
        <v>6676</v>
      </c>
      <c r="C269" t="s">
        <v>6619</v>
      </c>
    </row>
    <row r="270" spans="1:8" x14ac:dyDescent="0.2">
      <c r="A270">
        <v>1</v>
      </c>
      <c r="B270" t="s">
        <v>6677</v>
      </c>
      <c r="C270" t="s">
        <v>6678</v>
      </c>
      <c r="D270">
        <v>79</v>
      </c>
      <c r="E270" t="s">
        <v>21</v>
      </c>
      <c r="F270" t="s">
        <v>5970</v>
      </c>
      <c r="G270">
        <v>89</v>
      </c>
      <c r="H270" t="s">
        <v>3510</v>
      </c>
    </row>
    <row r="271" spans="1:8" x14ac:dyDescent="0.2">
      <c r="A271">
        <v>2</v>
      </c>
      <c r="B271" t="s">
        <v>6679</v>
      </c>
      <c r="C271" t="s">
        <v>6650</v>
      </c>
      <c r="D271">
        <v>92</v>
      </c>
      <c r="E271" t="s">
        <v>21</v>
      </c>
      <c r="F271" t="s">
        <v>5970</v>
      </c>
      <c r="G271">
        <v>89</v>
      </c>
      <c r="H271" t="s">
        <v>3510</v>
      </c>
    </row>
    <row r="272" spans="1:8" x14ac:dyDescent="0.2">
      <c r="A272">
        <v>3</v>
      </c>
      <c r="B272" t="s">
        <v>6682</v>
      </c>
      <c r="C272" t="s">
        <v>6625</v>
      </c>
      <c r="D272">
        <v>33</v>
      </c>
      <c r="E272" t="s">
        <v>21</v>
      </c>
      <c r="F272" t="s">
        <v>5970</v>
      </c>
      <c r="G272">
        <v>89</v>
      </c>
      <c r="H272" t="s">
        <v>3510</v>
      </c>
    </row>
    <row r="273" spans="1:15" x14ac:dyDescent="0.2">
      <c r="A273">
        <v>4</v>
      </c>
      <c r="B273" t="s">
        <v>6683</v>
      </c>
      <c r="C273" t="s">
        <v>6653</v>
      </c>
      <c r="D273">
        <v>41</v>
      </c>
      <c r="E273" t="s">
        <v>21</v>
      </c>
      <c r="F273" t="s">
        <v>5970</v>
      </c>
      <c r="G273">
        <v>89</v>
      </c>
      <c r="H273" t="s">
        <v>3510</v>
      </c>
    </row>
    <row r="274" spans="1:15" x14ac:dyDescent="0.2">
      <c r="A274">
        <v>5</v>
      </c>
      <c r="B274" t="s">
        <v>6684</v>
      </c>
      <c r="C274" t="s">
        <v>6629</v>
      </c>
      <c r="D274">
        <v>16</v>
      </c>
      <c r="E274" t="s">
        <v>21</v>
      </c>
      <c r="F274" t="s">
        <v>5970</v>
      </c>
      <c r="G274">
        <v>89</v>
      </c>
      <c r="H274" t="s">
        <v>3510</v>
      </c>
    </row>
    <row r="275" spans="1:15" x14ac:dyDescent="0.2">
      <c r="A275">
        <v>6</v>
      </c>
      <c r="B275" t="s">
        <v>6685</v>
      </c>
      <c r="C275" t="s">
        <v>6686</v>
      </c>
      <c r="D275">
        <v>7</v>
      </c>
      <c r="E275" t="s">
        <v>21</v>
      </c>
      <c r="F275" t="s">
        <v>5970</v>
      </c>
      <c r="G275">
        <v>89</v>
      </c>
      <c r="H275" t="s">
        <v>3510</v>
      </c>
    </row>
    <row r="276" spans="1:15" x14ac:dyDescent="0.2">
      <c r="A276">
        <v>7</v>
      </c>
      <c r="B276" t="s">
        <v>6687</v>
      </c>
      <c r="C276" t="s">
        <v>6657</v>
      </c>
      <c r="D276">
        <v>135</v>
      </c>
      <c r="E276" t="s">
        <v>21</v>
      </c>
      <c r="F276" t="s">
        <v>5970</v>
      </c>
      <c r="G276">
        <v>89</v>
      </c>
      <c r="H276" t="s">
        <v>3510</v>
      </c>
    </row>
    <row r="277" spans="1:15" x14ac:dyDescent="0.2">
      <c r="A277">
        <v>8</v>
      </c>
      <c r="B277" t="s">
        <v>6688</v>
      </c>
      <c r="C277" t="s">
        <v>6635</v>
      </c>
      <c r="D277">
        <v>76</v>
      </c>
      <c r="E277" t="s">
        <v>21</v>
      </c>
      <c r="F277" t="s">
        <v>5970</v>
      </c>
      <c r="G277">
        <v>89</v>
      </c>
      <c r="H277" t="s">
        <v>3510</v>
      </c>
    </row>
    <row r="278" spans="1:15" x14ac:dyDescent="0.2">
      <c r="A278">
        <v>9</v>
      </c>
      <c r="B278" t="s">
        <v>6400</v>
      </c>
      <c r="C278" t="s">
        <v>6689</v>
      </c>
      <c r="D278">
        <v>32</v>
      </c>
      <c r="E278" t="s">
        <v>21</v>
      </c>
      <c r="F278" t="s">
        <v>5970</v>
      </c>
      <c r="G278">
        <v>89</v>
      </c>
      <c r="H278" t="s">
        <v>3510</v>
      </c>
    </row>
    <row r="279" spans="1:15" x14ac:dyDescent="0.2">
      <c r="A279">
        <v>10</v>
      </c>
      <c r="B279" t="s">
        <v>6405</v>
      </c>
      <c r="C279" t="s">
        <v>6638</v>
      </c>
      <c r="D279">
        <v>14</v>
      </c>
      <c r="E279" t="s">
        <v>21</v>
      </c>
      <c r="F279" t="s">
        <v>5970</v>
      </c>
      <c r="G279">
        <v>89</v>
      </c>
      <c r="H279" t="s">
        <v>3510</v>
      </c>
    </row>
    <row r="280" spans="1:15" x14ac:dyDescent="0.2">
      <c r="A280">
        <v>11</v>
      </c>
      <c r="B280" t="s">
        <v>6690</v>
      </c>
      <c r="C280" t="s">
        <v>6660</v>
      </c>
      <c r="D280">
        <v>193</v>
      </c>
      <c r="E280" t="s">
        <v>21</v>
      </c>
      <c r="F280" t="s">
        <v>5970</v>
      </c>
      <c r="G280">
        <v>89</v>
      </c>
      <c r="H280" t="s">
        <v>3510</v>
      </c>
    </row>
    <row r="281" spans="1:15" x14ac:dyDescent="0.2">
      <c r="A281">
        <v>12</v>
      </c>
      <c r="B281" t="s">
        <v>6691</v>
      </c>
      <c r="C281" t="s">
        <v>6640</v>
      </c>
      <c r="D281">
        <v>48</v>
      </c>
      <c r="E281" t="s">
        <v>21</v>
      </c>
      <c r="F281" t="s">
        <v>5970</v>
      </c>
      <c r="G281">
        <v>89</v>
      </c>
      <c r="H281" t="s">
        <v>3510</v>
      </c>
    </row>
    <row r="282" spans="1:15" s="63" customFormat="1" x14ac:dyDescent="0.2"/>
    <row r="283" spans="1:15" s="169" customFormat="1" x14ac:dyDescent="0.2">
      <c r="A283" s="167" t="s">
        <v>6692</v>
      </c>
      <c r="B283" s="140"/>
      <c r="C283" s="140"/>
      <c r="D283" s="140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</row>
    <row r="284" spans="1:15" x14ac:dyDescent="0.2">
      <c r="A284" s="5"/>
      <c r="B284" s="8" t="s">
        <v>6693</v>
      </c>
      <c r="C284" s="8" t="s">
        <v>6694</v>
      </c>
      <c r="D284" s="8"/>
      <c r="E284" s="5">
        <f>450</f>
        <v>450</v>
      </c>
      <c r="F284" s="5" t="s">
        <v>21</v>
      </c>
      <c r="G284" s="5" t="s">
        <v>5970</v>
      </c>
      <c r="H284" s="5">
        <v>90</v>
      </c>
      <c r="I284" s="5"/>
      <c r="J284" s="5"/>
      <c r="K284" s="5"/>
      <c r="L284" s="5"/>
      <c r="M284" s="5"/>
      <c r="N284" s="5"/>
      <c r="O284" s="5"/>
    </row>
    <row r="285" spans="1:15" x14ac:dyDescent="0.2">
      <c r="A285" s="5"/>
      <c r="B285" s="8" t="s">
        <v>6695</v>
      </c>
      <c r="C285" s="8" t="s">
        <v>6696</v>
      </c>
      <c r="D285" s="8" t="s">
        <v>6696</v>
      </c>
      <c r="E285" s="5">
        <f>44</f>
        <v>44</v>
      </c>
      <c r="F285" s="5" t="s">
        <v>21</v>
      </c>
      <c r="G285" s="5" t="s">
        <v>5970</v>
      </c>
      <c r="H285" s="5">
        <v>90</v>
      </c>
      <c r="I285" s="5"/>
      <c r="J285" s="5"/>
      <c r="K285" s="5"/>
      <c r="L285" s="5"/>
      <c r="M285" s="5"/>
      <c r="N285" s="5"/>
      <c r="O285" s="5"/>
    </row>
    <row r="286" spans="1:15" x14ac:dyDescent="0.2">
      <c r="A286" s="5"/>
      <c r="B286" s="8" t="s">
        <v>6697</v>
      </c>
      <c r="C286" s="8" t="s">
        <v>6698</v>
      </c>
      <c r="D286" s="8" t="s">
        <v>6698</v>
      </c>
      <c r="E286" s="5">
        <f>23-4</f>
        <v>19</v>
      </c>
      <c r="F286" s="5" t="s">
        <v>21</v>
      </c>
      <c r="G286" s="5" t="s">
        <v>5970</v>
      </c>
      <c r="H286" s="5">
        <v>90</v>
      </c>
      <c r="I286" s="5"/>
      <c r="J286" s="5"/>
      <c r="K286" s="5"/>
      <c r="L286" s="5"/>
      <c r="M286" s="5"/>
      <c r="N286" s="5"/>
      <c r="O286" s="5"/>
    </row>
    <row r="287" spans="1:15" s="169" customFormat="1" x14ac:dyDescent="0.2">
      <c r="A287" s="167" t="s">
        <v>6705</v>
      </c>
      <c r="B287" s="140"/>
      <c r="C287" s="140" t="s">
        <v>6706</v>
      </c>
      <c r="D287" s="140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</row>
    <row r="288" spans="1:15" x14ac:dyDescent="0.2">
      <c r="A288" s="5">
        <v>1</v>
      </c>
      <c r="B288" s="8" t="s">
        <v>6707</v>
      </c>
      <c r="C288" s="135" t="s">
        <v>6708</v>
      </c>
      <c r="D288" s="135" t="s">
        <v>6709</v>
      </c>
      <c r="E288" s="5">
        <f>400-70</f>
        <v>330</v>
      </c>
      <c r="F288" s="5" t="s">
        <v>21</v>
      </c>
      <c r="G288" s="5" t="s">
        <v>5970</v>
      </c>
      <c r="H288" s="5">
        <v>91</v>
      </c>
      <c r="I288" s="5" t="s">
        <v>34</v>
      </c>
      <c r="J288" s="5"/>
      <c r="K288" s="5"/>
      <c r="L288" s="107"/>
      <c r="M288" s="5"/>
      <c r="N288" s="5"/>
      <c r="O288" s="5"/>
    </row>
    <row r="289" spans="1:16" x14ac:dyDescent="0.2">
      <c r="A289" s="5">
        <v>2</v>
      </c>
      <c r="B289" s="8" t="s">
        <v>6499</v>
      </c>
      <c r="C289" s="135" t="s">
        <v>6710</v>
      </c>
      <c r="D289" s="135" t="s">
        <v>6709</v>
      </c>
      <c r="E289" s="5">
        <f>200</f>
        <v>200</v>
      </c>
      <c r="F289" s="5" t="s">
        <v>21</v>
      </c>
      <c r="G289" s="5" t="s">
        <v>5970</v>
      </c>
      <c r="H289" s="5">
        <v>91</v>
      </c>
      <c r="I289" s="5" t="s">
        <v>34</v>
      </c>
      <c r="J289" s="5"/>
      <c r="K289" s="5"/>
      <c r="L289" s="107"/>
      <c r="M289" s="5"/>
      <c r="N289" s="5"/>
      <c r="O289" s="5"/>
    </row>
    <row r="290" spans="1:16" x14ac:dyDescent="0.2">
      <c r="A290" s="5">
        <v>3</v>
      </c>
      <c r="B290" s="8" t="s">
        <v>6427</v>
      </c>
      <c r="C290" s="135" t="s">
        <v>6711</v>
      </c>
      <c r="D290" s="135" t="s">
        <v>6709</v>
      </c>
      <c r="E290" s="5">
        <f>50+526-16+2-24-16-10-22</f>
        <v>490</v>
      </c>
      <c r="F290" s="5" t="s">
        <v>21</v>
      </c>
      <c r="G290" s="5" t="s">
        <v>5970</v>
      </c>
      <c r="H290" s="5">
        <v>91</v>
      </c>
      <c r="I290" s="5" t="s">
        <v>34</v>
      </c>
      <c r="J290" s="5"/>
      <c r="K290" s="5"/>
      <c r="L290" s="107" t="s">
        <v>6712</v>
      </c>
      <c r="M290" s="5"/>
      <c r="N290" s="5"/>
      <c r="O290" s="5"/>
    </row>
    <row r="291" spans="1:16" x14ac:dyDescent="0.2">
      <c r="A291" s="5">
        <v>4</v>
      </c>
      <c r="B291" s="8" t="s">
        <v>6450</v>
      </c>
      <c r="C291" s="135" t="s">
        <v>6713</v>
      </c>
      <c r="D291" s="135" t="s">
        <v>6709</v>
      </c>
      <c r="E291" s="5">
        <f>405</f>
        <v>405</v>
      </c>
      <c r="F291" s="5" t="s">
        <v>21</v>
      </c>
      <c r="G291" s="5" t="s">
        <v>5970</v>
      </c>
      <c r="H291" s="5">
        <v>91</v>
      </c>
      <c r="I291" s="5" t="s">
        <v>34</v>
      </c>
      <c r="J291" s="5"/>
      <c r="K291" s="5"/>
      <c r="L291" s="107"/>
      <c r="M291" s="5"/>
      <c r="N291" s="5"/>
      <c r="O291" s="5"/>
      <c r="P291" t="s">
        <v>321</v>
      </c>
    </row>
    <row r="292" spans="1:16" x14ac:dyDescent="0.2">
      <c r="A292" s="5">
        <v>5</v>
      </c>
      <c r="B292" s="8" t="s">
        <v>6714</v>
      </c>
      <c r="C292" s="135" t="s">
        <v>6715</v>
      </c>
      <c r="D292" s="8" t="s">
        <v>6716</v>
      </c>
      <c r="E292" s="5">
        <v>55</v>
      </c>
      <c r="F292" s="5" t="s">
        <v>21</v>
      </c>
      <c r="G292" s="5" t="s">
        <v>5970</v>
      </c>
      <c r="H292" s="5">
        <v>91</v>
      </c>
      <c r="I292" s="5" t="s">
        <v>34</v>
      </c>
      <c r="J292" s="5"/>
      <c r="K292" s="5"/>
      <c r="L292" s="107" t="s">
        <v>6717</v>
      </c>
      <c r="M292" s="5"/>
      <c r="N292" s="5"/>
      <c r="O292" s="5"/>
    </row>
    <row r="293" spans="1:16" x14ac:dyDescent="0.2">
      <c r="A293" s="5">
        <v>6</v>
      </c>
      <c r="B293" s="8" t="s">
        <v>6714</v>
      </c>
      <c r="C293" s="135" t="s">
        <v>6718</v>
      </c>
      <c r="D293" s="8" t="s">
        <v>6719</v>
      </c>
      <c r="E293" s="5">
        <f>19</f>
        <v>19</v>
      </c>
      <c r="F293" s="5" t="s">
        <v>21</v>
      </c>
      <c r="G293" s="5" t="s">
        <v>5970</v>
      </c>
      <c r="H293" s="5">
        <v>91</v>
      </c>
      <c r="I293" s="5" t="s">
        <v>34</v>
      </c>
      <c r="J293" s="5"/>
      <c r="K293" s="5"/>
      <c r="L293" s="5" t="s">
        <v>6720</v>
      </c>
      <c r="M293" s="5"/>
      <c r="N293" s="5"/>
      <c r="O293" s="5"/>
    </row>
    <row r="294" spans="1:16" x14ac:dyDescent="0.2">
      <c r="A294" s="5">
        <v>7</v>
      </c>
      <c r="B294" s="149" t="s">
        <v>6721</v>
      </c>
      <c r="C294" s="8" t="s">
        <v>6722</v>
      </c>
      <c r="D294" s="8" t="s">
        <v>6535</v>
      </c>
      <c r="E294" s="5">
        <f>0</f>
        <v>0</v>
      </c>
      <c r="F294" s="5" t="s">
        <v>21</v>
      </c>
      <c r="G294" s="5" t="s">
        <v>5970</v>
      </c>
      <c r="H294" s="5">
        <v>91</v>
      </c>
      <c r="I294" s="5" t="s">
        <v>34</v>
      </c>
      <c r="J294" s="5"/>
      <c r="K294" s="5"/>
      <c r="L294" s="5"/>
      <c r="M294" s="5"/>
      <c r="N294" s="5"/>
      <c r="O294" s="5"/>
    </row>
    <row r="295" spans="1:16" x14ac:dyDescent="0.2">
      <c r="A295" s="5">
        <v>8</v>
      </c>
      <c r="B295" s="8" t="s">
        <v>6556</v>
      </c>
      <c r="C295" s="8" t="s">
        <v>6723</v>
      </c>
      <c r="D295" s="8" t="s">
        <v>6621</v>
      </c>
      <c r="E295" s="5">
        <v>0</v>
      </c>
      <c r="F295" s="5" t="s">
        <v>21</v>
      </c>
      <c r="G295" s="5" t="s">
        <v>5970</v>
      </c>
      <c r="H295" s="5">
        <v>91</v>
      </c>
      <c r="I295" s="5" t="s">
        <v>34</v>
      </c>
      <c r="J295" s="5"/>
      <c r="K295" s="5"/>
      <c r="L295" s="5" t="s">
        <v>6720</v>
      </c>
      <c r="M295" s="5"/>
      <c r="N295" s="5"/>
      <c r="O295" s="5"/>
    </row>
    <row r="296" spans="1:16" x14ac:dyDescent="0.2">
      <c r="A296" s="5">
        <v>9</v>
      </c>
      <c r="B296" s="8" t="s">
        <v>6425</v>
      </c>
      <c r="C296" s="8" t="s">
        <v>10376</v>
      </c>
      <c r="D296" s="8" t="s">
        <v>10377</v>
      </c>
      <c r="E296" s="5">
        <f>46+500-76-42-42-40-48-16-4-8-8-12-44-16-88-44-14-14+500</f>
        <v>530</v>
      </c>
      <c r="F296" s="5" t="s">
        <v>21</v>
      </c>
      <c r="G296" s="5" t="s">
        <v>5970</v>
      </c>
      <c r="H296" s="5">
        <v>91</v>
      </c>
      <c r="I296" s="5" t="s">
        <v>34</v>
      </c>
      <c r="J296" s="5"/>
      <c r="K296" s="5"/>
      <c r="L296" s="107" t="s">
        <v>6429</v>
      </c>
      <c r="M296" s="5"/>
      <c r="N296" s="5"/>
      <c r="O296" s="5"/>
    </row>
    <row r="297" spans="1:16" x14ac:dyDescent="0.2">
      <c r="A297" s="5">
        <v>10</v>
      </c>
      <c r="B297" s="8" t="s">
        <v>6724</v>
      </c>
      <c r="C297" s="8" t="s">
        <v>6725</v>
      </c>
      <c r="D297" s="8" t="s">
        <v>6726</v>
      </c>
      <c r="E297" s="5">
        <f>8-8</f>
        <v>0</v>
      </c>
      <c r="F297" s="5" t="s">
        <v>21</v>
      </c>
      <c r="G297" s="5" t="s">
        <v>5970</v>
      </c>
      <c r="H297" s="5">
        <v>91</v>
      </c>
      <c r="I297" s="5" t="s">
        <v>34</v>
      </c>
      <c r="J297" s="5"/>
      <c r="K297" s="5"/>
      <c r="L297" s="5"/>
      <c r="M297" s="5"/>
      <c r="N297" s="5"/>
      <c r="O297" s="5"/>
    </row>
    <row r="298" spans="1:16" x14ac:dyDescent="0.2">
      <c r="A298" s="5">
        <v>11</v>
      </c>
      <c r="B298" s="8" t="s">
        <v>6562</v>
      </c>
      <c r="C298" s="8" t="s">
        <v>6727</v>
      </c>
      <c r="D298" s="8" t="s">
        <v>6728</v>
      </c>
      <c r="E298" s="5">
        <f>278+1</f>
        <v>279</v>
      </c>
      <c r="F298" s="5" t="s">
        <v>21</v>
      </c>
      <c r="G298" s="5" t="s">
        <v>5970</v>
      </c>
      <c r="H298" s="5">
        <v>91</v>
      </c>
      <c r="I298" s="5" t="s">
        <v>34</v>
      </c>
      <c r="J298" s="5"/>
      <c r="K298" s="5"/>
      <c r="L298" s="5"/>
      <c r="M298" s="5"/>
      <c r="N298" s="5"/>
      <c r="O298" s="5"/>
    </row>
    <row r="299" spans="1:16" x14ac:dyDescent="0.2">
      <c r="A299" s="5">
        <v>12</v>
      </c>
      <c r="B299" s="8" t="s">
        <v>6729</v>
      </c>
      <c r="C299" s="8" t="s">
        <v>6730</v>
      </c>
      <c r="D299" s="8" t="s">
        <v>6731</v>
      </c>
      <c r="E299" s="5">
        <f>44</f>
        <v>44</v>
      </c>
      <c r="F299" s="5" t="s">
        <v>21</v>
      </c>
      <c r="G299" s="5" t="s">
        <v>5970</v>
      </c>
      <c r="H299" s="5">
        <v>91</v>
      </c>
      <c r="I299" s="5" t="s">
        <v>34</v>
      </c>
      <c r="J299" s="5"/>
      <c r="K299" s="5"/>
      <c r="L299" s="107" t="s">
        <v>6732</v>
      </c>
      <c r="M299" s="5"/>
      <c r="N299" s="5"/>
      <c r="O299" s="5"/>
    </row>
    <row r="300" spans="1:16" x14ac:dyDescent="0.2">
      <c r="A300" s="5">
        <v>13</v>
      </c>
      <c r="B300" s="8" t="s">
        <v>6733</v>
      </c>
      <c r="C300" s="8" t="s">
        <v>6734</v>
      </c>
      <c r="D300" s="8" t="s">
        <v>6735</v>
      </c>
      <c r="E300" s="5">
        <f>200-40-14+100-76-14-76</f>
        <v>80</v>
      </c>
      <c r="F300" s="5" t="s">
        <v>21</v>
      </c>
      <c r="G300" s="5" t="s">
        <v>5970</v>
      </c>
      <c r="H300" s="5">
        <v>91</v>
      </c>
      <c r="I300" s="5" t="s">
        <v>34</v>
      </c>
      <c r="J300" s="5"/>
      <c r="K300" s="5"/>
      <c r="L300" s="5"/>
      <c r="M300" s="5"/>
      <c r="N300" s="5"/>
      <c r="O300" s="5"/>
    </row>
    <row r="301" spans="1:16" x14ac:dyDescent="0.2">
      <c r="A301" s="5">
        <v>14</v>
      </c>
      <c r="B301" s="8" t="s">
        <v>2668</v>
      </c>
      <c r="C301" s="108" t="s">
        <v>6736</v>
      </c>
      <c r="D301" s="108" t="s">
        <v>6737</v>
      </c>
      <c r="E301" s="5">
        <f>52</f>
        <v>52</v>
      </c>
      <c r="F301" s="5" t="s">
        <v>21</v>
      </c>
      <c r="G301" s="5" t="s">
        <v>5970</v>
      </c>
      <c r="H301" s="5">
        <v>91</v>
      </c>
      <c r="I301" s="5" t="s">
        <v>320</v>
      </c>
      <c r="J301" s="5"/>
      <c r="K301" s="5"/>
      <c r="L301" s="107" t="s">
        <v>6738</v>
      </c>
      <c r="M301" s="5"/>
      <c r="N301" s="5"/>
      <c r="O301" s="5"/>
    </row>
    <row r="302" spans="1:16" x14ac:dyDescent="0.2">
      <c r="A302" s="5">
        <v>15</v>
      </c>
      <c r="B302" s="8">
        <v>3.2</v>
      </c>
      <c r="C302" s="8" t="s">
        <v>6739</v>
      </c>
      <c r="D302" s="8" t="s">
        <v>6740</v>
      </c>
      <c r="E302" s="5">
        <f>38</f>
        <v>38</v>
      </c>
      <c r="F302" s="5" t="s">
        <v>21</v>
      </c>
      <c r="G302" s="5" t="s">
        <v>5970</v>
      </c>
      <c r="H302" s="5">
        <v>91</v>
      </c>
      <c r="I302" s="5" t="s">
        <v>320</v>
      </c>
      <c r="J302" s="5"/>
      <c r="K302" s="5"/>
      <c r="L302" s="107" t="s">
        <v>6741</v>
      </c>
      <c r="M302" s="5"/>
      <c r="N302" s="5"/>
      <c r="O302" s="5"/>
    </row>
    <row r="303" spans="1:16" x14ac:dyDescent="0.2">
      <c r="A303" s="5">
        <v>16</v>
      </c>
      <c r="B303" s="8" t="s">
        <v>6742</v>
      </c>
      <c r="C303" s="8" t="s">
        <v>6743</v>
      </c>
      <c r="D303" s="8" t="s">
        <v>6744</v>
      </c>
      <c r="E303" s="5">
        <f>0</f>
        <v>0</v>
      </c>
      <c r="F303" s="5" t="s">
        <v>21</v>
      </c>
      <c r="G303" s="5" t="s">
        <v>5970</v>
      </c>
      <c r="H303" s="5">
        <v>91</v>
      </c>
      <c r="I303" s="5" t="s">
        <v>320</v>
      </c>
      <c r="J303" s="5"/>
      <c r="K303" s="5"/>
      <c r="L303" s="107"/>
      <c r="M303" s="5"/>
      <c r="N303" s="5"/>
      <c r="O303" s="5"/>
    </row>
    <row r="304" spans="1:16" x14ac:dyDescent="0.2">
      <c r="A304" s="5">
        <v>17</v>
      </c>
      <c r="B304" s="8" t="s">
        <v>6745</v>
      </c>
      <c r="C304" s="8" t="s">
        <v>6746</v>
      </c>
      <c r="D304" s="8" t="s">
        <v>6747</v>
      </c>
      <c r="E304" s="5">
        <f>111+24</f>
        <v>135</v>
      </c>
      <c r="F304" s="5" t="s">
        <v>21</v>
      </c>
      <c r="G304" s="5" t="s">
        <v>5970</v>
      </c>
      <c r="H304" s="5">
        <v>91</v>
      </c>
      <c r="I304" s="5" t="s">
        <v>320</v>
      </c>
      <c r="J304" s="5"/>
      <c r="K304" s="5"/>
      <c r="L304" s="5"/>
      <c r="M304" s="5"/>
      <c r="N304" s="5"/>
      <c r="O304" s="5"/>
    </row>
    <row r="305" spans="1:16" x14ac:dyDescent="0.2">
      <c r="A305" s="5">
        <v>18</v>
      </c>
      <c r="B305" s="8" t="s">
        <v>6748</v>
      </c>
      <c r="C305" s="8" t="s">
        <v>6749</v>
      </c>
      <c r="D305" s="8" t="s">
        <v>6750</v>
      </c>
      <c r="E305" s="5">
        <f>302+22-16+50-2-12-16-20</f>
        <v>308</v>
      </c>
      <c r="F305" s="5" t="s">
        <v>21</v>
      </c>
      <c r="G305" s="5" t="s">
        <v>5970</v>
      </c>
      <c r="H305" s="5">
        <v>91</v>
      </c>
      <c r="I305" s="5" t="s">
        <v>320</v>
      </c>
      <c r="J305" s="5"/>
      <c r="K305" s="5"/>
      <c r="L305" s="5" t="s">
        <v>6751</v>
      </c>
      <c r="M305" s="5"/>
      <c r="N305" s="5"/>
      <c r="O305" s="5"/>
    </row>
    <row r="306" spans="1:16" x14ac:dyDescent="0.2">
      <c r="A306" s="5">
        <v>19</v>
      </c>
      <c r="B306" s="8" t="s">
        <v>6752</v>
      </c>
      <c r="C306" s="8" t="s">
        <v>6753</v>
      </c>
      <c r="D306" s="8" t="s">
        <v>6744</v>
      </c>
      <c r="E306" s="5">
        <f>36-1-35+36</f>
        <v>36</v>
      </c>
      <c r="F306" s="5" t="s">
        <v>21</v>
      </c>
      <c r="G306" s="5" t="s">
        <v>5970</v>
      </c>
      <c r="H306" s="5">
        <v>91</v>
      </c>
      <c r="I306" s="5" t="s">
        <v>320</v>
      </c>
      <c r="J306" s="5"/>
      <c r="K306" s="5"/>
      <c r="L306" s="107" t="s">
        <v>6754</v>
      </c>
      <c r="M306" s="5"/>
      <c r="N306" s="5"/>
      <c r="O306" s="5"/>
    </row>
    <row r="307" spans="1:16" x14ac:dyDescent="0.2">
      <c r="A307" s="5">
        <v>20</v>
      </c>
      <c r="B307" s="8" t="s">
        <v>6755</v>
      </c>
      <c r="C307" s="8" t="s">
        <v>6756</v>
      </c>
      <c r="D307" s="8" t="s">
        <v>6757</v>
      </c>
      <c r="E307" s="5">
        <f>160-8-32</f>
        <v>120</v>
      </c>
      <c r="F307" s="5" t="s">
        <v>21</v>
      </c>
      <c r="G307" s="5" t="s">
        <v>5970</v>
      </c>
      <c r="H307" s="5">
        <v>91</v>
      </c>
      <c r="I307" s="5" t="s">
        <v>6758</v>
      </c>
      <c r="J307" s="5"/>
      <c r="K307" s="5"/>
      <c r="L307" s="107" t="s">
        <v>6759</v>
      </c>
      <c r="M307" s="5"/>
      <c r="N307" s="5"/>
      <c r="O307" s="5"/>
    </row>
    <row r="308" spans="1:16" x14ac:dyDescent="0.2">
      <c r="A308" s="5">
        <v>21</v>
      </c>
      <c r="B308" s="8" t="s">
        <v>6760</v>
      </c>
      <c r="C308" s="8" t="s">
        <v>6761</v>
      </c>
      <c r="D308" s="8" t="s">
        <v>6762</v>
      </c>
      <c r="E308" s="5">
        <f>2</f>
        <v>2</v>
      </c>
      <c r="F308" s="5" t="s">
        <v>21</v>
      </c>
      <c r="G308" s="5" t="s">
        <v>5970</v>
      </c>
      <c r="H308" s="5">
        <v>91</v>
      </c>
      <c r="I308" s="5" t="s">
        <v>6762</v>
      </c>
      <c r="J308" s="5"/>
      <c r="K308" s="5"/>
      <c r="L308" s="107" t="s">
        <v>6763</v>
      </c>
      <c r="M308" s="5"/>
      <c r="N308" s="5"/>
      <c r="O308" s="5"/>
    </row>
    <row r="309" spans="1:16" x14ac:dyDescent="0.2">
      <c r="A309" s="5">
        <v>22</v>
      </c>
      <c r="B309" s="8">
        <v>2</v>
      </c>
      <c r="C309" s="8" t="s">
        <v>6764</v>
      </c>
      <c r="D309" s="8" t="s">
        <v>6765</v>
      </c>
      <c r="E309" s="5">
        <v>4</v>
      </c>
      <c r="F309" s="5" t="s">
        <v>21</v>
      </c>
      <c r="G309" s="5" t="s">
        <v>5970</v>
      </c>
      <c r="H309" s="5">
        <v>91</v>
      </c>
      <c r="I309" s="5" t="s">
        <v>6762</v>
      </c>
      <c r="J309" s="5"/>
      <c r="K309" s="5"/>
      <c r="L309" s="5"/>
      <c r="M309" s="5"/>
      <c r="N309" s="5"/>
      <c r="O309" s="5"/>
    </row>
    <row r="310" spans="1:16" x14ac:dyDescent="0.2">
      <c r="A310" s="5">
        <v>23</v>
      </c>
      <c r="B310" s="8" t="s">
        <v>6766</v>
      </c>
      <c r="C310" s="8" t="s">
        <v>6767</v>
      </c>
      <c r="D310" s="8" t="s">
        <v>6765</v>
      </c>
      <c r="E310" s="5">
        <f>0</f>
        <v>0</v>
      </c>
      <c r="F310" s="5" t="s">
        <v>21</v>
      </c>
      <c r="G310" s="5" t="s">
        <v>5970</v>
      </c>
      <c r="H310" s="5">
        <v>91</v>
      </c>
      <c r="I310" s="5" t="s">
        <v>6762</v>
      </c>
      <c r="J310" s="5"/>
      <c r="K310" s="5"/>
      <c r="L310" s="5"/>
      <c r="M310" s="5"/>
      <c r="N310" s="5"/>
      <c r="O310" s="5"/>
    </row>
    <row r="311" spans="1:16" x14ac:dyDescent="0.2">
      <c r="A311" s="5">
        <v>24</v>
      </c>
      <c r="B311" s="8" t="s">
        <v>6768</v>
      </c>
      <c r="C311" s="8" t="s">
        <v>6769</v>
      </c>
      <c r="D311" s="8" t="s">
        <v>6765</v>
      </c>
      <c r="E311" s="5">
        <f>6+1+1</f>
        <v>8</v>
      </c>
      <c r="F311" s="5" t="s">
        <v>21</v>
      </c>
      <c r="G311" s="5" t="s">
        <v>5970</v>
      </c>
      <c r="H311" s="5">
        <v>91</v>
      </c>
      <c r="I311" s="5" t="s">
        <v>6762</v>
      </c>
      <c r="J311" s="5"/>
      <c r="K311" s="5"/>
      <c r="L311" s="5"/>
      <c r="M311" s="5"/>
      <c r="N311" s="5"/>
      <c r="O311" s="5"/>
    </row>
    <row r="312" spans="1:16" x14ac:dyDescent="0.2">
      <c r="A312" s="5">
        <v>25</v>
      </c>
      <c r="B312" s="8" t="s">
        <v>6770</v>
      </c>
      <c r="C312" s="8" t="s">
        <v>6771</v>
      </c>
      <c r="D312" s="8" t="s">
        <v>6772</v>
      </c>
      <c r="E312" s="5">
        <v>99</v>
      </c>
      <c r="F312" s="5" t="s">
        <v>21</v>
      </c>
      <c r="G312" s="5" t="s">
        <v>5970</v>
      </c>
      <c r="H312" s="5">
        <v>91</v>
      </c>
      <c r="I312" s="5" t="s">
        <v>320</v>
      </c>
      <c r="J312" s="5"/>
      <c r="K312" s="5"/>
      <c r="L312" s="5"/>
      <c r="M312" s="5"/>
      <c r="N312" s="5"/>
      <c r="O312" s="5"/>
    </row>
    <row r="313" spans="1:16" s="169" customFormat="1" x14ac:dyDescent="0.2">
      <c r="A313" s="170" t="s">
        <v>6773</v>
      </c>
      <c r="B313" s="171" t="s">
        <v>6253</v>
      </c>
      <c r="C313" s="182" t="s">
        <v>6397</v>
      </c>
      <c r="D313" s="140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</row>
    <row r="314" spans="1:16" x14ac:dyDescent="0.2">
      <c r="A314">
        <v>1</v>
      </c>
      <c r="B314" s="8" t="s">
        <v>6774</v>
      </c>
      <c r="C314" s="8" t="s">
        <v>6775</v>
      </c>
      <c r="D314" s="8" t="s">
        <v>6399</v>
      </c>
      <c r="E314" s="5">
        <f>182+35-120</f>
        <v>97</v>
      </c>
      <c r="F314" s="5" t="s">
        <v>292</v>
      </c>
      <c r="G314" s="5" t="s">
        <v>5970</v>
      </c>
      <c r="H314" s="5">
        <v>92</v>
      </c>
      <c r="I314" s="5" t="s">
        <v>6401</v>
      </c>
      <c r="J314" s="5"/>
      <c r="K314" s="5"/>
      <c r="L314" s="107" t="s">
        <v>6776</v>
      </c>
      <c r="M314" s="5"/>
      <c r="N314" s="5"/>
      <c r="O314" s="5"/>
      <c r="P314" s="169" t="s">
        <v>321</v>
      </c>
    </row>
    <row r="315" spans="1:16" x14ac:dyDescent="0.2">
      <c r="A315">
        <v>2</v>
      </c>
      <c r="B315" s="8" t="s">
        <v>6777</v>
      </c>
      <c r="C315" s="8" t="s">
        <v>6778</v>
      </c>
      <c r="D315" s="8" t="s">
        <v>6399</v>
      </c>
      <c r="E315" s="5">
        <f>286</f>
        <v>286</v>
      </c>
      <c r="F315" s="5" t="s">
        <v>292</v>
      </c>
      <c r="G315" s="5" t="s">
        <v>5970</v>
      </c>
      <c r="H315" s="5">
        <v>92</v>
      </c>
      <c r="I315" s="5" t="s">
        <v>6401</v>
      </c>
      <c r="J315" s="5"/>
      <c r="K315" s="5"/>
      <c r="L315" s="107" t="s">
        <v>6776</v>
      </c>
      <c r="M315" s="5"/>
      <c r="N315" s="5"/>
      <c r="O315" s="5"/>
      <c r="P315" s="169" t="s">
        <v>321</v>
      </c>
    </row>
    <row r="316" spans="1:16" x14ac:dyDescent="0.2">
      <c r="A316">
        <v>3</v>
      </c>
      <c r="B316" s="8" t="s">
        <v>6779</v>
      </c>
      <c r="C316" s="8" t="s">
        <v>6780</v>
      </c>
      <c r="D316" s="8" t="s">
        <v>6399</v>
      </c>
      <c r="E316" s="5">
        <f>204</f>
        <v>204</v>
      </c>
      <c r="F316" s="5" t="s">
        <v>292</v>
      </c>
      <c r="G316" s="5" t="s">
        <v>5970</v>
      </c>
      <c r="H316" s="5">
        <v>92</v>
      </c>
      <c r="I316" s="5" t="s">
        <v>6401</v>
      </c>
      <c r="J316" s="5"/>
      <c r="K316" s="5"/>
      <c r="L316" s="107" t="s">
        <v>6776</v>
      </c>
      <c r="M316" s="5"/>
      <c r="N316" s="5"/>
      <c r="O316" s="5"/>
      <c r="P316" s="169" t="s">
        <v>321</v>
      </c>
    </row>
    <row r="317" spans="1:16" x14ac:dyDescent="0.2">
      <c r="A317">
        <v>4</v>
      </c>
      <c r="B317" s="8" t="s">
        <v>6781</v>
      </c>
      <c r="C317" s="8" t="s">
        <v>6782</v>
      </c>
      <c r="D317" s="8" t="s">
        <v>6399</v>
      </c>
      <c r="E317" s="5">
        <f>42</f>
        <v>42</v>
      </c>
      <c r="F317" s="5" t="s">
        <v>292</v>
      </c>
      <c r="G317" s="5" t="s">
        <v>5970</v>
      </c>
      <c r="H317" s="5">
        <v>92</v>
      </c>
      <c r="I317" s="5" t="s">
        <v>6401</v>
      </c>
      <c r="J317" s="5"/>
      <c r="K317" s="5"/>
      <c r="L317" s="107" t="s">
        <v>6783</v>
      </c>
      <c r="M317" s="5"/>
      <c r="N317" s="5"/>
      <c r="O317" s="5"/>
    </row>
    <row r="318" spans="1:16" x14ac:dyDescent="0.2">
      <c r="A318">
        <v>5</v>
      </c>
      <c r="B318" s="8" t="s">
        <v>6784</v>
      </c>
      <c r="C318" s="8" t="s">
        <v>6785</v>
      </c>
      <c r="D318" s="8" t="s">
        <v>6399</v>
      </c>
      <c r="E318" s="5">
        <f>182+35+145</f>
        <v>362</v>
      </c>
      <c r="F318" s="5" t="s">
        <v>292</v>
      </c>
      <c r="G318" s="5" t="s">
        <v>5970</v>
      </c>
      <c r="H318" s="5">
        <v>92</v>
      </c>
      <c r="I318" s="5" t="s">
        <v>6401</v>
      </c>
      <c r="J318" s="5"/>
      <c r="K318" s="5"/>
      <c r="L318" s="107" t="s">
        <v>6776</v>
      </c>
      <c r="M318" s="5"/>
      <c r="N318" s="5"/>
      <c r="O318" s="5"/>
    </row>
    <row r="319" spans="1:16" x14ac:dyDescent="0.2">
      <c r="A319">
        <v>6</v>
      </c>
      <c r="B319" s="8" t="s">
        <v>6786</v>
      </c>
      <c r="C319" s="8" t="s">
        <v>6787</v>
      </c>
      <c r="D319" s="8" t="s">
        <v>6399</v>
      </c>
      <c r="E319" s="5">
        <f>214</f>
        <v>214</v>
      </c>
      <c r="F319" s="5" t="s">
        <v>292</v>
      </c>
      <c r="G319" s="5" t="s">
        <v>5970</v>
      </c>
      <c r="H319" s="5">
        <v>92</v>
      </c>
      <c r="I319" s="5" t="s">
        <v>6401</v>
      </c>
      <c r="J319" s="5"/>
      <c r="K319" s="5"/>
      <c r="L319" s="107"/>
      <c r="M319" s="5"/>
      <c r="N319" s="5"/>
      <c r="O319" s="5"/>
    </row>
    <row r="320" spans="1:16" x14ac:dyDescent="0.2">
      <c r="A320">
        <v>7</v>
      </c>
      <c r="B320" s="8" t="s">
        <v>6788</v>
      </c>
      <c r="C320" s="8" t="s">
        <v>6789</v>
      </c>
      <c r="D320" s="8" t="s">
        <v>6399</v>
      </c>
      <c r="E320" s="5">
        <f>116-9</f>
        <v>107</v>
      </c>
      <c r="F320" s="5" t="s">
        <v>292</v>
      </c>
      <c r="G320" s="5" t="s">
        <v>5970</v>
      </c>
      <c r="H320" s="5">
        <v>92</v>
      </c>
      <c r="I320" s="5" t="s">
        <v>6401</v>
      </c>
      <c r="J320" s="5"/>
      <c r="K320" s="5"/>
      <c r="L320" s="107"/>
      <c r="M320" s="5"/>
      <c r="N320" s="5"/>
      <c r="O320" s="5"/>
    </row>
    <row r="321" spans="1:16" x14ac:dyDescent="0.2">
      <c r="A321">
        <v>8</v>
      </c>
      <c r="B321" s="8" t="s">
        <v>6790</v>
      </c>
      <c r="C321" s="8" t="s">
        <v>6791</v>
      </c>
      <c r="D321" s="8" t="s">
        <v>6399</v>
      </c>
      <c r="E321" s="5">
        <f>117</f>
        <v>117</v>
      </c>
      <c r="F321" s="5" t="s">
        <v>292</v>
      </c>
      <c r="G321" s="5" t="s">
        <v>5970</v>
      </c>
      <c r="H321" s="5">
        <v>92</v>
      </c>
      <c r="I321" s="5" t="s">
        <v>6401</v>
      </c>
      <c r="J321" s="5"/>
      <c r="K321" s="5"/>
      <c r="L321" s="107"/>
      <c r="M321" s="5"/>
      <c r="N321" s="5"/>
      <c r="O321" s="5"/>
    </row>
    <row r="322" spans="1:16" x14ac:dyDescent="0.2">
      <c r="A322">
        <v>9</v>
      </c>
      <c r="B322" s="8" t="s">
        <v>6792</v>
      </c>
      <c r="C322" s="8" t="s">
        <v>6793</v>
      </c>
      <c r="D322" s="8" t="s">
        <v>6399</v>
      </c>
      <c r="E322" s="5">
        <f>80</f>
        <v>80</v>
      </c>
      <c r="F322" s="5" t="s">
        <v>292</v>
      </c>
      <c r="G322" s="5" t="s">
        <v>5970</v>
      </c>
      <c r="H322" s="5">
        <v>92</v>
      </c>
      <c r="I322" s="5" t="s">
        <v>6401</v>
      </c>
      <c r="J322" s="5"/>
      <c r="K322" s="5"/>
      <c r="L322" s="107"/>
      <c r="M322" s="5"/>
      <c r="N322" s="5"/>
      <c r="O322" s="5"/>
      <c r="P322" s="169" t="s">
        <v>321</v>
      </c>
    </row>
    <row r="323" spans="1:16" s="173" customFormat="1" x14ac:dyDescent="0.2">
      <c r="A323" s="173" t="s">
        <v>6794</v>
      </c>
      <c r="B323" s="171" t="s">
        <v>6795</v>
      </c>
      <c r="C323" s="171" t="s">
        <v>6397</v>
      </c>
      <c r="D323" s="140"/>
      <c r="E323" s="170"/>
      <c r="F323" s="170"/>
      <c r="G323" s="170"/>
      <c r="H323" s="170"/>
      <c r="I323" s="170"/>
      <c r="J323" s="170"/>
      <c r="K323" s="170"/>
      <c r="L323" s="172"/>
      <c r="M323" s="170"/>
      <c r="N323" s="170"/>
      <c r="O323" s="170"/>
    </row>
    <row r="324" spans="1:16" x14ac:dyDescent="0.2">
      <c r="A324" s="5">
        <v>1</v>
      </c>
      <c r="B324" s="8" t="s">
        <v>6796</v>
      </c>
      <c r="C324" s="8" t="s">
        <v>6797</v>
      </c>
      <c r="D324" s="8" t="s">
        <v>6798</v>
      </c>
      <c r="E324" s="5">
        <f>100</f>
        <v>100</v>
      </c>
      <c r="F324" s="5" t="s">
        <v>21</v>
      </c>
      <c r="G324" s="5" t="s">
        <v>5970</v>
      </c>
      <c r="H324" s="5">
        <v>99</v>
      </c>
      <c r="I324" s="5" t="s">
        <v>34</v>
      </c>
      <c r="J324" s="5"/>
      <c r="K324" s="5"/>
      <c r="L324" s="107" t="s">
        <v>6799</v>
      </c>
      <c r="M324" s="5"/>
      <c r="N324" s="5"/>
      <c r="O324" s="5"/>
    </row>
    <row r="325" spans="1:16" x14ac:dyDescent="0.2">
      <c r="A325" s="5">
        <v>2</v>
      </c>
      <c r="B325" s="8" t="s">
        <v>6800</v>
      </c>
      <c r="C325" s="8" t="s">
        <v>6801</v>
      </c>
      <c r="D325" s="8" t="s">
        <v>6798</v>
      </c>
      <c r="E325" s="5">
        <f>4620-20-22+500+193+200-4</f>
        <v>5467</v>
      </c>
      <c r="F325" s="5" t="s">
        <v>21</v>
      </c>
      <c r="G325" s="5" t="s">
        <v>5970</v>
      </c>
      <c r="H325" s="5">
        <v>99</v>
      </c>
      <c r="I325" s="5" t="s">
        <v>34</v>
      </c>
      <c r="J325" s="5"/>
      <c r="K325" s="5"/>
      <c r="L325" s="5"/>
      <c r="M325" s="5"/>
      <c r="N325" s="5"/>
      <c r="O325" s="5"/>
    </row>
    <row r="326" spans="1:16" x14ac:dyDescent="0.2">
      <c r="A326" s="5">
        <v>3</v>
      </c>
      <c r="B326" s="8" t="s">
        <v>6802</v>
      </c>
      <c r="C326" s="8" t="s">
        <v>6803</v>
      </c>
      <c r="D326" s="8" t="s">
        <v>6798</v>
      </c>
      <c r="E326" s="5">
        <f>191-4-30+13-2-4-2-2-33-3</f>
        <v>124</v>
      </c>
      <c r="F326" s="5" t="s">
        <v>21</v>
      </c>
      <c r="G326" s="5" t="s">
        <v>5970</v>
      </c>
      <c r="H326" s="5">
        <v>99</v>
      </c>
      <c r="I326" s="5" t="s">
        <v>34</v>
      </c>
      <c r="J326" s="5"/>
      <c r="K326" s="5"/>
      <c r="L326" s="5"/>
      <c r="M326" s="5"/>
      <c r="N326" s="5"/>
      <c r="O326" s="5"/>
    </row>
    <row r="327" spans="1:16" s="169" customFormat="1" x14ac:dyDescent="0.2">
      <c r="A327" s="167">
        <v>4</v>
      </c>
      <c r="B327" s="140" t="s">
        <v>6804</v>
      </c>
      <c r="C327" s="140" t="s">
        <v>6805</v>
      </c>
      <c r="D327" s="140" t="s">
        <v>6798</v>
      </c>
      <c r="E327" s="167">
        <f>500+929-4</f>
        <v>1425</v>
      </c>
      <c r="F327" s="167" t="s">
        <v>21</v>
      </c>
      <c r="G327" s="167" t="s">
        <v>5970</v>
      </c>
      <c r="H327" s="167">
        <v>99</v>
      </c>
      <c r="I327" s="167" t="s">
        <v>34</v>
      </c>
      <c r="J327" s="167"/>
      <c r="K327" s="167"/>
      <c r="L327" s="168" t="s">
        <v>6799</v>
      </c>
      <c r="M327" s="167"/>
      <c r="N327" s="167"/>
      <c r="O327" s="167"/>
    </row>
    <row r="328" spans="1:16" x14ac:dyDescent="0.2">
      <c r="A328" s="5"/>
      <c r="B328" s="8" t="s">
        <v>6538</v>
      </c>
      <c r="C328" s="8" t="s">
        <v>6806</v>
      </c>
      <c r="D328" s="8" t="s">
        <v>6798</v>
      </c>
      <c r="E328" s="5">
        <f>893+4+29+47-4-10-12-8+4-4-4-6-929</f>
        <v>0</v>
      </c>
      <c r="F328" s="5" t="s">
        <v>21</v>
      </c>
      <c r="G328" s="5" t="s">
        <v>5970</v>
      </c>
      <c r="H328" s="5">
        <v>99</v>
      </c>
      <c r="I328" s="5" t="s">
        <v>34</v>
      </c>
      <c r="J328" s="5"/>
      <c r="K328" s="5"/>
      <c r="L328" s="5"/>
      <c r="M328" s="5"/>
      <c r="N328" s="5"/>
      <c r="O328" s="5"/>
    </row>
    <row r="329" spans="1:16" x14ac:dyDescent="0.2">
      <c r="A329" s="5"/>
      <c r="B329" s="8" t="s">
        <v>6807</v>
      </c>
      <c r="C329" s="8" t="s">
        <v>6808</v>
      </c>
      <c r="D329" s="8" t="s">
        <v>6798</v>
      </c>
      <c r="E329" s="5">
        <f>486-200-286</f>
        <v>0</v>
      </c>
      <c r="F329" s="5" t="s">
        <v>21</v>
      </c>
      <c r="G329" s="5" t="s">
        <v>5970</v>
      </c>
      <c r="H329" s="5">
        <v>99</v>
      </c>
      <c r="I329" s="5" t="s">
        <v>34</v>
      </c>
      <c r="J329" s="5"/>
      <c r="K329" s="5"/>
      <c r="L329" s="107" t="s">
        <v>6799</v>
      </c>
      <c r="M329" s="5"/>
      <c r="N329" s="5"/>
      <c r="O329" s="5"/>
    </row>
    <row r="330" spans="1:16" s="169" customFormat="1" x14ac:dyDescent="0.2">
      <c r="A330" s="167">
        <v>5</v>
      </c>
      <c r="B330" s="140" t="s">
        <v>6541</v>
      </c>
      <c r="C330" s="140" t="s">
        <v>6809</v>
      </c>
      <c r="D330" s="140" t="s">
        <v>6798</v>
      </c>
      <c r="E330" s="167">
        <f>479+134+286-12-240+6-200-200-40+2-8+400-8-12+200</f>
        <v>787</v>
      </c>
      <c r="F330" s="167" t="s">
        <v>21</v>
      </c>
      <c r="G330" s="167" t="s">
        <v>5970</v>
      </c>
      <c r="H330" s="167">
        <v>99</v>
      </c>
      <c r="I330" s="167" t="s">
        <v>34</v>
      </c>
      <c r="J330" s="167"/>
      <c r="K330" s="167"/>
      <c r="L330" s="167"/>
      <c r="M330" s="167"/>
      <c r="N330" s="167"/>
      <c r="O330" s="167"/>
    </row>
    <row r="331" spans="1:16" s="169" customFormat="1" x14ac:dyDescent="0.2">
      <c r="A331" s="167">
        <v>6</v>
      </c>
      <c r="B331" s="140" t="s">
        <v>6810</v>
      </c>
      <c r="C331" s="140" t="s">
        <v>6811</v>
      </c>
      <c r="D331" s="140" t="s">
        <v>6798</v>
      </c>
      <c r="E331" s="167">
        <f>79</f>
        <v>79</v>
      </c>
      <c r="F331" s="167" t="s">
        <v>21</v>
      </c>
      <c r="G331" s="167" t="s">
        <v>5970</v>
      </c>
      <c r="H331" s="167">
        <v>99</v>
      </c>
      <c r="I331" s="167" t="s">
        <v>34</v>
      </c>
      <c r="J331" s="167"/>
      <c r="K331" s="167"/>
      <c r="L331" s="167"/>
      <c r="M331" s="167"/>
      <c r="N331" s="167"/>
      <c r="O331" s="167"/>
      <c r="P331" s="169" t="s">
        <v>321</v>
      </c>
    </row>
    <row r="332" spans="1:16" s="169" customFormat="1" x14ac:dyDescent="0.2">
      <c r="A332" s="167">
        <v>7</v>
      </c>
      <c r="B332" s="140" t="s">
        <v>6545</v>
      </c>
      <c r="C332" s="140" t="s">
        <v>6812</v>
      </c>
      <c r="D332" s="140" t="s">
        <v>6798</v>
      </c>
      <c r="E332" s="167">
        <f>40-40+40</f>
        <v>40</v>
      </c>
      <c r="F332" s="167" t="s">
        <v>21</v>
      </c>
      <c r="G332" s="167" t="s">
        <v>5970</v>
      </c>
      <c r="H332" s="167">
        <v>99</v>
      </c>
      <c r="I332" s="167" t="s">
        <v>34</v>
      </c>
      <c r="J332" s="167"/>
      <c r="K332" s="167"/>
      <c r="L332" s="167"/>
      <c r="M332" s="167"/>
      <c r="N332" s="167"/>
      <c r="O332" s="167"/>
      <c r="P332" s="169" t="s">
        <v>321</v>
      </c>
    </row>
    <row r="333" spans="1:16" x14ac:dyDescent="0.2">
      <c r="A333" s="5">
        <v>8</v>
      </c>
      <c r="B333" s="8" t="s">
        <v>10378</v>
      </c>
      <c r="C333" s="8" t="s">
        <v>6814</v>
      </c>
      <c r="D333" s="8" t="s">
        <v>6798</v>
      </c>
      <c r="E333" s="5">
        <f>30</f>
        <v>30</v>
      </c>
      <c r="F333" s="5" t="s">
        <v>21</v>
      </c>
      <c r="G333" s="5" t="s">
        <v>5970</v>
      </c>
      <c r="H333" s="5">
        <v>99</v>
      </c>
      <c r="I333" s="5" t="s">
        <v>34</v>
      </c>
      <c r="J333" s="5"/>
      <c r="K333" s="5"/>
      <c r="L333" s="5"/>
      <c r="M333" s="5"/>
      <c r="N333" s="5"/>
      <c r="O333" s="5"/>
    </row>
    <row r="334" spans="1:16" x14ac:dyDescent="0.2">
      <c r="A334" s="5">
        <v>9</v>
      </c>
      <c r="B334" s="8" t="s">
        <v>10379</v>
      </c>
      <c r="C334" s="8" t="s">
        <v>6816</v>
      </c>
      <c r="D334" s="8" t="s">
        <v>6798</v>
      </c>
      <c r="E334" s="5">
        <f>36</f>
        <v>36</v>
      </c>
      <c r="F334" s="5" t="s">
        <v>21</v>
      </c>
      <c r="G334" s="5" t="s">
        <v>5970</v>
      </c>
      <c r="H334" s="5">
        <v>99</v>
      </c>
      <c r="I334" s="5" t="s">
        <v>34</v>
      </c>
      <c r="J334" s="5"/>
      <c r="K334" s="5"/>
      <c r="L334" s="5"/>
      <c r="M334" s="5"/>
      <c r="N334" s="5"/>
      <c r="O334" s="5"/>
    </row>
    <row r="335" spans="1:16" x14ac:dyDescent="0.2">
      <c r="A335" s="5">
        <v>10</v>
      </c>
      <c r="B335" s="8" t="s">
        <v>10380</v>
      </c>
      <c r="C335" s="8" t="s">
        <v>6818</v>
      </c>
      <c r="D335" s="8" t="s">
        <v>6798</v>
      </c>
      <c r="E335" s="5">
        <f>2</f>
        <v>2</v>
      </c>
      <c r="F335" s="5" t="s">
        <v>21</v>
      </c>
      <c r="G335" s="5" t="s">
        <v>5970</v>
      </c>
      <c r="H335" s="5">
        <v>99</v>
      </c>
      <c r="I335" s="5" t="s">
        <v>34</v>
      </c>
      <c r="J335" s="5"/>
      <c r="K335" s="5"/>
      <c r="L335" s="5"/>
      <c r="M335" s="5"/>
      <c r="N335" s="5"/>
      <c r="O335" s="5"/>
    </row>
    <row r="336" spans="1:16" s="169" customFormat="1" x14ac:dyDescent="0.2">
      <c r="A336" s="167">
        <v>11</v>
      </c>
      <c r="B336" s="140" t="s">
        <v>10381</v>
      </c>
      <c r="C336" s="140" t="s">
        <v>6820</v>
      </c>
      <c r="D336" s="140" t="s">
        <v>6798</v>
      </c>
      <c r="E336" s="167">
        <f>52</f>
        <v>52</v>
      </c>
      <c r="F336" s="167" t="s">
        <v>21</v>
      </c>
      <c r="G336" s="167" t="s">
        <v>5970</v>
      </c>
      <c r="H336" s="167">
        <v>99</v>
      </c>
      <c r="I336" s="167" t="s">
        <v>34</v>
      </c>
      <c r="J336" s="167"/>
      <c r="K336" s="167"/>
      <c r="L336" s="167"/>
      <c r="M336" s="167"/>
      <c r="N336" s="167"/>
      <c r="O336" s="167"/>
    </row>
    <row r="337" spans="1:15" s="169" customFormat="1" x14ac:dyDescent="0.2">
      <c r="A337" s="167">
        <v>12</v>
      </c>
      <c r="B337" s="140" t="s">
        <v>6821</v>
      </c>
      <c r="C337" s="140" t="s">
        <v>6822</v>
      </c>
      <c r="D337" s="140" t="s">
        <v>6798</v>
      </c>
      <c r="E337" s="167">
        <f>100</f>
        <v>100</v>
      </c>
      <c r="F337" s="167" t="s">
        <v>21</v>
      </c>
      <c r="G337" s="167" t="s">
        <v>5970</v>
      </c>
      <c r="H337" s="167">
        <v>99</v>
      </c>
      <c r="I337" s="167" t="s">
        <v>34</v>
      </c>
      <c r="J337" s="167"/>
      <c r="K337" s="167"/>
      <c r="L337" s="167"/>
      <c r="M337" s="167"/>
      <c r="N337" s="167"/>
      <c r="O337" s="167"/>
    </row>
    <row r="338" spans="1:15" x14ac:dyDescent="0.2">
      <c r="A338" s="5">
        <v>13</v>
      </c>
      <c r="B338" s="8" t="s">
        <v>6823</v>
      </c>
      <c r="C338" s="8" t="s">
        <v>6824</v>
      </c>
      <c r="D338" s="8" t="s">
        <v>6798</v>
      </c>
      <c r="E338" s="5">
        <f>46</f>
        <v>46</v>
      </c>
      <c r="F338" s="5" t="s">
        <v>21</v>
      </c>
      <c r="G338" s="5" t="s">
        <v>5970</v>
      </c>
      <c r="H338" s="5">
        <v>99</v>
      </c>
      <c r="I338" s="5" t="s">
        <v>34</v>
      </c>
      <c r="J338" s="5"/>
      <c r="K338" s="5"/>
      <c r="L338" s="5"/>
      <c r="M338" s="5"/>
      <c r="N338" s="5"/>
      <c r="O338" s="5"/>
    </row>
    <row r="339" spans="1:15" x14ac:dyDescent="0.2">
      <c r="A339" s="5">
        <v>14</v>
      </c>
      <c r="B339" s="8" t="s">
        <v>6825</v>
      </c>
      <c r="C339" s="8" t="s">
        <v>6826</v>
      </c>
      <c r="D339" s="8" t="s">
        <v>6798</v>
      </c>
      <c r="E339" s="5">
        <f>6</f>
        <v>6</v>
      </c>
      <c r="F339" s="5" t="s">
        <v>21</v>
      </c>
      <c r="G339" s="5" t="s">
        <v>5970</v>
      </c>
      <c r="H339" s="5">
        <v>99</v>
      </c>
      <c r="I339" s="5" t="s">
        <v>34</v>
      </c>
      <c r="J339" s="5"/>
      <c r="K339" s="5"/>
      <c r="L339" s="5"/>
      <c r="M339" s="5"/>
      <c r="N339" s="5"/>
      <c r="O339" s="5"/>
    </row>
    <row r="340" spans="1:15" x14ac:dyDescent="0.2">
      <c r="A340" s="5">
        <v>15</v>
      </c>
      <c r="B340" s="8" t="s">
        <v>10382</v>
      </c>
      <c r="C340" s="8" t="s">
        <v>6828</v>
      </c>
      <c r="D340" s="8" t="s">
        <v>6798</v>
      </c>
      <c r="E340" s="5">
        <f>79</f>
        <v>79</v>
      </c>
      <c r="F340" s="5" t="s">
        <v>21</v>
      </c>
      <c r="G340" s="5" t="s">
        <v>5970</v>
      </c>
      <c r="H340" s="5">
        <v>99</v>
      </c>
      <c r="I340" s="5" t="s">
        <v>34</v>
      </c>
      <c r="J340" s="5"/>
      <c r="K340" s="5"/>
      <c r="L340" s="5"/>
      <c r="M340" s="5"/>
      <c r="N340" s="5"/>
      <c r="O340" s="5"/>
    </row>
    <row r="341" spans="1:15" s="169" customFormat="1" x14ac:dyDescent="0.2">
      <c r="A341" s="169">
        <v>16</v>
      </c>
      <c r="B341" s="140" t="s">
        <v>6829</v>
      </c>
      <c r="C341" s="140" t="s">
        <v>6830</v>
      </c>
      <c r="D341" s="140" t="s">
        <v>6830</v>
      </c>
      <c r="E341" s="167">
        <f>10</f>
        <v>10</v>
      </c>
      <c r="F341" s="167" t="s">
        <v>292</v>
      </c>
      <c r="G341" s="167" t="s">
        <v>5970</v>
      </c>
      <c r="H341" s="167">
        <v>99</v>
      </c>
      <c r="I341" s="167" t="s">
        <v>6401</v>
      </c>
      <c r="J341" s="167"/>
      <c r="K341" s="167"/>
      <c r="L341" s="168"/>
      <c r="M341" s="167"/>
      <c r="N341" s="167"/>
      <c r="O341" s="167"/>
    </row>
    <row r="342" spans="1:15" s="169" customFormat="1" x14ac:dyDescent="0.2">
      <c r="A342" s="169">
        <v>17</v>
      </c>
      <c r="B342" s="140" t="s">
        <v>6408</v>
      </c>
      <c r="C342" s="140" t="s">
        <v>6830</v>
      </c>
      <c r="D342" s="140" t="s">
        <v>6830</v>
      </c>
      <c r="E342" s="167">
        <f>10</f>
        <v>10</v>
      </c>
      <c r="F342" s="167" t="s">
        <v>292</v>
      </c>
      <c r="G342" s="167" t="s">
        <v>5970</v>
      </c>
      <c r="H342" s="167">
        <v>99</v>
      </c>
      <c r="I342" s="167" t="s">
        <v>6401</v>
      </c>
      <c r="J342" s="167"/>
      <c r="K342" s="167"/>
      <c r="L342" s="168"/>
      <c r="M342" s="167"/>
      <c r="N342" s="167"/>
      <c r="O342" s="167"/>
    </row>
    <row r="343" spans="1:15" s="169" customFormat="1" x14ac:dyDescent="0.2">
      <c r="A343" s="167">
        <v>18</v>
      </c>
      <c r="B343" s="140" t="s">
        <v>6831</v>
      </c>
      <c r="C343" s="140" t="s">
        <v>6830</v>
      </c>
      <c r="D343" s="140" t="s">
        <v>6798</v>
      </c>
      <c r="E343" s="167">
        <f>79</f>
        <v>79</v>
      </c>
      <c r="F343" s="167" t="s">
        <v>21</v>
      </c>
      <c r="G343" s="167" t="s">
        <v>5970</v>
      </c>
      <c r="H343" s="167">
        <v>99</v>
      </c>
      <c r="I343" s="167" t="s">
        <v>34</v>
      </c>
      <c r="J343" s="167"/>
      <c r="K343" s="167"/>
      <c r="L343" s="167"/>
      <c r="M343" s="167"/>
      <c r="N343" s="167"/>
      <c r="O343" s="167"/>
    </row>
    <row r="344" spans="1:15" x14ac:dyDescent="0.2">
      <c r="A344" s="5" t="s">
        <v>6833</v>
      </c>
      <c r="B344" s="8"/>
      <c r="C344" s="8"/>
      <c r="D344" s="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 x14ac:dyDescent="0.2">
      <c r="A345" s="5">
        <v>176</v>
      </c>
      <c r="B345" s="8" t="s">
        <v>6838</v>
      </c>
      <c r="C345" s="8" t="s">
        <v>6839</v>
      </c>
      <c r="D345" s="8" t="s">
        <v>6839</v>
      </c>
      <c r="E345" s="5">
        <f>110-4-2-2-12-6</f>
        <v>84</v>
      </c>
      <c r="F345" s="5" t="s">
        <v>21</v>
      </c>
      <c r="G345" s="5" t="s">
        <v>5970</v>
      </c>
      <c r="H345" s="5" t="s">
        <v>6840</v>
      </c>
      <c r="I345" s="5" t="s">
        <v>71</v>
      </c>
      <c r="J345" s="5" t="s">
        <v>266</v>
      </c>
      <c r="K345" s="5"/>
      <c r="L345" s="5" t="s">
        <v>1841</v>
      </c>
      <c r="M345" s="5"/>
      <c r="N345" s="5"/>
      <c r="O345" s="5"/>
    </row>
    <row r="346" spans="1:15" x14ac:dyDescent="0.2">
      <c r="A346" s="5">
        <v>348</v>
      </c>
      <c r="B346" s="8" t="s">
        <v>6841</v>
      </c>
      <c r="C346" s="8" t="s">
        <v>6842</v>
      </c>
      <c r="D346" s="8" t="s">
        <v>6842</v>
      </c>
      <c r="E346" s="5">
        <v>3</v>
      </c>
      <c r="F346" s="5" t="s">
        <v>292</v>
      </c>
      <c r="G346" s="5" t="s">
        <v>5970</v>
      </c>
      <c r="H346" s="5">
        <v>104</v>
      </c>
      <c r="I346" s="5" t="s">
        <v>6843</v>
      </c>
      <c r="J346" s="5"/>
      <c r="K346" s="5"/>
      <c r="L346" s="5" t="s">
        <v>6844</v>
      </c>
      <c r="M346" s="5"/>
      <c r="N346" s="5"/>
      <c r="O346" s="5"/>
    </row>
    <row r="347" spans="1:15" x14ac:dyDescent="0.2">
      <c r="A347" s="5">
        <v>364</v>
      </c>
      <c r="B347" s="8">
        <v>701012</v>
      </c>
      <c r="C347" s="8" t="s">
        <v>6845</v>
      </c>
      <c r="D347" s="8" t="s">
        <v>6846</v>
      </c>
      <c r="E347" s="5">
        <v>5</v>
      </c>
      <c r="F347" s="5" t="s">
        <v>292</v>
      </c>
      <c r="G347" s="5" t="s">
        <v>5970</v>
      </c>
      <c r="H347" s="5">
        <v>105</v>
      </c>
      <c r="I347" s="5" t="s">
        <v>266</v>
      </c>
      <c r="J347" s="5" t="s">
        <v>266</v>
      </c>
      <c r="K347" s="5"/>
      <c r="L347" s="5" t="s">
        <v>6847</v>
      </c>
      <c r="M347" s="5"/>
      <c r="N347" s="5"/>
      <c r="O347" s="5"/>
    </row>
    <row r="348" spans="1:15" x14ac:dyDescent="0.2">
      <c r="A348" s="5"/>
      <c r="B348" s="8" t="s">
        <v>6848</v>
      </c>
      <c r="C348" s="8" t="s">
        <v>6849</v>
      </c>
      <c r="D348" s="8" t="s">
        <v>6849</v>
      </c>
      <c r="E348" s="5">
        <f>3</f>
        <v>3</v>
      </c>
      <c r="F348" s="5" t="s">
        <v>292</v>
      </c>
      <c r="G348" s="5" t="s">
        <v>5970</v>
      </c>
      <c r="H348" s="5">
        <v>105</v>
      </c>
      <c r="I348" s="5" t="s">
        <v>266</v>
      </c>
      <c r="J348" s="5"/>
      <c r="K348" s="5"/>
      <c r="L348" s="107" t="s">
        <v>6850</v>
      </c>
      <c r="M348" s="5"/>
      <c r="N348" s="5"/>
      <c r="O348" s="5"/>
    </row>
    <row r="349" spans="1:15" x14ac:dyDescent="0.2">
      <c r="A349" s="5"/>
      <c r="B349" s="8" t="s">
        <v>6851</v>
      </c>
      <c r="C349" s="8" t="s">
        <v>6852</v>
      </c>
      <c r="D349" s="8" t="s">
        <v>6853</v>
      </c>
      <c r="E349" s="5">
        <f>23-23+23+30</f>
        <v>53</v>
      </c>
      <c r="F349" s="5" t="s">
        <v>292</v>
      </c>
      <c r="G349" s="5" t="s">
        <v>5970</v>
      </c>
      <c r="H349" s="5">
        <v>106</v>
      </c>
      <c r="I349" s="5" t="s">
        <v>266</v>
      </c>
      <c r="J349" s="5"/>
      <c r="K349" s="5"/>
      <c r="L349" s="5"/>
      <c r="M349" s="5"/>
      <c r="N349" s="5"/>
      <c r="O349" s="5"/>
    </row>
    <row r="350" spans="1:15" x14ac:dyDescent="0.2">
      <c r="A350" s="5">
        <v>67</v>
      </c>
      <c r="B350" s="8" t="s">
        <v>6856</v>
      </c>
      <c r="C350" s="8" t="s">
        <v>6857</v>
      </c>
      <c r="D350" s="8" t="s">
        <v>6857</v>
      </c>
      <c r="E350" s="5">
        <f>4+24-5-5+10-5-5+5</f>
        <v>23</v>
      </c>
      <c r="F350" s="5" t="s">
        <v>21</v>
      </c>
      <c r="G350" s="5" t="s">
        <v>5970</v>
      </c>
      <c r="H350" s="5">
        <v>107</v>
      </c>
      <c r="I350" s="5" t="s">
        <v>71</v>
      </c>
      <c r="J350" s="5" t="s">
        <v>266</v>
      </c>
      <c r="K350" s="5"/>
      <c r="L350" s="5" t="s">
        <v>553</v>
      </c>
      <c r="M350" s="5"/>
      <c r="N350" s="5"/>
      <c r="O350" s="5"/>
    </row>
    <row r="351" spans="1:15" x14ac:dyDescent="0.2">
      <c r="A351" s="5"/>
      <c r="B351" s="8" t="s">
        <v>6858</v>
      </c>
      <c r="C351" s="8" t="s">
        <v>6859</v>
      </c>
      <c r="D351" s="8" t="s">
        <v>6859</v>
      </c>
      <c r="E351" s="5">
        <f>1</f>
        <v>1</v>
      </c>
      <c r="F351" s="5" t="s">
        <v>21</v>
      </c>
      <c r="G351" s="5" t="s">
        <v>5970</v>
      </c>
      <c r="H351" s="5">
        <v>108</v>
      </c>
      <c r="I351" s="5" t="s">
        <v>71</v>
      </c>
      <c r="J351" s="5"/>
      <c r="K351" s="5"/>
      <c r="L351" s="107" t="s">
        <v>6860</v>
      </c>
      <c r="M351" s="5"/>
      <c r="N351" s="5"/>
      <c r="O351" s="5"/>
    </row>
    <row r="352" spans="1:15" x14ac:dyDescent="0.2">
      <c r="A352" s="5"/>
      <c r="B352" s="108" t="s">
        <v>6861</v>
      </c>
      <c r="C352" s="108" t="s">
        <v>6862</v>
      </c>
      <c r="D352" s="108" t="s">
        <v>6862</v>
      </c>
      <c r="E352" s="5">
        <f>1</f>
        <v>1</v>
      </c>
      <c r="F352" s="5" t="s">
        <v>21</v>
      </c>
      <c r="G352" s="5" t="s">
        <v>5970</v>
      </c>
      <c r="H352" s="5">
        <v>108</v>
      </c>
      <c r="I352" s="5" t="s">
        <v>5626</v>
      </c>
      <c r="J352" s="5"/>
      <c r="K352" s="5"/>
      <c r="L352" s="107"/>
      <c r="M352" s="5"/>
      <c r="N352" s="5"/>
      <c r="O352" s="5"/>
    </row>
    <row r="353" spans="1:15" x14ac:dyDescent="0.2">
      <c r="A353" s="5"/>
      <c r="B353" s="108" t="s">
        <v>6863</v>
      </c>
      <c r="C353" s="108" t="s">
        <v>6864</v>
      </c>
      <c r="D353" s="108" t="s">
        <v>6864</v>
      </c>
      <c r="E353" s="5">
        <f>1</f>
        <v>1</v>
      </c>
      <c r="F353" s="5" t="s">
        <v>21</v>
      </c>
      <c r="G353" s="5" t="s">
        <v>5970</v>
      </c>
      <c r="H353" s="5">
        <v>108</v>
      </c>
      <c r="I353" s="5" t="s">
        <v>5626</v>
      </c>
      <c r="J353" s="5"/>
      <c r="K353" s="5"/>
      <c r="L353" s="107"/>
      <c r="M353" s="5"/>
      <c r="N353" s="5"/>
      <c r="O353" s="5"/>
    </row>
    <row r="354" spans="1:15" x14ac:dyDescent="0.2">
      <c r="A354" s="5"/>
      <c r="B354" s="108" t="s">
        <v>6865</v>
      </c>
      <c r="C354" s="108" t="s">
        <v>6866</v>
      </c>
      <c r="D354" s="108" t="s">
        <v>6866</v>
      </c>
      <c r="E354" s="5">
        <f>1</f>
        <v>1</v>
      </c>
      <c r="F354" s="5" t="s">
        <v>21</v>
      </c>
      <c r="G354" s="5" t="s">
        <v>5970</v>
      </c>
      <c r="H354" s="5">
        <v>108</v>
      </c>
      <c r="I354" s="5" t="s">
        <v>5626</v>
      </c>
      <c r="J354" s="5"/>
      <c r="K354" s="5"/>
      <c r="L354" s="107"/>
      <c r="M354" s="5"/>
      <c r="N354" s="5"/>
      <c r="O354" s="5"/>
    </row>
    <row r="355" spans="1:15" x14ac:dyDescent="0.2">
      <c r="A355" s="5">
        <v>37</v>
      </c>
      <c r="B355" s="8" t="s">
        <v>6867</v>
      </c>
      <c r="C355" s="8" t="s">
        <v>6868</v>
      </c>
      <c r="D355" s="8" t="s">
        <v>6868</v>
      </c>
      <c r="E355" s="5">
        <v>0</v>
      </c>
      <c r="F355" s="5" t="s">
        <v>292</v>
      </c>
      <c r="G355" s="5" t="s">
        <v>5970</v>
      </c>
      <c r="H355" s="5">
        <v>109</v>
      </c>
      <c r="I355" s="5" t="s">
        <v>71</v>
      </c>
      <c r="J355" s="5" t="s">
        <v>5626</v>
      </c>
      <c r="K355" s="5"/>
      <c r="L355" s="5" t="s">
        <v>6869</v>
      </c>
      <c r="M355" s="5"/>
      <c r="N355" s="5"/>
      <c r="O355" s="5"/>
    </row>
    <row r="356" spans="1:15" x14ac:dyDescent="0.2">
      <c r="A356" s="5">
        <v>232</v>
      </c>
      <c r="B356" s="8" t="s">
        <v>6870</v>
      </c>
      <c r="C356" s="8" t="s">
        <v>6871</v>
      </c>
      <c r="D356" s="8" t="s">
        <v>6871</v>
      </c>
      <c r="E356" s="5">
        <v>4</v>
      </c>
      <c r="F356" s="5" t="s">
        <v>292</v>
      </c>
      <c r="G356" s="5" t="s">
        <v>5970</v>
      </c>
      <c r="H356" s="5">
        <v>109</v>
      </c>
      <c r="I356" s="5" t="s">
        <v>71</v>
      </c>
      <c r="J356" s="5" t="s">
        <v>5626</v>
      </c>
      <c r="K356" s="5"/>
      <c r="L356" s="5" t="s">
        <v>6869</v>
      </c>
      <c r="M356" s="5"/>
      <c r="N356" s="5"/>
      <c r="O356" s="5"/>
    </row>
    <row r="357" spans="1:15" x14ac:dyDescent="0.2">
      <c r="A357" s="5">
        <v>299</v>
      </c>
      <c r="B357" s="8" t="s">
        <v>6872</v>
      </c>
      <c r="C357" s="8" t="s">
        <v>6873</v>
      </c>
      <c r="D357" s="8" t="s">
        <v>6873</v>
      </c>
      <c r="E357" s="5">
        <v>4</v>
      </c>
      <c r="F357" s="5" t="s">
        <v>292</v>
      </c>
      <c r="G357" s="5" t="s">
        <v>5970</v>
      </c>
      <c r="H357" s="5">
        <v>109</v>
      </c>
      <c r="I357" s="5" t="s">
        <v>71</v>
      </c>
      <c r="J357" s="5" t="s">
        <v>5626</v>
      </c>
      <c r="K357" s="5"/>
      <c r="L357" s="5" t="s">
        <v>6874</v>
      </c>
      <c r="M357" s="5"/>
      <c r="N357" s="5"/>
      <c r="O357" s="5"/>
    </row>
    <row r="358" spans="1:15" x14ac:dyDescent="0.2">
      <c r="A358" s="5"/>
      <c r="B358" s="8" t="s">
        <v>6875</v>
      </c>
      <c r="C358" s="8" t="s">
        <v>6876</v>
      </c>
      <c r="D358" s="8" t="s">
        <v>6876</v>
      </c>
      <c r="E358" s="5">
        <v>0</v>
      </c>
      <c r="F358" s="5" t="s">
        <v>292</v>
      </c>
      <c r="G358" s="5" t="s">
        <v>5970</v>
      </c>
      <c r="H358" s="5">
        <v>109</v>
      </c>
      <c r="I358" s="5" t="s">
        <v>71</v>
      </c>
      <c r="J358" s="5" t="s">
        <v>5626</v>
      </c>
      <c r="K358" s="5"/>
      <c r="L358" s="5"/>
      <c r="M358" s="5"/>
      <c r="N358" s="5"/>
      <c r="O358" s="5"/>
    </row>
    <row r="359" spans="1:15" x14ac:dyDescent="0.2">
      <c r="A359" s="5">
        <v>108</v>
      </c>
      <c r="B359" s="8" t="s">
        <v>6877</v>
      </c>
      <c r="C359" s="8" t="s">
        <v>6878</v>
      </c>
      <c r="D359" s="8" t="s">
        <v>6878</v>
      </c>
      <c r="E359" s="5">
        <v>24</v>
      </c>
      <c r="F359" s="5" t="s">
        <v>292</v>
      </c>
      <c r="G359" s="5" t="s">
        <v>5970</v>
      </c>
      <c r="H359" s="5">
        <v>110</v>
      </c>
      <c r="I359" s="5" t="s">
        <v>71</v>
      </c>
      <c r="J359" s="5" t="s">
        <v>5626</v>
      </c>
      <c r="K359" s="5"/>
      <c r="L359" s="5" t="s">
        <v>6869</v>
      </c>
      <c r="M359" s="5"/>
      <c r="N359" s="5"/>
      <c r="O359" s="5"/>
    </row>
    <row r="360" spans="1:15" x14ac:dyDescent="0.2">
      <c r="A360" s="5">
        <v>161</v>
      </c>
      <c r="B360" s="8" t="s">
        <v>6879</v>
      </c>
      <c r="C360" s="8" t="s">
        <v>6880</v>
      </c>
      <c r="D360" s="8" t="s">
        <v>6878</v>
      </c>
      <c r="E360" s="5">
        <v>19</v>
      </c>
      <c r="F360" s="5" t="s">
        <v>292</v>
      </c>
      <c r="G360" s="5" t="s">
        <v>5970</v>
      </c>
      <c r="H360" s="5">
        <v>110</v>
      </c>
      <c r="I360" s="5" t="s">
        <v>71</v>
      </c>
      <c r="J360" s="5" t="s">
        <v>5626</v>
      </c>
      <c r="K360" s="5"/>
      <c r="L360" s="5" t="s">
        <v>6869</v>
      </c>
      <c r="M360" s="5"/>
      <c r="N360" s="5"/>
      <c r="O360" s="5"/>
    </row>
    <row r="361" spans="1:15" x14ac:dyDescent="0.2">
      <c r="A361" s="5">
        <v>276</v>
      </c>
      <c r="B361" s="8" t="s">
        <v>1678</v>
      </c>
      <c r="C361" s="8" t="s">
        <v>1679</v>
      </c>
      <c r="D361" s="8" t="s">
        <v>1679</v>
      </c>
      <c r="E361" s="5">
        <v>23</v>
      </c>
      <c r="F361" s="5" t="s">
        <v>292</v>
      </c>
      <c r="G361" s="5" t="s">
        <v>5970</v>
      </c>
      <c r="H361" s="5">
        <v>111</v>
      </c>
      <c r="I361" s="5" t="s">
        <v>71</v>
      </c>
      <c r="J361" s="5" t="s">
        <v>266</v>
      </c>
      <c r="K361" s="5"/>
      <c r="L361" s="5" t="s">
        <v>1680</v>
      </c>
      <c r="M361" s="5"/>
      <c r="N361" s="5"/>
      <c r="O361" s="5"/>
    </row>
    <row r="362" spans="1:15" x14ac:dyDescent="0.2">
      <c r="A362" s="5"/>
      <c r="B362" s="8" t="s">
        <v>6881</v>
      </c>
      <c r="C362" s="8" t="s">
        <v>6882</v>
      </c>
      <c r="D362" s="8" t="s">
        <v>6882</v>
      </c>
      <c r="E362" s="5">
        <f>5-5+3-1</f>
        <v>2</v>
      </c>
      <c r="F362" s="5" t="s">
        <v>292</v>
      </c>
      <c r="G362" s="5" t="s">
        <v>5970</v>
      </c>
      <c r="H362" s="5">
        <v>112</v>
      </c>
      <c r="I362" s="5" t="s">
        <v>5626</v>
      </c>
      <c r="J362" s="5"/>
      <c r="K362" s="5"/>
      <c r="L362" s="107" t="s">
        <v>6883</v>
      </c>
      <c r="M362" s="5"/>
      <c r="N362" s="5"/>
      <c r="O362" s="5"/>
    </row>
    <row r="363" spans="1:15" x14ac:dyDescent="0.2">
      <c r="A363" s="5">
        <v>296</v>
      </c>
      <c r="B363" s="8" t="s">
        <v>6884</v>
      </c>
      <c r="C363" s="8" t="s">
        <v>6885</v>
      </c>
      <c r="D363" s="8" t="s">
        <v>6885</v>
      </c>
      <c r="E363" s="5">
        <v>4</v>
      </c>
      <c r="F363" s="5" t="s">
        <v>292</v>
      </c>
      <c r="G363" s="5" t="s">
        <v>5970</v>
      </c>
      <c r="H363" s="5">
        <v>114</v>
      </c>
      <c r="I363" s="5" t="s">
        <v>71</v>
      </c>
      <c r="J363" s="5" t="s">
        <v>5626</v>
      </c>
      <c r="K363" s="5"/>
      <c r="L363" s="5" t="s">
        <v>6886</v>
      </c>
      <c r="M363" s="5"/>
      <c r="N363" s="5"/>
      <c r="O363" s="5"/>
    </row>
    <row r="364" spans="1:15" x14ac:dyDescent="0.2">
      <c r="A364" s="5">
        <v>298</v>
      </c>
      <c r="B364" s="8" t="s">
        <v>6887</v>
      </c>
      <c r="C364" s="8" t="s">
        <v>6888</v>
      </c>
      <c r="D364" s="8" t="s">
        <v>6888</v>
      </c>
      <c r="E364" s="5">
        <f>4-2</f>
        <v>2</v>
      </c>
      <c r="F364" s="5" t="s">
        <v>292</v>
      </c>
      <c r="G364" s="5" t="s">
        <v>5970</v>
      </c>
      <c r="H364" s="5">
        <v>115</v>
      </c>
      <c r="I364" s="5" t="s">
        <v>71</v>
      </c>
      <c r="J364" s="5" t="s">
        <v>5626</v>
      </c>
      <c r="K364" s="5"/>
      <c r="L364" s="5" t="s">
        <v>6886</v>
      </c>
      <c r="M364" s="5"/>
      <c r="N364" s="5"/>
      <c r="O364" s="5"/>
    </row>
    <row r="365" spans="1:15" x14ac:dyDescent="0.2">
      <c r="A365" s="5">
        <v>297</v>
      </c>
      <c r="B365" s="8" t="s">
        <v>6889</v>
      </c>
      <c r="C365" s="8" t="s">
        <v>6890</v>
      </c>
      <c r="D365" s="8" t="s">
        <v>6890</v>
      </c>
      <c r="E365" s="5">
        <f>4+6-3-4+3</f>
        <v>6</v>
      </c>
      <c r="F365" s="5" t="s">
        <v>292</v>
      </c>
      <c r="G365" s="5" t="s">
        <v>5970</v>
      </c>
      <c r="H365" s="5">
        <v>116</v>
      </c>
      <c r="I365" s="5" t="s">
        <v>71</v>
      </c>
      <c r="J365" s="5" t="s">
        <v>5626</v>
      </c>
      <c r="K365" s="5"/>
      <c r="L365" s="5" t="s">
        <v>6886</v>
      </c>
      <c r="M365" s="5"/>
      <c r="N365" s="5"/>
      <c r="O365" s="5"/>
    </row>
    <row r="366" spans="1:15" x14ac:dyDescent="0.2">
      <c r="A366" s="5">
        <v>278</v>
      </c>
      <c r="B366" s="8" t="s">
        <v>6891</v>
      </c>
      <c r="C366" s="8" t="s">
        <v>6892</v>
      </c>
      <c r="D366" s="8" t="s">
        <v>6892</v>
      </c>
      <c r="E366" s="5">
        <f>2</f>
        <v>2</v>
      </c>
      <c r="F366" s="5" t="s">
        <v>292</v>
      </c>
      <c r="G366" s="5" t="s">
        <v>5970</v>
      </c>
      <c r="H366" s="5">
        <v>117</v>
      </c>
      <c r="I366" s="5" t="s">
        <v>71</v>
      </c>
      <c r="J366" s="5" t="s">
        <v>520</v>
      </c>
      <c r="K366" s="5"/>
      <c r="L366" s="5" t="s">
        <v>6893</v>
      </c>
      <c r="M366" s="5"/>
      <c r="N366" s="5"/>
      <c r="O366" s="5"/>
    </row>
    <row r="367" spans="1:15" x14ac:dyDescent="0.2">
      <c r="A367" s="5">
        <v>317</v>
      </c>
      <c r="B367" s="8">
        <v>4792</v>
      </c>
      <c r="C367" s="8" t="s">
        <v>6894</v>
      </c>
      <c r="D367" s="8" t="s">
        <v>6894</v>
      </c>
      <c r="E367" s="5">
        <v>0</v>
      </c>
      <c r="F367" s="5" t="s">
        <v>292</v>
      </c>
      <c r="G367" s="5" t="s">
        <v>5970</v>
      </c>
      <c r="H367" s="5">
        <v>117</v>
      </c>
      <c r="I367" s="5" t="s">
        <v>71</v>
      </c>
      <c r="J367" s="5" t="s">
        <v>266</v>
      </c>
      <c r="K367" s="5"/>
      <c r="L367" s="5" t="s">
        <v>6893</v>
      </c>
      <c r="M367" s="5"/>
      <c r="N367" s="5"/>
      <c r="O367" s="5"/>
    </row>
    <row r="368" spans="1:15" x14ac:dyDescent="0.2">
      <c r="A368" s="5"/>
      <c r="B368" s="108" t="s">
        <v>6895</v>
      </c>
      <c r="C368" s="108" t="s">
        <v>6896</v>
      </c>
      <c r="D368" s="108" t="s">
        <v>6896</v>
      </c>
      <c r="E368" s="77">
        <f>265</f>
        <v>265</v>
      </c>
      <c r="F368" s="77" t="s">
        <v>292</v>
      </c>
      <c r="G368" s="5" t="s">
        <v>5970</v>
      </c>
      <c r="H368" s="77">
        <v>118</v>
      </c>
      <c r="I368" s="5" t="s">
        <v>5626</v>
      </c>
      <c r="J368" s="5"/>
      <c r="K368" s="5"/>
      <c r="L368" s="5"/>
      <c r="M368" s="5"/>
      <c r="N368" s="5"/>
      <c r="O368" s="5"/>
    </row>
    <row r="369" spans="1:15" x14ac:dyDescent="0.2">
      <c r="A369" s="5"/>
      <c r="B369" s="133" t="s">
        <v>6897</v>
      </c>
      <c r="C369" s="108" t="s">
        <v>6898</v>
      </c>
      <c r="D369" s="108" t="s">
        <v>6898</v>
      </c>
      <c r="E369" s="77">
        <v>5</v>
      </c>
      <c r="F369" s="77" t="s">
        <v>292</v>
      </c>
      <c r="G369" s="77" t="s">
        <v>5970</v>
      </c>
      <c r="H369" s="77">
        <v>119</v>
      </c>
      <c r="I369" s="77" t="s">
        <v>71</v>
      </c>
      <c r="J369" s="5"/>
      <c r="K369" s="5"/>
      <c r="L369" s="5" t="s">
        <v>6899</v>
      </c>
      <c r="M369" s="5"/>
      <c r="N369" s="5"/>
      <c r="O369" s="5"/>
    </row>
    <row r="370" spans="1:15" x14ac:dyDescent="0.2">
      <c r="A370" s="5"/>
      <c r="B370" s="8" t="s">
        <v>6900</v>
      </c>
      <c r="C370" s="8" t="s">
        <v>6901</v>
      </c>
      <c r="D370" s="8" t="s">
        <v>6901</v>
      </c>
      <c r="E370" s="5">
        <f>128</f>
        <v>128</v>
      </c>
      <c r="F370" s="5" t="s">
        <v>21</v>
      </c>
      <c r="G370" s="5" t="s">
        <v>5970</v>
      </c>
      <c r="H370" s="5">
        <v>120</v>
      </c>
      <c r="I370" s="5" t="s">
        <v>6902</v>
      </c>
      <c r="J370" s="5"/>
      <c r="K370" s="5"/>
      <c r="L370" s="107" t="s">
        <v>6903</v>
      </c>
      <c r="M370" s="5"/>
      <c r="N370" s="5"/>
      <c r="O370" s="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Purcahse</vt:lpstr>
      <vt:lpstr>INVENTORY LIST ALL</vt:lpstr>
      <vt:lpstr>E AND N 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Azzizul Fadhli</dc:creator>
  <cp:keywords/>
  <dc:description/>
  <cp:lastModifiedBy>Chan Huan Chye</cp:lastModifiedBy>
  <cp:revision/>
  <dcterms:created xsi:type="dcterms:W3CDTF">2018-11-23T07:01:16Z</dcterms:created>
  <dcterms:modified xsi:type="dcterms:W3CDTF">2021-01-12T10:17:51Z</dcterms:modified>
  <cp:category/>
  <cp:contentStatus/>
</cp:coreProperties>
</file>