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1730" yWindow="-30" windowWidth="3165" windowHeight="4935" firstSheet="16" activeTab="16"/>
  </bookViews>
  <sheets>
    <sheet name="USDINR" sheetId="4" r:id="rId1"/>
    <sheet name="EURINR" sheetId="5" r:id="rId2"/>
    <sheet name="GBPINR" sheetId="6" r:id="rId3"/>
    <sheet name="JPYINR" sheetId="7" r:id="rId4"/>
    <sheet name="LIBOR" sheetId="8" r:id="rId5"/>
    <sheet name="OHLC" sheetId="10" r:id="rId6"/>
    <sheet name="Currency futures 1 Month" sheetId="11" r:id="rId7"/>
    <sheet name="Currency Futures 2 Month" sheetId="12" r:id="rId8"/>
    <sheet name="Currency Futures 3 Month" sheetId="13" r:id="rId9"/>
    <sheet name="Forward Rates Tab 1USDINR ME" sheetId="14" r:id="rId10"/>
    <sheet name="Forward Rates Tab 2USDINR MW" sheetId="15" r:id="rId11"/>
    <sheet name="Forward Rates Tab 3EURINR ME" sheetId="16" r:id="rId12"/>
    <sheet name="Forward Rates Tab 4GBPINR ME" sheetId="17" r:id="rId13"/>
    <sheet name="Forward Rates Tab 5JPYINR ME" sheetId="18" r:id="rId14"/>
    <sheet name="Forward Rates Tab 6EURUSD MW" sheetId="19" r:id="rId15"/>
    <sheet name="Forward Rates Tab 7GBPUSD MW" sheetId="20" r:id="rId16"/>
    <sheet name="Forward Rates Tab 8USDJPY MW" sheetId="21" r:id="rId17"/>
    <sheet name="Forward Rate Calculator" sheetId="22" r:id="rId18"/>
    <sheet name="Historical Rates" sheetId="23" r:id="rId19"/>
  </sheets>
  <calcPr calcId="144525"/>
</workbook>
</file>

<file path=xl/calcChain.xml><?xml version="1.0" encoding="utf-8"?>
<calcChain xmlns="http://schemas.openxmlformats.org/spreadsheetml/2006/main">
  <c r="B21" i="23" l="1" a="1"/>
  <c r="B20" i="23" a="1"/>
  <c r="E2" i="19" a="1"/>
  <c r="M2" i="20" a="1"/>
  <c r="E1" i="21" a="1"/>
  <c r="G1" i="20" a="1"/>
  <c r="L2" i="16" a="1"/>
  <c r="M1" i="18" a="1"/>
  <c r="D1" i="21" a="1"/>
  <c r="C11" i="15" a="1"/>
  <c r="F2" i="20" a="1"/>
  <c r="I1" i="21" a="1"/>
  <c r="O1" i="20" a="1"/>
  <c r="G1" i="21" a="1"/>
  <c r="N1" i="15" a="1"/>
  <c r="F1" i="18" a="1"/>
  <c r="D1" i="17" a="1"/>
  <c r="H2" i="20" a="1"/>
  <c r="G2" i="19" a="1"/>
  <c r="J2" i="16" a="1"/>
  <c r="M1" i="21" a="1"/>
  <c r="J2" i="20" a="1"/>
  <c r="K1" i="21" a="1"/>
  <c r="M2" i="18" a="1"/>
  <c r="J2" i="17" a="1"/>
  <c r="O1" i="17" a="1"/>
  <c r="F1" i="16" a="1"/>
  <c r="M2" i="14" a="1"/>
  <c r="N1" i="19" a="1"/>
  <c r="L1" i="15" a="1"/>
  <c r="K1" i="19" a="1"/>
  <c r="E1" i="16" a="1"/>
  <c r="D2" i="19" a="1"/>
  <c r="H2" i="19" a="1"/>
  <c r="L1" i="18" a="1"/>
  <c r="K2" i="17" a="1"/>
  <c r="B3" i="5" a="1"/>
  <c r="C8" i="15" a="1"/>
  <c r="O1" i="15" a="1"/>
  <c r="I2" i="21" a="1"/>
  <c r="K1" i="20" a="1"/>
  <c r="C10" i="15" a="1"/>
  <c r="J1" i="20" a="1"/>
  <c r="I1" i="15" a="1"/>
  <c r="O2" i="21" a="1"/>
  <c r="L2" i="19" a="1"/>
  <c r="I1" i="18" a="1"/>
  <c r="D2" i="20" a="1"/>
  <c r="K2" i="15" a="1"/>
  <c r="L1" i="19" a="1"/>
  <c r="C1" i="16" a="1"/>
  <c r="N1" i="20" a="1"/>
  <c r="G2" i="15" a="1"/>
  <c r="H1" i="19" a="1"/>
  <c r="H2" i="15" a="1"/>
  <c r="K2" i="20" a="1"/>
  <c r="L2" i="18" a="1"/>
  <c r="C1" i="18" a="1"/>
  <c r="M2" i="17" a="1"/>
  <c r="M2" i="19" a="1"/>
  <c r="K2" i="16" a="1"/>
  <c r="F1" i="21" a="1"/>
  <c r="G1" i="16" a="1"/>
  <c r="E2" i="20" a="1"/>
  <c r="O2" i="15" a="1"/>
  <c r="C2" i="19" a="1"/>
  <c r="L2" i="15" a="1"/>
  <c r="O1" i="18" a="1"/>
  <c r="M1" i="17" a="1"/>
  <c r="B3" i="6" a="1"/>
  <c r="B3" i="7" a="1"/>
  <c r="G1" i="17" a="1"/>
  <c r="C5" i="15" a="1"/>
  <c r="L1" i="21" a="1"/>
  <c r="O2" i="19" a="1"/>
  <c r="N2" i="16" a="1"/>
  <c r="C3" i="22" a="1"/>
  <c r="I1" i="16" a="1"/>
  <c r="H1" i="18" a="1"/>
  <c r="N1" i="17" a="1"/>
  <c r="C1" i="17" a="1"/>
  <c r="M2" i="16" a="1"/>
  <c r="M1" i="15" a="1"/>
  <c r="K2" i="21" a="1"/>
  <c r="J2" i="14" a="1"/>
  <c r="O1" i="19" a="1"/>
  <c r="D1" i="16" a="1"/>
  <c r="O1" i="21" a="1"/>
  <c r="G2" i="20" a="1"/>
  <c r="O2" i="18" a="1"/>
  <c r="E1" i="18" a="1"/>
  <c r="I2" i="19" a="1"/>
  <c r="N2" i="15" a="1"/>
  <c r="N2" i="14" a="1"/>
  <c r="F2" i="19" a="1"/>
  <c r="C1" i="21" a="1"/>
  <c r="C2" i="20" a="1"/>
  <c r="N1" i="18" a="1"/>
  <c r="L1" i="17" a="1"/>
  <c r="B2" i="6" a="1"/>
  <c r="B2" i="7" a="1"/>
  <c r="M2" i="15" a="1"/>
  <c r="M1" i="20" a="1"/>
  <c r="H1" i="16" a="1"/>
  <c r="J2" i="15" a="1"/>
  <c r="J2" i="21" a="1"/>
  <c r="I1" i="20" a="1"/>
  <c r="L1" i="20" a="1"/>
  <c r="K2" i="18" a="1"/>
  <c r="I2" i="15" a="1"/>
  <c r="M2" i="21" a="1"/>
  <c r="N2" i="21" a="1"/>
  <c r="O2" i="20" a="1"/>
  <c r="J1" i="15" a="1"/>
  <c r="C7" i="15" a="1"/>
  <c r="J1" i="18" a="1"/>
  <c r="H1" i="17" a="1"/>
  <c r="G1" i="15" a="1"/>
  <c r="H1" i="21" a="1"/>
  <c r="N2" i="20" a="1"/>
  <c r="H1" i="15" a="1"/>
  <c r="G1" i="19" a="1"/>
  <c r="H2" i="21" a="1"/>
  <c r="L2" i="21" a="1"/>
  <c r="G1" i="18" a="1"/>
  <c r="N2" i="17" a="1"/>
  <c r="E1" i="17" a="1"/>
  <c r="H1" i="20" a="1"/>
  <c r="N2" i="19" a="1"/>
  <c r="O2" i="16" a="1"/>
  <c r="G2" i="21" a="1"/>
  <c r="I1" i="19" a="1"/>
  <c r="M1" i="19" a="1"/>
  <c r="J2" i="18" a="1"/>
  <c r="O2" i="17" a="1"/>
  <c r="F1" i="17" a="1"/>
  <c r="K1" i="17" a="1"/>
  <c r="J1" i="19" a="1"/>
  <c r="K2" i="19" a="1"/>
  <c r="D1" i="18" a="1"/>
  <c r="J1" i="17" a="1"/>
  <c r="K1" i="15" a="1"/>
  <c r="N1" i="21" a="1"/>
  <c r="I2" i="20" a="1"/>
  <c r="H2" i="17" a="1"/>
  <c r="E1" i="19" a="1"/>
  <c r="C1" i="19" a="1"/>
  <c r="E2" i="18" a="1"/>
  <c r="E2" i="17" a="1"/>
  <c r="G2" i="17" a="1"/>
  <c r="C2" i="18" a="1"/>
  <c r="H2" i="18" a="1"/>
  <c r="K2" i="14" a="1"/>
  <c r="J1" i="21" a="1"/>
  <c r="K1" i="18" a="1"/>
  <c r="I1" i="17" a="1"/>
  <c r="B2" i="5" a="1"/>
  <c r="L2" i="20" a="1"/>
  <c r="L2" i="14" a="1"/>
  <c r="L2" i="17" a="1"/>
  <c r="J2" i="19" a="1"/>
  <c r="D3" i="22" a="1"/>
  <c r="N2" i="18" a="1"/>
  <c r="F2" i="17" a="1"/>
  <c r="F2" i="18" a="1"/>
  <c r="D2" i="18" a="1"/>
  <c r="D2" i="17" a="1"/>
  <c r="G2" i="18" a="1"/>
  <c r="C2" i="17" a="1"/>
  <c r="F1" i="19" a="1"/>
  <c r="O1" i="16" a="1"/>
  <c r="L1" i="16" a="1"/>
  <c r="K1" i="16" a="1"/>
  <c r="N1" i="16" a="1"/>
  <c r="M1" i="16" a="1"/>
  <c r="J1" i="16" a="1"/>
  <c r="F2" i="16" a="1"/>
  <c r="G2" i="16" a="1"/>
  <c r="E2" i="16" a="1"/>
  <c r="C2" i="16" a="1"/>
  <c r="I2" i="16" a="1"/>
  <c r="D2" i="16" a="1"/>
  <c r="H2" i="16" a="1"/>
  <c r="F1" i="15" a="1"/>
  <c r="F1" i="20" a="1"/>
  <c r="E1" i="20" a="1"/>
  <c r="D1" i="20" a="1"/>
  <c r="E2" i="15" a="1"/>
  <c r="D1" i="15" a="1"/>
  <c r="C1" i="15" a="1"/>
  <c r="C2" i="15" a="1"/>
  <c r="E1" i="15" a="1"/>
  <c r="F2" i="15" a="1"/>
  <c r="C3" i="4" a="1"/>
  <c r="C10" i="14" a="1"/>
  <c r="C5" i="14" a="1"/>
  <c r="C2" i="4" a="1"/>
  <c r="C4" i="14" a="1"/>
  <c r="C5" i="16" a="1"/>
  <c r="D2" i="5" a="1"/>
  <c r="C4" i="16" a="1"/>
  <c r="F3" i="5" a="1"/>
  <c r="F2" i="5" a="1"/>
  <c r="C2" i="5" a="1"/>
  <c r="E3" i="5" a="1"/>
  <c r="C10" i="16" a="1"/>
  <c r="D3" i="5" a="1"/>
  <c r="C7" i="16" a="1"/>
  <c r="C3" i="5" a="1"/>
  <c r="E2" i="5" a="1"/>
  <c r="C8" i="16" a="1"/>
  <c r="C11" i="16" a="1"/>
  <c r="F2" i="7" a="1"/>
  <c r="D3" i="7" a="1"/>
  <c r="C10" i="18" a="1"/>
  <c r="F3" i="7" a="1"/>
  <c r="C8" i="18" a="1"/>
  <c r="C11" i="18" a="1"/>
  <c r="D2" i="7" a="1"/>
  <c r="C7" i="18" a="1"/>
  <c r="M7" i="17" a="1"/>
  <c r="M11" i="17" a="1"/>
  <c r="F2" i="6" a="1"/>
  <c r="C10" i="17" a="1"/>
  <c r="C11" i="17" a="1"/>
  <c r="D2" i="6" a="1"/>
  <c r="F3" i="6" a="1"/>
  <c r="D3" i="6" a="1"/>
  <c r="C7" i="17" a="1"/>
  <c r="M10" i="17" a="1"/>
  <c r="M8" i="17" a="1"/>
  <c r="C8" i="17" a="1"/>
  <c r="N11" i="17" a="1"/>
  <c r="N8" i="17" a="1"/>
  <c r="N7" i="17" a="1"/>
  <c r="N10" i="17" a="1"/>
  <c r="E2" i="4" a="1"/>
  <c r="C7" i="14" a="1"/>
  <c r="D2" i="4" a="1"/>
  <c r="F2" i="4" a="1"/>
  <c r="E3" i="4" a="1"/>
  <c r="L11" i="17" a="1"/>
  <c r="L8" i="17" a="1"/>
  <c r="L10" i="17" a="1"/>
  <c r="L7" i="17" a="1"/>
  <c r="N11" i="18" a="1"/>
  <c r="N10" i="18" a="1"/>
  <c r="N8" i="18" a="1"/>
  <c r="N7" i="18" a="1"/>
  <c r="O11" i="18" a="1"/>
  <c r="O8" i="18" a="1"/>
  <c r="O7" i="18" a="1"/>
  <c r="O10" i="18" a="1"/>
  <c r="O10" i="16" a="1"/>
  <c r="O7" i="17" a="1"/>
  <c r="O7" i="16" a="1"/>
  <c r="L11" i="18" a="1"/>
  <c r="L10" i="18" a="1"/>
  <c r="N5" i="16" a="1"/>
  <c r="O4" i="16" a="1"/>
  <c r="O5" i="16" a="1"/>
  <c r="O11" i="16" a="1"/>
  <c r="O8" i="17" a="1"/>
  <c r="E14" i="22" a="1"/>
  <c r="N8" i="16" a="1"/>
  <c r="L8" i="18" a="1"/>
  <c r="L7" i="18" a="1"/>
  <c r="O11" i="17" a="1"/>
  <c r="F14" i="22" a="1"/>
  <c r="O8" i="16" a="1"/>
  <c r="N11" i="16" a="1"/>
  <c r="N7" i="16" a="1"/>
  <c r="O10" i="17" a="1"/>
  <c r="N4" i="16" a="1"/>
  <c r="E15" i="22" a="1"/>
  <c r="F15" i="22" a="1"/>
  <c r="N10" i="16" a="1"/>
  <c r="O8" i="14" a="1"/>
  <c r="O10" i="14" a="1"/>
  <c r="O7" i="14" a="1"/>
  <c r="O11" i="14" a="1"/>
  <c r="M10" i="16" a="1"/>
  <c r="F13" i="22" a="1"/>
  <c r="M5" i="16" a="1"/>
  <c r="M11" i="16" a="1"/>
  <c r="M7" i="18" a="1"/>
  <c r="M11" i="18" a="1"/>
  <c r="M10" i="18" a="1"/>
  <c r="M8" i="18" a="1"/>
  <c r="M4" i="16" a="1"/>
  <c r="M8" i="16" a="1"/>
  <c r="E13" i="22" a="1"/>
  <c r="M7" i="16" a="1"/>
  <c r="N11" i="15" a="1"/>
  <c r="O11" i="15" a="1"/>
  <c r="O7" i="15" a="1"/>
  <c r="N4" i="15" a="1"/>
  <c r="C14" i="22" a="1"/>
  <c r="N10" i="15" a="1"/>
  <c r="N8" i="15" a="1"/>
  <c r="N7" i="15" a="1"/>
  <c r="C15" i="22" a="1"/>
  <c r="D14" i="22" a="1"/>
  <c r="O5" i="15" a="1"/>
  <c r="O8" i="15" a="1"/>
  <c r="N7" i="14" a="1"/>
  <c r="N10" i="14" a="1"/>
  <c r="N5" i="15" a="1"/>
  <c r="O4" i="15" a="1"/>
  <c r="N8" i="14" a="1"/>
  <c r="N11" i="14" a="1"/>
  <c r="D15" i="22" a="1"/>
  <c r="O10" i="15" a="1"/>
  <c r="F12" i="22" a="1"/>
  <c r="L8" i="16" a="1"/>
  <c r="L5" i="16" a="1"/>
  <c r="L4" i="16" a="1"/>
  <c r="E12" i="22" a="1"/>
  <c r="L11" i="16" a="1"/>
  <c r="L10" i="16" a="1"/>
  <c r="M4" i="15" a="1"/>
  <c r="M7" i="15" a="1"/>
  <c r="M10" i="14" a="1"/>
  <c r="M11" i="14" a="1"/>
  <c r="M5" i="15" a="1"/>
  <c r="M10" i="15" a="1"/>
  <c r="D13" i="22" a="1"/>
  <c r="C13" i="22" a="1"/>
  <c r="M8" i="14" a="1"/>
  <c r="M11" i="15" a="1"/>
  <c r="M7" i="14" a="1"/>
  <c r="M8" i="15" a="1"/>
  <c r="K5" i="16" a="1"/>
  <c r="K4" i="16" a="1"/>
  <c r="K8" i="16" a="1"/>
  <c r="F11" i="22" a="1"/>
  <c r="K10" i="16" a="1"/>
  <c r="K11" i="16" a="1"/>
  <c r="E11" i="22" a="1"/>
  <c r="K7" i="16" a="1"/>
  <c r="J11" i="17" a="1"/>
  <c r="G7" i="17" a="1"/>
  <c r="C12" i="22" a="1"/>
  <c r="G8" i="17" a="1"/>
  <c r="D12" i="22" a="1"/>
  <c r="G10" i="17" a="1"/>
  <c r="I4" i="16" a="1"/>
  <c r="K11" i="17" a="1"/>
  <c r="E7" i="22" a="1"/>
  <c r="E11" i="16" a="1"/>
  <c r="F11" i="16" a="1"/>
  <c r="F10" i="17" a="1"/>
  <c r="H5" i="16" a="1"/>
  <c r="F5" i="16" a="1"/>
  <c r="K8" i="18" a="1"/>
  <c r="G4" i="16" a="1"/>
  <c r="H4" i="16" a="1"/>
  <c r="G7" i="16" a="1"/>
  <c r="F11" i="17" a="1"/>
  <c r="G11" i="17" a="1"/>
  <c r="K10" i="18" a="1"/>
  <c r="G5" i="16" a="1"/>
  <c r="F10" i="16" a="1"/>
  <c r="I8" i="16" a="1"/>
  <c r="K8" i="17" a="1"/>
  <c r="K7" i="18" a="1"/>
  <c r="L11" i="14" a="1"/>
  <c r="E4" i="16" a="1"/>
  <c r="H11" i="17" a="1"/>
  <c r="H7" i="16" a="1"/>
  <c r="L7" i="14" a="1"/>
  <c r="F4" i="16" a="1"/>
  <c r="H7" i="17" a="1"/>
  <c r="L10" i="15" a="1"/>
  <c r="F7" i="16" a="1"/>
  <c r="K11" i="18" a="1"/>
  <c r="L8" i="14" a="1"/>
  <c r="K7" i="17" a="1"/>
  <c r="E10" i="16" a="1"/>
  <c r="K10" i="17" a="1"/>
  <c r="H10" i="17" a="1"/>
  <c r="L7" i="15" a="1"/>
  <c r="J8" i="17" a="1"/>
  <c r="I5" i="16" a="1"/>
  <c r="L11" i="15" a="1"/>
  <c r="E5" i="16" a="1"/>
  <c r="J10" i="17" a="1"/>
  <c r="I7" i="16" a="1"/>
  <c r="L4" i="15" a="1"/>
  <c r="E7" i="16" a="1"/>
  <c r="H8" i="17" a="1"/>
  <c r="L8" i="15" a="1"/>
  <c r="H10" i="16" a="1"/>
  <c r="F9" i="22" a="1"/>
  <c r="F8" i="22" a="1"/>
  <c r="F5" i="22" a="1"/>
  <c r="F7" i="22" a="1"/>
  <c r="E8" i="16" a="1"/>
  <c r="G11" i="16" a="1"/>
  <c r="G8" i="16" a="1"/>
  <c r="I11" i="16" a="1"/>
  <c r="H11" i="16" a="1"/>
  <c r="F8" i="16" a="1"/>
  <c r="F7" i="17" a="1"/>
  <c r="F8" i="17" a="1"/>
  <c r="L5" i="15" a="1"/>
  <c r="J7" i="17" a="1"/>
  <c r="L10" i="14" a="1"/>
  <c r="G10" i="16" a="1"/>
  <c r="I10" i="16" a="1"/>
  <c r="E9" i="22" a="1"/>
  <c r="E8" i="22" a="1"/>
  <c r="F6" i="22" a="1"/>
  <c r="H8" i="16" a="1"/>
  <c r="E8" i="17" a="1"/>
  <c r="E11" i="17" a="1"/>
  <c r="E7" i="17" a="1"/>
  <c r="E10" i="17" a="1"/>
  <c r="J8" i="18" a="1"/>
  <c r="J10" i="18" a="1"/>
  <c r="J7" i="18" a="1"/>
  <c r="J11" i="18" a="1"/>
  <c r="J8" i="16" a="1"/>
  <c r="I8" i="18" a="1"/>
  <c r="J4" i="16" a="1"/>
  <c r="J5" i="16" a="1"/>
  <c r="E10" i="22" a="1"/>
  <c r="J11" i="16" a="1"/>
  <c r="I7" i="18" a="1"/>
  <c r="I10" i="18" a="1"/>
  <c r="I11" i="18" a="1"/>
  <c r="F10" i="22" a="1"/>
  <c r="J7" i="16" a="1"/>
  <c r="J10" i="16" a="1"/>
  <c r="K7" i="14" a="1"/>
  <c r="K10" i="14" a="1"/>
  <c r="K10" i="15" a="1"/>
  <c r="K4" i="15" a="1"/>
  <c r="K7" i="15" a="1"/>
  <c r="K8" i="14" a="1"/>
  <c r="K11" i="14" a="1"/>
  <c r="D11" i="22" a="1"/>
  <c r="C11" i="22" a="1"/>
  <c r="K5" i="15" a="1"/>
  <c r="K11" i="15" a="1"/>
  <c r="K8" i="15" a="1"/>
  <c r="G8" i="18" a="1"/>
  <c r="I8" i="17" a="1"/>
  <c r="I11" i="17" a="1"/>
  <c r="G11" i="18" a="1"/>
  <c r="G10" i="18" a="1"/>
  <c r="G7" i="18" a="1"/>
  <c r="I7" i="17" a="1"/>
  <c r="I10" i="17" a="1"/>
  <c r="J10" i="15" a="1"/>
  <c r="J7" i="15" a="1"/>
  <c r="J5" i="15" a="1"/>
  <c r="J4" i="15" a="1"/>
  <c r="J7" i="14" a="1"/>
  <c r="J11" i="15" a="1"/>
  <c r="J10" i="14" a="1"/>
  <c r="J8" i="15" a="1"/>
  <c r="D10" i="22" a="1"/>
  <c r="J8" i="14" a="1"/>
  <c r="C10" i="22" a="1"/>
  <c r="J11" i="14" a="1"/>
  <c r="H8" i="18" a="1"/>
  <c r="I7" i="14" a="1"/>
  <c r="H10" i="18" a="1"/>
  <c r="C9" i="22" a="1"/>
  <c r="I10" i="14" a="1"/>
  <c r="H7" i="18" a="1"/>
  <c r="I5" i="15" a="1"/>
  <c r="I4" i="14" a="1"/>
  <c r="I4" i="15" a="1"/>
  <c r="I8" i="15" a="1"/>
  <c r="H11" i="18" a="1"/>
  <c r="D9" i="22" a="1"/>
  <c r="I10" i="15" a="1"/>
  <c r="I7" i="15" a="1"/>
  <c r="I11" i="15" a="1"/>
  <c r="I5" i="14" a="1"/>
  <c r="H8" i="15" a="1"/>
  <c r="H7" i="15" a="1"/>
  <c r="C8" i="22" a="1"/>
  <c r="H7" i="14" a="1"/>
  <c r="H5" i="15" a="1"/>
  <c r="H5" i="14" a="1"/>
  <c r="H11" i="15" a="1"/>
  <c r="H4" i="14" a="1"/>
  <c r="H10" i="15" a="1"/>
  <c r="H4" i="15" a="1"/>
  <c r="D8" i="22" a="1"/>
  <c r="H10" i="14" a="1"/>
  <c r="F11" i="18" a="1"/>
  <c r="F7" i="18" a="1"/>
  <c r="F8" i="18" a="1"/>
  <c r="F10" i="18" a="1"/>
  <c r="G5" i="15" a="1"/>
  <c r="G7" i="15" a="1"/>
  <c r="G8" i="15" a="1"/>
  <c r="G4" i="15" a="1"/>
  <c r="G4" i="14" a="1"/>
  <c r="C7" i="22" a="1"/>
  <c r="G5" i="14" a="1"/>
  <c r="G7" i="14" a="1"/>
  <c r="G11" i="15" a="1"/>
  <c r="D7" i="22" a="1"/>
  <c r="G10" i="15" a="1"/>
  <c r="G10" i="14" a="1"/>
  <c r="D7" i="17" a="1"/>
  <c r="D8" i="17" a="1"/>
  <c r="D11" i="17" a="1"/>
  <c r="D10" i="17" a="1"/>
  <c r="E8" i="18" a="1"/>
  <c r="E11" i="18" a="1"/>
  <c r="E7" i="18" a="1"/>
  <c r="E10" i="18" a="1"/>
  <c r="F5" i="14" a="1"/>
  <c r="F5" i="15" a="1"/>
  <c r="D6" i="22" a="1"/>
  <c r="F4" i="15" a="1"/>
  <c r="F4" i="14" a="1"/>
  <c r="F7" i="14" a="1"/>
  <c r="F10" i="14" a="1"/>
  <c r="F7" i="15" a="1"/>
  <c r="F11" i="15" a="1"/>
  <c r="F8" i="15" a="1"/>
  <c r="F10" i="15" a="1"/>
  <c r="C6" i="22" a="1"/>
  <c r="D10" i="18" a="1"/>
  <c r="D5" i="16" a="1"/>
  <c r="D7" i="16" a="1"/>
  <c r="D7" i="18" a="1"/>
  <c r="F4" i="22" a="1"/>
  <c r="D8" i="16" a="1"/>
  <c r="D8" i="18" a="1"/>
  <c r="D11" i="18" a="1"/>
  <c r="D4" i="16" a="1"/>
  <c r="D10" i="16" a="1"/>
  <c r="D11" i="16" a="1"/>
  <c r="E8" i="15" a="1"/>
  <c r="E7" i="15" a="1"/>
  <c r="E10" i="15" a="1"/>
  <c r="C5" i="22" a="1"/>
  <c r="E7" i="14" a="1"/>
  <c r="E5" i="14" a="1"/>
  <c r="E10" i="14" a="1"/>
  <c r="E11" i="15" a="1"/>
  <c r="E4" i="15" a="1"/>
  <c r="E5" i="15" a="1"/>
  <c r="D5" i="22" a="1"/>
  <c r="E4" i="14" a="1"/>
  <c r="D8" i="15" a="1"/>
  <c r="D4" i="22" a="1"/>
  <c r="D5" i="14" a="1"/>
  <c r="D10" i="15" a="1"/>
  <c r="D10" i="14" a="1"/>
  <c r="D4" i="15" a="1"/>
  <c r="D11" i="15" a="1"/>
  <c r="D5" i="15" a="1"/>
  <c r="D7" i="15" a="1"/>
  <c r="D4" i="14" a="1"/>
  <c r="C4" i="22" a="1"/>
  <c r="H3" i="22" a="1"/>
  <c r="I3" i="22" a="1"/>
  <c r="G3" i="22" a="1"/>
  <c r="F3" i="22" a="1"/>
  <c r="B2" i="4" a="1"/>
  <c r="B19" i="23" a="1"/>
  <c r="B3" i="4" a="1"/>
  <c r="G2" i="14" a="1"/>
  <c r="H2" i="14" a="1"/>
  <c r="F3" i="4" a="1"/>
  <c r="O5" i="14" a="1"/>
  <c r="H8" i="14" a="1"/>
  <c r="G8" i="14" a="1"/>
  <c r="I2" i="14" a="1"/>
  <c r="D3" i="4" a="1"/>
  <c r="L5" i="14" a="1"/>
  <c r="L4" i="14" a="1"/>
  <c r="K4" i="14" a="1"/>
  <c r="J4" i="14" a="1"/>
  <c r="H11" i="14" a="1"/>
  <c r="E11" i="14" a="1"/>
  <c r="D8" i="14" a="1"/>
  <c r="F2" i="14" a="1"/>
  <c r="O4" i="14" a="1"/>
  <c r="J5" i="14" a="1"/>
  <c r="F8" i="14" a="1"/>
  <c r="F11" i="14" a="1"/>
  <c r="I8" i="14" a="1"/>
  <c r="C8" i="14" a="1"/>
  <c r="G11" i="14" a="1"/>
  <c r="E2" i="14" a="1"/>
  <c r="C11" i="14" a="1"/>
  <c r="N4" i="14" a="1"/>
  <c r="N5" i="14" a="1"/>
  <c r="M4" i="14" a="1"/>
  <c r="I11" i="14" a="1"/>
  <c r="K5" i="14" a="1"/>
  <c r="E8" i="14" a="1"/>
  <c r="D11" i="14" a="1"/>
  <c r="E5" i="22" a="1"/>
  <c r="C2" i="21" a="1"/>
  <c r="E2" i="21" a="1"/>
  <c r="E4" i="22" a="1"/>
  <c r="E3" i="22" a="1"/>
  <c r="F2" i="21" a="1"/>
  <c r="L7" i="16" a="1"/>
  <c r="I2" i="17" a="1"/>
  <c r="E6" i="22" a="1"/>
  <c r="D2" i="15" a="1"/>
  <c r="C1" i="20" a="1"/>
  <c r="I2" i="18" a="1"/>
  <c r="D2" i="21" a="1"/>
  <c r="D1" i="19" a="1"/>
  <c r="J3" i="22" a="1"/>
  <c r="M5" i="14" a="1"/>
  <c r="C5" i="19" a="1"/>
  <c r="C8" i="19" a="1"/>
  <c r="C11" i="19" a="1"/>
  <c r="C4" i="19" a="1"/>
  <c r="C7" i="19" a="1"/>
  <c r="H8" i="20" a="1"/>
  <c r="N11" i="22" a="1"/>
  <c r="K10" i="20" a="1"/>
  <c r="J8" i="20" a="1"/>
  <c r="J7" i="20" a="1"/>
  <c r="I8" i="20" a="1"/>
  <c r="N9" i="22" a="1"/>
  <c r="E5" i="20" a="1"/>
  <c r="E11" i="20" a="1"/>
  <c r="C11" i="20" a="1"/>
  <c r="M4" i="22" a="1"/>
  <c r="D7" i="20" a="1"/>
  <c r="E8" i="19" a="1"/>
  <c r="E11" i="19" a="1"/>
  <c r="G10" i="20" a="1"/>
  <c r="G7" i="20" a="1"/>
  <c r="L6" i="22" a="1"/>
  <c r="F8" i="19" a="1"/>
  <c r="M8" i="20" a="1"/>
  <c r="M5" i="20" a="1"/>
  <c r="G4" i="19" a="1"/>
  <c r="D10" i="21" a="1"/>
  <c r="O11" i="20" a="1"/>
  <c r="M12" i="22" a="1"/>
  <c r="H8" i="19" a="1"/>
  <c r="O5" i="20" a="1"/>
  <c r="N10" i="20" a="1"/>
  <c r="G10" i="19" a="1"/>
  <c r="K8" i="22" a="1"/>
  <c r="N15" i="22" a="1"/>
  <c r="N11" i="20" a="1"/>
  <c r="K9" i="22" a="1"/>
  <c r="P4" i="22" a="1"/>
  <c r="L7" i="20" a="1"/>
  <c r="K13" i="22" a="1"/>
  <c r="K11" i="22" a="1"/>
  <c r="H11" i="21" a="1"/>
  <c r="J8" i="21" a="1"/>
  <c r="K7" i="19" a="1"/>
  <c r="P10" i="22" a="1"/>
  <c r="N5" i="19" a="1"/>
  <c r="M4" i="19" a="1"/>
  <c r="N4" i="19" a="1"/>
  <c r="I4" i="21" a="1"/>
  <c r="J4" i="19" a="1"/>
  <c r="E11" i="21" a="1"/>
  <c r="O14" i="22" a="1"/>
  <c r="M10" i="21" a="1"/>
  <c r="N8" i="21" a="1"/>
  <c r="C4" i="21" a="1"/>
  <c r="L10" i="21" a="1"/>
  <c r="O12" i="22" a="1"/>
  <c r="I7" i="21" a="1"/>
  <c r="P11" i="22" a="1"/>
  <c r="C7" i="21" a="1"/>
  <c r="P12" i="22" a="1"/>
  <c r="J5" i="19" a="1"/>
  <c r="E7" i="21" a="1"/>
  <c r="C5" i="21" a="1"/>
  <c r="M4" i="21" a="1"/>
  <c r="G4" i="21" a="1"/>
  <c r="F5" i="21" a="1"/>
  <c r="O11" i="19" a="1"/>
  <c r="F7" i="21" a="1"/>
  <c r="L4" i="19" a="1"/>
  <c r="K15" i="22" a="1"/>
  <c r="G5" i="21" a="1"/>
  <c r="O10" i="19" a="1"/>
  <c r="G7" i="21" a="1"/>
  <c r="O7" i="19" a="1"/>
  <c r="O3" i="22" a="1"/>
  <c r="M7" i="19" a="1"/>
  <c r="N8" i="19" a="1"/>
  <c r="N3" i="22" a="1"/>
  <c r="P3" i="22" a="1"/>
  <c r="N11" i="19" a="1"/>
  <c r="H8" i="21" a="1"/>
  <c r="K11" i="19" a="1"/>
  <c r="K10" i="19" a="1"/>
  <c r="J11" i="19" a="1"/>
  <c r="O5" i="21" a="1"/>
  <c r="M11" i="21" a="1"/>
  <c r="C10" i="21" a="1"/>
  <c r="O13" i="22" a="1"/>
  <c r="M8" i="21" a="1"/>
  <c r="N10" i="21" a="1"/>
  <c r="L8" i="21" a="1"/>
  <c r="K10" i="22" a="1"/>
  <c r="K7" i="21" a="1"/>
  <c r="O7" i="22" a="1"/>
  <c r="D8" i="19" a="1"/>
  <c r="L12" i="22" a="1"/>
  <c r="D4" i="19" a="1"/>
  <c r="D7" i="19" a="1"/>
  <c r="K4" i="22" a="1"/>
  <c r="M8" i="19" a="1"/>
  <c r="D11" i="19" a="1"/>
  <c r="F8" i="21" a="1"/>
  <c r="L4" i="22" a="1"/>
  <c r="L7" i="19" a="1"/>
  <c r="D5" i="19" a="1"/>
  <c r="I7" i="19" a="1"/>
  <c r="F8" i="20" a="1"/>
  <c r="H4" i="20" a="1"/>
  <c r="M8" i="22" a="1"/>
  <c r="H5" i="20" a="1"/>
  <c r="H11" i="20" a="1"/>
  <c r="K11" i="20" a="1"/>
  <c r="K5" i="20" a="1"/>
  <c r="J5" i="20" a="1"/>
  <c r="J10" i="20" a="1"/>
  <c r="M9" i="22" a="1"/>
  <c r="I10" i="20" a="1"/>
  <c r="E7" i="20" a="1"/>
  <c r="M5" i="22" a="1"/>
  <c r="C5" i="20" a="1"/>
  <c r="D4" i="20" a="1"/>
  <c r="D8" i="20" a="1"/>
  <c r="E4" i="19" a="1"/>
  <c r="K5" i="22" a="1"/>
  <c r="N7" i="22" a="1"/>
  <c r="M7" i="22" a="1"/>
  <c r="F10" i="19" a="1"/>
  <c r="F7" i="19" a="1"/>
  <c r="M10" i="20" a="1"/>
  <c r="M4" i="20" a="1"/>
  <c r="L7" i="22" a="1"/>
  <c r="D8" i="21" a="1"/>
  <c r="L5" i="20" a="1"/>
  <c r="G5" i="19" a="1"/>
  <c r="H11" i="19" a="1"/>
  <c r="O7" i="20" a="1"/>
  <c r="N5" i="20" a="1"/>
  <c r="I11" i="19" a="1"/>
  <c r="H10" i="19" a="1"/>
  <c r="N8" i="20" a="1"/>
  <c r="L10" i="20" a="1"/>
  <c r="L9" i="22" a="1"/>
  <c r="D7" i="21" a="1"/>
  <c r="L4" i="20" a="1"/>
  <c r="J11" i="21" a="1"/>
  <c r="M11" i="19" a="1"/>
  <c r="J5" i="21" a="1"/>
  <c r="O10" i="22" a="1"/>
  <c r="J4" i="21" a="1"/>
  <c r="J7" i="19" a="1"/>
  <c r="K4" i="21" a="1"/>
  <c r="P14" i="22" a="1"/>
  <c r="J8" i="19" a="1"/>
  <c r="K11" i="21" a="1"/>
  <c r="K8" i="21" a="1"/>
  <c r="L7" i="21" a="1"/>
  <c r="K12" i="22" a="1"/>
  <c r="F11" i="21" a="1"/>
  <c r="F4" i="21" a="1"/>
  <c r="G10" i="21" a="1"/>
  <c r="L3" i="22" a="1"/>
  <c r="C11" i="21" a="1"/>
  <c r="F10" i="21" a="1"/>
  <c r="L8" i="19" a="1"/>
  <c r="N7" i="19" a="1"/>
  <c r="H7" i="20" a="1"/>
  <c r="F5" i="20" a="1"/>
  <c r="N6" i="22" a="1"/>
  <c r="N8" i="22" a="1"/>
  <c r="H10" i="20" a="1"/>
  <c r="M11" i="22" a="1"/>
  <c r="K8" i="20" a="1"/>
  <c r="M10" i="22" a="1"/>
  <c r="N10" i="22" a="1"/>
  <c r="I5" i="20" a="1"/>
  <c r="I7" i="20" a="1"/>
  <c r="E10" i="20" a="1"/>
  <c r="N5" i="22" a="1"/>
  <c r="C8" i="20" a="1"/>
  <c r="C10" i="20" a="1"/>
  <c r="D5" i="20" a="1"/>
  <c r="N4" i="22" a="1"/>
  <c r="E5" i="19" a="1"/>
  <c r="L5" i="22" a="1"/>
  <c r="G8" i="20" a="1"/>
  <c r="G4" i="20" a="1"/>
  <c r="K6" i="22" a="1"/>
  <c r="F4" i="19" a="1"/>
  <c r="M13" i="22" a="1"/>
  <c r="M11" i="20" a="1"/>
  <c r="I5" i="19" a="1"/>
  <c r="O4" i="22" a="1"/>
  <c r="L8" i="20" a="1"/>
  <c r="G8" i="19" a="1"/>
  <c r="L8" i="22" a="1"/>
  <c r="M14" i="22" a="1"/>
  <c r="N12" i="22" a="1"/>
  <c r="I10" i="19" a="1"/>
  <c r="H5" i="19" a="1"/>
  <c r="N7" i="20" a="1"/>
  <c r="K7" i="22" a="1"/>
  <c r="D4" i="21" a="1"/>
  <c r="M15" i="22" a="1"/>
  <c r="O8" i="22" a="1"/>
  <c r="J10" i="21" a="1"/>
  <c r="K8" i="19" a="1"/>
  <c r="M10" i="19" a="1"/>
  <c r="L14" i="22" a="1"/>
  <c r="H5" i="21" a="1"/>
  <c r="K5" i="19" a="1"/>
  <c r="H7" i="21" a="1"/>
  <c r="J7" i="21" a="1"/>
  <c r="I8" i="21" a="1"/>
  <c r="J10" i="19" a="1"/>
  <c r="E8" i="21" a="1"/>
  <c r="O4" i="21" a="1"/>
  <c r="N5" i="21" a="1"/>
  <c r="E5" i="21" a="1"/>
  <c r="C8" i="21" a="1"/>
  <c r="O8" i="21" a="1"/>
  <c r="P13" i="22" a="1"/>
  <c r="O9" i="22" a="1"/>
  <c r="N11" i="21" a="1"/>
  <c r="E10" i="21" a="1"/>
  <c r="P15" i="22" a="1"/>
  <c r="I10" i="21" a="1"/>
  <c r="E4" i="21" a="1"/>
  <c r="K10" i="21" a="1"/>
  <c r="L4" i="21" a="1"/>
  <c r="O5" i="19" a="1"/>
  <c r="O8" i="19" a="1"/>
  <c r="K3" i="22" a="1"/>
  <c r="F10" i="20" a="1"/>
  <c r="F11" i="20" a="1"/>
  <c r="M6" i="22" a="1"/>
  <c r="F7" i="20" a="1"/>
  <c r="F4" i="20" a="1"/>
  <c r="K7" i="20" a="1"/>
  <c r="K4" i="20" a="1"/>
  <c r="J4" i="20" a="1"/>
  <c r="J11" i="20" a="1"/>
  <c r="I11" i="20" a="1"/>
  <c r="I4" i="20" a="1"/>
  <c r="E4" i="20" a="1"/>
  <c r="E8" i="20" a="1"/>
  <c r="C7" i="20" a="1"/>
  <c r="C4" i="20" a="1"/>
  <c r="D10" i="20" a="1"/>
  <c r="D11" i="20" a="1"/>
  <c r="E7" i="19" a="1"/>
  <c r="E10" i="19" a="1"/>
  <c r="G11" i="20" a="1"/>
  <c r="G5" i="20" a="1"/>
  <c r="F11" i="19" a="1"/>
  <c r="F5" i="19" a="1"/>
  <c r="M7" i="20" a="1"/>
  <c r="N13" i="22" a="1"/>
  <c r="D5" i="21" a="1"/>
  <c r="O10" i="20" a="1"/>
  <c r="L11" i="20" a="1"/>
  <c r="I4" i="19" a="1"/>
  <c r="H7" i="19" a="1"/>
  <c r="N4" i="20" a="1"/>
  <c r="G7" i="19" a="1"/>
  <c r="H4" i="19" a="1"/>
  <c r="O4" i="20" a="1"/>
  <c r="N14" i="22" a="1"/>
  <c r="G11" i="19" a="1"/>
  <c r="D11" i="21" a="1"/>
  <c r="O8" i="20" a="1"/>
  <c r="H10" i="21" a="1"/>
  <c r="K4" i="19" a="1"/>
  <c r="H4" i="21" a="1"/>
  <c r="M5" i="19" a="1"/>
  <c r="L11" i="22" a="1"/>
  <c r="L13" i="22" a="1"/>
  <c r="N10" i="19" a="1"/>
  <c r="P8" i="22" a="1"/>
  <c r="K14" i="22" a="1"/>
  <c r="I11" i="21" a="1"/>
  <c r="L10" i="22" a="1"/>
  <c r="O11" i="21" a="1"/>
  <c r="N4" i="21" a="1"/>
  <c r="L5" i="21" a="1"/>
  <c r="O15" i="22" a="1"/>
  <c r="O11" i="22" a="1"/>
  <c r="K5" i="21" a="1"/>
  <c r="M7" i="21" a="1"/>
  <c r="I5" i="21" a="1"/>
  <c r="P5" i="22" a="1"/>
  <c r="O7" i="21" a="1"/>
  <c r="O10" i="21" a="1"/>
  <c r="P9" i="22" a="1"/>
  <c r="N7" i="21" a="1"/>
  <c r="O5" i="22" a="1"/>
  <c r="L11" i="21" a="1"/>
  <c r="M5" i="21" a="1"/>
  <c r="P6" i="22" a="1"/>
  <c r="O4" i="19" a="1"/>
  <c r="G8" i="21" a="1"/>
  <c r="O6" i="22" a="1"/>
  <c r="L11" i="19" a="1"/>
  <c r="P7" i="22" a="1"/>
  <c r="L10" i="19" a="1"/>
  <c r="G11" i="21" a="1"/>
  <c r="L15" i="22" a="1"/>
  <c r="D10" i="19" a="1"/>
  <c r="I8" i="19" a="1"/>
  <c r="L5" i="19" a="1"/>
  <c r="M3" i="22" a="1"/>
  <c r="A32" i="23"/>
  <c r="A24" i="23"/>
  <c r="A11" i="23"/>
  <c r="A14" i="23"/>
  <c r="A25" i="23"/>
  <c r="A13" i="23"/>
  <c r="A12" i="23"/>
  <c r="I4" i="10"/>
  <c r="J9" i="10"/>
  <c r="J7" i="10"/>
  <c r="O2" i="14"/>
  <c r="E3" i="7"/>
  <c r="M4" i="17"/>
  <c r="C4" i="17"/>
  <c r="C3" i="6"/>
  <c r="M21" i="23"/>
  <c r="G12" i="22"/>
  <c r="N22" i="23"/>
  <c r="I12" i="22"/>
  <c r="O5" i="17"/>
  <c r="M4" i="18"/>
  <c r="I11" i="22"/>
  <c r="K5" i="18"/>
  <c r="J4" i="17"/>
  <c r="F5" i="17"/>
  <c r="G4" i="17"/>
  <c r="K4" i="17"/>
  <c r="G21" i="23"/>
  <c r="H5" i="22"/>
  <c r="E5" i="17"/>
  <c r="E4" i="17"/>
  <c r="I4" i="18"/>
  <c r="I10" i="22"/>
  <c r="I22" i="23"/>
  <c r="G5" i="18"/>
  <c r="I7" i="22"/>
  <c r="G22" i="23"/>
  <c r="E4" i="18"/>
  <c r="I5" i="22"/>
  <c r="J19" i="23"/>
  <c r="B3" i="23"/>
  <c r="F3" i="10"/>
  <c r="D2" i="23"/>
  <c r="C6" i="23"/>
  <c r="B2" i="23"/>
  <c r="C5" i="10"/>
  <c r="H4" i="10"/>
  <c r="F6" i="10"/>
  <c r="B5" i="10"/>
  <c r="D8" i="23"/>
  <c r="E4" i="10"/>
  <c r="D6" i="10"/>
  <c r="D3" i="10"/>
  <c r="B13" i="23"/>
  <c r="B12" i="23"/>
  <c r="H8" i="10"/>
  <c r="B16" i="23"/>
  <c r="D20" i="23"/>
  <c r="C4" i="12"/>
  <c r="C20" i="23"/>
  <c r="M20" i="23"/>
  <c r="E20" i="23"/>
  <c r="M1" i="14"/>
  <c r="K1" i="14"/>
  <c r="B5" i="13"/>
  <c r="N38" i="23"/>
  <c r="E7" i="23"/>
  <c r="I36" i="23"/>
  <c r="B4" i="12"/>
  <c r="F23" i="23"/>
  <c r="E2" i="8"/>
  <c r="F39" i="23"/>
  <c r="G7" i="10"/>
  <c r="D39" i="23"/>
  <c r="F24" i="23"/>
  <c r="H4" i="8"/>
  <c r="F36" i="23"/>
  <c r="D14" i="23"/>
  <c r="K23" i="23"/>
  <c r="C15" i="23"/>
  <c r="C12" i="23"/>
  <c r="F2" i="8"/>
  <c r="A33" i="23"/>
  <c r="E23" i="23"/>
  <c r="G8" i="10"/>
  <c r="C25" i="23"/>
  <c r="G26" i="23"/>
  <c r="E4" i="8"/>
  <c r="B24" i="23"/>
  <c r="I38" i="23"/>
  <c r="D7" i="10"/>
  <c r="J23" i="23"/>
  <c r="G6" i="22"/>
  <c r="B23" i="23"/>
  <c r="B4" i="11"/>
  <c r="D25" i="23"/>
  <c r="D9" i="10"/>
  <c r="E24" i="23"/>
  <c r="M36" i="23"/>
  <c r="G2" i="8"/>
  <c r="E36" i="23"/>
  <c r="D26" i="23"/>
  <c r="F9" i="10"/>
  <c r="C36" i="23"/>
  <c r="C37" i="23"/>
  <c r="N24" i="23"/>
  <c r="O37" i="23"/>
  <c r="E37" i="23"/>
  <c r="J27" i="23"/>
  <c r="F30" i="23"/>
  <c r="K37" i="23"/>
  <c r="M31" i="23"/>
  <c r="C28" i="23"/>
  <c r="A30" i="23"/>
  <c r="A22" i="23"/>
  <c r="A7" i="23"/>
  <c r="A6" i="23"/>
  <c r="A31" i="23"/>
  <c r="A23" i="23"/>
  <c r="A9" i="23"/>
  <c r="A4" i="23"/>
  <c r="J5" i="10"/>
  <c r="C1" i="14"/>
  <c r="H1" i="14"/>
  <c r="C5" i="18"/>
  <c r="C2" i="7"/>
  <c r="C2" i="6"/>
  <c r="G13" i="22"/>
  <c r="C5" i="17"/>
  <c r="E2" i="6"/>
  <c r="N4" i="17"/>
  <c r="G14" i="22"/>
  <c r="L5" i="17"/>
  <c r="I14" i="22"/>
  <c r="O4" i="18"/>
  <c r="I15" i="22"/>
  <c r="O4" i="17"/>
  <c r="L4" i="18"/>
  <c r="L5" i="18"/>
  <c r="I13" i="22"/>
  <c r="L22" i="23"/>
  <c r="G11" i="22"/>
  <c r="I21" i="23"/>
  <c r="H8" i="22"/>
  <c r="H7" i="22"/>
  <c r="G8" i="22"/>
  <c r="J11" i="22"/>
  <c r="E21" i="23"/>
  <c r="F21" i="23"/>
  <c r="I5" i="18"/>
  <c r="H22" i="23"/>
  <c r="J10" i="22"/>
  <c r="I5" i="17"/>
  <c r="I4" i="17"/>
  <c r="H4" i="18"/>
  <c r="H5" i="18"/>
  <c r="E22" i="23"/>
  <c r="D5" i="18"/>
  <c r="D4" i="18"/>
  <c r="D7" i="14"/>
  <c r="F19" i="23"/>
  <c r="G19" i="23"/>
  <c r="H19" i="23"/>
  <c r="B4" i="23"/>
  <c r="C6" i="10"/>
  <c r="B4" i="10"/>
  <c r="D6" i="23"/>
  <c r="E5" i="10"/>
  <c r="G6" i="10"/>
  <c r="H6" i="10"/>
  <c r="G3" i="10"/>
  <c r="D5" i="10"/>
  <c r="B6" i="23"/>
  <c r="C5" i="23"/>
  <c r="B6" i="10"/>
  <c r="C3" i="10"/>
  <c r="E7" i="10"/>
  <c r="B10" i="23"/>
  <c r="E8" i="10"/>
  <c r="B5" i="11"/>
  <c r="G20" i="23"/>
  <c r="C4" i="15"/>
  <c r="C4" i="11"/>
  <c r="N20" i="23"/>
  <c r="H20" i="23"/>
  <c r="J1" i="14"/>
  <c r="D2" i="14"/>
  <c r="B3" i="13"/>
  <c r="C10" i="19"/>
  <c r="C16" i="23"/>
  <c r="D16" i="23"/>
  <c r="N25" i="23"/>
  <c r="E26" i="23"/>
  <c r="C14" i="23"/>
  <c r="H36" i="23"/>
  <c r="D10" i="23"/>
  <c r="J26" i="23"/>
  <c r="F7" i="10"/>
  <c r="I39" i="23"/>
  <c r="N23" i="23"/>
  <c r="G36" i="23"/>
  <c r="L36" i="23"/>
  <c r="N36" i="23"/>
  <c r="E5" i="8"/>
  <c r="I3" i="8"/>
  <c r="C5" i="13"/>
  <c r="L23" i="23"/>
  <c r="M25" i="23"/>
  <c r="H5" i="8"/>
  <c r="P37" i="23"/>
  <c r="M26" i="23"/>
  <c r="G23" i="23"/>
  <c r="C3" i="13"/>
  <c r="G25" i="23"/>
  <c r="A16" i="23"/>
  <c r="I5" i="8"/>
  <c r="H24" i="23"/>
  <c r="P38" i="23"/>
  <c r="C5" i="12"/>
  <c r="I8" i="10"/>
  <c r="C3" i="11"/>
  <c r="D37" i="23"/>
  <c r="I2" i="8"/>
  <c r="J24" i="23"/>
  <c r="E25" i="23"/>
  <c r="B5" i="8"/>
  <c r="N26" i="23"/>
  <c r="C13" i="23"/>
  <c r="E2" i="23"/>
  <c r="M24" i="23"/>
  <c r="C38" i="23"/>
  <c r="D38" i="23"/>
  <c r="G3" i="8"/>
  <c r="G33" i="23"/>
  <c r="I32" i="23"/>
  <c r="L30" i="23"/>
  <c r="A28" i="23"/>
  <c r="A20" i="23"/>
  <c r="A3" i="23"/>
  <c r="A2" i="23"/>
  <c r="A29" i="23"/>
  <c r="A21" i="23"/>
  <c r="A5" i="23"/>
  <c r="I6" i="10"/>
  <c r="I3" i="10"/>
  <c r="I5" i="10"/>
  <c r="J8" i="10"/>
  <c r="F1" i="14"/>
  <c r="G1" i="14"/>
  <c r="J3" i="10"/>
  <c r="E2" i="7"/>
  <c r="C3" i="7"/>
  <c r="L21" i="23"/>
  <c r="H13" i="22"/>
  <c r="H14" i="22"/>
  <c r="K21" i="23"/>
  <c r="M22" i="23"/>
  <c r="N5" i="18"/>
  <c r="O5" i="18"/>
  <c r="J15" i="22"/>
  <c r="N21" i="23"/>
  <c r="J12" i="22"/>
  <c r="H15" i="22"/>
  <c r="G15" i="22"/>
  <c r="J13" i="22"/>
  <c r="K5" i="17"/>
  <c r="F4" i="17"/>
  <c r="K4" i="18"/>
  <c r="J22" i="23"/>
  <c r="J5" i="17"/>
  <c r="J21" i="23"/>
  <c r="H5" i="17"/>
  <c r="H6" i="22"/>
  <c r="D21" i="23"/>
  <c r="J9" i="22"/>
  <c r="J4" i="18"/>
  <c r="F22" i="23"/>
  <c r="J7" i="22"/>
  <c r="H9" i="22"/>
  <c r="I8" i="22"/>
  <c r="F4" i="18"/>
  <c r="F5" i="18"/>
  <c r="I6" i="22"/>
  <c r="D5" i="17"/>
  <c r="C21" i="23"/>
  <c r="J5" i="22"/>
  <c r="E5" i="18"/>
  <c r="J4" i="22"/>
  <c r="D19" i="23"/>
  <c r="N19" i="23"/>
  <c r="C19" i="23"/>
  <c r="K19" i="23"/>
  <c r="B8" i="23"/>
  <c r="B3" i="10"/>
  <c r="C4" i="23"/>
  <c r="B5" i="23"/>
  <c r="C2" i="23"/>
  <c r="G4" i="10"/>
  <c r="B7" i="23"/>
  <c r="C4" i="10"/>
  <c r="F4" i="10"/>
  <c r="B9" i="23"/>
  <c r="D5" i="23"/>
  <c r="G5" i="10"/>
  <c r="D7" i="23"/>
  <c r="H9" i="10"/>
  <c r="H7" i="10"/>
  <c r="B11" i="23"/>
  <c r="C2" i="13"/>
  <c r="B3" i="11"/>
  <c r="F20" i="23"/>
  <c r="C4" i="13"/>
  <c r="L20" i="23"/>
  <c r="B5" i="12"/>
  <c r="L1" i="14"/>
  <c r="O1" i="14"/>
  <c r="E16" i="23"/>
  <c r="D23" i="23"/>
  <c r="B4" i="13"/>
  <c r="I26" i="23"/>
  <c r="C5" i="11"/>
  <c r="B25" i="23"/>
  <c r="M23" i="23"/>
  <c r="P36" i="23"/>
  <c r="K39" i="23"/>
  <c r="G4" i="8"/>
  <c r="B2" i="8"/>
  <c r="E3" i="23"/>
  <c r="C39" i="23"/>
  <c r="D11" i="23"/>
  <c r="L25" i="23"/>
  <c r="E6" i="23"/>
  <c r="H26" i="23"/>
  <c r="F26" i="23"/>
  <c r="I25" i="23"/>
  <c r="J36" i="23"/>
  <c r="F8" i="10"/>
  <c r="J39" i="23"/>
  <c r="P39" i="23"/>
  <c r="D8" i="10"/>
  <c r="D36" i="23"/>
  <c r="B26" i="23"/>
  <c r="C10" i="23"/>
  <c r="B39" i="23"/>
  <c r="G5" i="8"/>
  <c r="I24" i="23"/>
  <c r="O36" i="23"/>
  <c r="K38" i="23"/>
  <c r="E4" i="23"/>
  <c r="K26" i="23"/>
  <c r="C3" i="12"/>
  <c r="E8" i="23"/>
  <c r="B2" i="13"/>
  <c r="G39" i="23"/>
  <c r="C24" i="23"/>
  <c r="F4" i="8"/>
  <c r="K24" i="23"/>
  <c r="M37" i="23"/>
  <c r="L29" i="23"/>
  <c r="D4" i="8"/>
  <c r="L37" i="23"/>
  <c r="K32" i="23"/>
  <c r="H32" i="23"/>
  <c r="A26" i="23"/>
  <c r="I1" i="14"/>
  <c r="D1" i="14"/>
  <c r="N4" i="18"/>
  <c r="G10" i="22"/>
  <c r="G4" i="18"/>
  <c r="E19" i="23"/>
  <c r="D4" i="10"/>
  <c r="H3" i="10"/>
  <c r="D4" i="23"/>
  <c r="B14" i="23"/>
  <c r="I20" i="23"/>
  <c r="N1" i="14"/>
  <c r="F25" i="23"/>
  <c r="H39" i="23"/>
  <c r="H38" i="23"/>
  <c r="J25" i="23"/>
  <c r="H23" i="23"/>
  <c r="G9" i="10"/>
  <c r="D24" i="23"/>
  <c r="B2" i="12"/>
  <c r="C5" i="8"/>
  <c r="E5" i="23"/>
  <c r="I7" i="10"/>
  <c r="H25" i="23"/>
  <c r="J38" i="23"/>
  <c r="D32" i="23"/>
  <c r="C33" i="23"/>
  <c r="E14" i="23"/>
  <c r="I27" i="23"/>
  <c r="F27" i="23"/>
  <c r="I37" i="23"/>
  <c r="F32" i="23"/>
  <c r="I33" i="23"/>
  <c r="C31" i="23"/>
  <c r="M27" i="23"/>
  <c r="L32" i="23"/>
  <c r="G28" i="23"/>
  <c r="H30" i="23"/>
  <c r="F38" i="23"/>
  <c r="J28" i="23"/>
  <c r="N32" i="23"/>
  <c r="B3" i="8"/>
  <c r="E38" i="23"/>
  <c r="I30" i="23"/>
  <c r="L27" i="23"/>
  <c r="F31" i="23"/>
  <c r="D27" i="23"/>
  <c r="G30" i="23"/>
  <c r="K33" i="23"/>
  <c r="N27" i="23"/>
  <c r="B32" i="23"/>
  <c r="E13" i="23"/>
  <c r="B37" i="23"/>
  <c r="B30" i="23"/>
  <c r="B27" i="23"/>
  <c r="E3" i="8"/>
  <c r="G29" i="23"/>
  <c r="H37" i="23"/>
  <c r="G32" i="23"/>
  <c r="H28" i="23"/>
  <c r="A15" i="23"/>
  <c r="A27" i="23"/>
  <c r="I9" i="10"/>
  <c r="C4" i="18"/>
  <c r="M5" i="17"/>
  <c r="E3" i="6"/>
  <c r="J14" i="22"/>
  <c r="M5" i="18"/>
  <c r="H10" i="22"/>
  <c r="H11" i="22"/>
  <c r="I9" i="22"/>
  <c r="J5" i="18"/>
  <c r="H21" i="23"/>
  <c r="G4" i="22"/>
  <c r="C22" i="23"/>
  <c r="M19" i="23"/>
  <c r="L19" i="23"/>
  <c r="E6" i="10"/>
  <c r="C3" i="23"/>
  <c r="D3" i="23"/>
  <c r="B15" i="23"/>
  <c r="B3" i="12"/>
  <c r="C2" i="14"/>
  <c r="B33" i="23"/>
  <c r="I4" i="8"/>
  <c r="C26" i="23"/>
  <c r="H2" i="8"/>
  <c r="M39" i="23"/>
  <c r="G24" i="23"/>
  <c r="C11" i="23"/>
  <c r="M38" i="23"/>
  <c r="O38" i="23"/>
  <c r="I23" i="23"/>
  <c r="K30" i="23"/>
  <c r="E29" i="23"/>
  <c r="I31" i="23"/>
  <c r="C7" i="10"/>
  <c r="N33" i="23"/>
  <c r="E10" i="23"/>
  <c r="B38" i="23"/>
  <c r="N28" i="23"/>
  <c r="K31" i="23"/>
  <c r="N30" i="23"/>
  <c r="M30" i="23"/>
  <c r="H31" i="23"/>
  <c r="B9" i="10"/>
  <c r="C8" i="10"/>
  <c r="C30" i="23"/>
  <c r="F29" i="23"/>
  <c r="E11" i="23"/>
  <c r="E27" i="23"/>
  <c r="D29" i="23"/>
  <c r="K27" i="23"/>
  <c r="C4" i="8"/>
  <c r="G31" i="23"/>
  <c r="H33" i="23"/>
  <c r="E32" i="23"/>
  <c r="I29" i="23"/>
  <c r="H27" i="23"/>
  <c r="K28" i="23"/>
  <c r="D3" i="8"/>
  <c r="G9" i="22"/>
  <c r="I4" i="22"/>
  <c r="E3" i="10"/>
  <c r="C8" i="23"/>
  <c r="C7" i="23"/>
  <c r="C2" i="11"/>
  <c r="C23" i="23"/>
  <c r="L26" i="23"/>
  <c r="O39" i="23"/>
  <c r="K36" i="23"/>
  <c r="F5" i="8"/>
  <c r="B36" i="23"/>
  <c r="L24" i="23"/>
  <c r="K25" i="23"/>
  <c r="C2" i="8"/>
  <c r="C9" i="10"/>
  <c r="B28" i="23"/>
  <c r="D28" i="23"/>
  <c r="N29" i="23"/>
  <c r="E28" i="23"/>
  <c r="I28" i="23"/>
  <c r="J30" i="23"/>
  <c r="J37" i="23"/>
  <c r="E31" i="23"/>
  <c r="J32" i="23"/>
  <c r="D30" i="23"/>
  <c r="C27" i="23"/>
  <c r="G37" i="23"/>
  <c r="B8" i="10"/>
  <c r="B31" i="23"/>
  <c r="D31" i="23"/>
  <c r="E15" i="23"/>
  <c r="F33" i="23"/>
  <c r="A10" i="23"/>
  <c r="J4" i="10"/>
  <c r="E1" i="14"/>
  <c r="B22" i="23"/>
  <c r="L4" i="17"/>
  <c r="G7" i="22"/>
  <c r="J8" i="22"/>
  <c r="H4" i="22"/>
  <c r="F5" i="10"/>
  <c r="D9" i="23"/>
  <c r="E9" i="10"/>
  <c r="C2" i="12"/>
  <c r="D12" i="23"/>
  <c r="N39" i="23"/>
  <c r="D13" i="23"/>
  <c r="L39" i="23"/>
  <c r="B2" i="11"/>
  <c r="D15" i="23"/>
  <c r="N37" i="23"/>
  <c r="L33" i="23"/>
  <c r="D33" i="23"/>
  <c r="B7" i="10"/>
  <c r="E12" i="23"/>
  <c r="J31" i="23"/>
  <c r="L31" i="23"/>
  <c r="L38" i="23"/>
  <c r="M33" i="23"/>
  <c r="H29" i="23"/>
  <c r="F28" i="23"/>
  <c r="C3" i="8"/>
  <c r="F3" i="8"/>
  <c r="J29" i="23"/>
  <c r="A19" i="23"/>
  <c r="H12" i="22"/>
  <c r="G5" i="17"/>
  <c r="H4" i="17"/>
  <c r="J6" i="22"/>
  <c r="D4" i="17"/>
  <c r="D22" i="23"/>
  <c r="C9" i="23"/>
  <c r="J20" i="23"/>
  <c r="C32" i="23"/>
  <c r="N31" i="23"/>
  <c r="E30" i="23"/>
  <c r="A8" i="23"/>
  <c r="J6" i="10"/>
  <c r="N5" i="17"/>
  <c r="K22" i="23"/>
  <c r="G5" i="22"/>
  <c r="I19" i="23"/>
  <c r="H5" i="10"/>
  <c r="K20" i="23"/>
  <c r="E39" i="23"/>
  <c r="E9" i="23"/>
  <c r="D5" i="8"/>
  <c r="D2" i="8"/>
  <c r="J33" i="23"/>
  <c r="K29" i="23"/>
  <c r="G27" i="23"/>
  <c r="E33" i="23"/>
  <c r="G38" i="23"/>
  <c r="B29" i="23"/>
  <c r="C29" i="23"/>
  <c r="M32" i="23"/>
  <c r="L28" i="23"/>
  <c r="M28" i="23"/>
  <c r="M29" i="23"/>
  <c r="H3" i="8"/>
  <c r="F37" i="23"/>
  <c r="B4" i="8"/>
  <c r="F1" i="19" l="1"/>
  <c r="D2" i="17"/>
  <c r="N2" i="18"/>
  <c r="K1" i="18"/>
  <c r="G2" i="17"/>
  <c r="C1" i="19"/>
  <c r="K1" i="15"/>
  <c r="K1" i="17"/>
  <c r="M1" i="19"/>
  <c r="E1" i="17"/>
  <c r="H1" i="15"/>
  <c r="J1" i="18"/>
  <c r="L1" i="20"/>
  <c r="L1" i="17"/>
  <c r="E1" i="18"/>
  <c r="O1" i="19"/>
  <c r="C1" i="17"/>
  <c r="H4" i="14"/>
  <c r="M1" i="17"/>
  <c r="K2" i="16"/>
  <c r="H1" i="19"/>
  <c r="I1" i="18"/>
  <c r="O1" i="15"/>
  <c r="K1" i="19"/>
  <c r="F1" i="16"/>
  <c r="K1" i="21"/>
  <c r="F1" i="18"/>
  <c r="I1" i="21"/>
  <c r="G1" i="20"/>
  <c r="O1" i="16"/>
  <c r="C2" i="18"/>
  <c r="O2" i="19"/>
  <c r="H2" i="20"/>
  <c r="L2" i="21"/>
  <c r="I2" i="19"/>
  <c r="D2" i="20"/>
  <c r="G2" i="19"/>
  <c r="C2" i="17"/>
  <c r="O2" i="20"/>
  <c r="F2" i="19"/>
  <c r="L2" i="15"/>
  <c r="M5" i="15"/>
  <c r="I2" i="15"/>
  <c r="O2" i="21"/>
  <c r="M2" i="20"/>
  <c r="I5" i="14"/>
  <c r="N4" i="16"/>
  <c r="E2" i="5"/>
  <c r="G5" i="14"/>
  <c r="O10" i="14"/>
  <c r="D8" i="18"/>
  <c r="D10" i="18"/>
  <c r="F2" i="4"/>
  <c r="J7" i="15"/>
  <c r="M8" i="18"/>
  <c r="K7" i="15"/>
  <c r="D8" i="17"/>
  <c r="H10" i="15"/>
  <c r="G11" i="17"/>
  <c r="J11" i="18"/>
  <c r="H11" i="17"/>
  <c r="J10" i="17"/>
  <c r="F7" i="16"/>
  <c r="L10" i="17"/>
  <c r="J10" i="15"/>
  <c r="K4" i="16"/>
  <c r="F3" i="22"/>
  <c r="G4" i="14"/>
  <c r="J5" i="16"/>
  <c r="G10" i="16"/>
  <c r="I7" i="17"/>
  <c r="H7" i="18"/>
  <c r="M7" i="17"/>
  <c r="D6" i="22"/>
  <c r="K8" i="16"/>
  <c r="C11" i="18"/>
  <c r="N5" i="15"/>
  <c r="G11" i="15"/>
  <c r="B21" i="23"/>
  <c r="D7" i="18"/>
  <c r="F2" i="5"/>
  <c r="G10" i="15"/>
  <c r="I2" i="18"/>
  <c r="D2" i="18"/>
  <c r="L2" i="17"/>
  <c r="J1" i="21"/>
  <c r="I2" i="17"/>
  <c r="E1" i="19"/>
  <c r="J1" i="17"/>
  <c r="F1" i="17"/>
  <c r="I1" i="19"/>
  <c r="N2" i="17"/>
  <c r="H1" i="21"/>
  <c r="J1" i="15"/>
  <c r="I1" i="20"/>
  <c r="N1" i="18"/>
  <c r="O2" i="18"/>
  <c r="J2" i="14"/>
  <c r="N1" i="17"/>
  <c r="N2" i="16"/>
  <c r="O1" i="18"/>
  <c r="M2" i="17"/>
  <c r="N1" i="20"/>
  <c r="I1" i="15"/>
  <c r="K2" i="17"/>
  <c r="L1" i="15"/>
  <c r="O1" i="17"/>
  <c r="M1" i="21"/>
  <c r="N1" i="15"/>
  <c r="D1" i="21"/>
  <c r="E1" i="21"/>
  <c r="L1" i="16"/>
  <c r="D13" i="22"/>
  <c r="E2" i="20"/>
  <c r="I11" i="17"/>
  <c r="M2" i="21"/>
  <c r="G2" i="20"/>
  <c r="L2" i="19"/>
  <c r="E2" i="19"/>
  <c r="J2" i="19"/>
  <c r="N2" i="21"/>
  <c r="H2" i="15"/>
  <c r="M2" i="19"/>
  <c r="D2" i="16"/>
  <c r="J2" i="15"/>
  <c r="J2" i="20"/>
  <c r="I2" i="16"/>
  <c r="E5" i="14"/>
  <c r="H5" i="16"/>
  <c r="I5" i="16"/>
  <c r="C5" i="14"/>
  <c r="D4" i="22"/>
  <c r="L7" i="17"/>
  <c r="O7" i="15"/>
  <c r="C11" i="17"/>
  <c r="F11" i="18"/>
  <c r="G8" i="17"/>
  <c r="I3" i="22"/>
  <c r="H7" i="14"/>
  <c r="G7" i="16"/>
  <c r="O7" i="17"/>
  <c r="M10" i="17"/>
  <c r="I4" i="15"/>
  <c r="C4" i="22"/>
  <c r="C6" i="22"/>
  <c r="F3" i="7"/>
  <c r="C5" i="22"/>
  <c r="C3" i="4"/>
  <c r="J4" i="16"/>
  <c r="F4" i="16"/>
  <c r="M5" i="16"/>
  <c r="G10" i="17"/>
  <c r="H4" i="15"/>
  <c r="K8" i="15"/>
  <c r="N10" i="18"/>
  <c r="D2" i="7"/>
  <c r="F7" i="14"/>
  <c r="C12" i="22"/>
  <c r="L7" i="18"/>
  <c r="J8" i="15"/>
  <c r="N7" i="17"/>
  <c r="E7" i="17"/>
  <c r="I8" i="17"/>
  <c r="J7" i="14"/>
  <c r="C8" i="17"/>
  <c r="K11" i="17"/>
  <c r="F10" i="15"/>
  <c r="D7" i="15"/>
  <c r="C3" i="5"/>
  <c r="C2" i="5"/>
  <c r="D5" i="16"/>
  <c r="M8" i="15"/>
  <c r="N11" i="18"/>
  <c r="N11" i="17"/>
  <c r="N10" i="17"/>
  <c r="F10" i="14"/>
  <c r="L10" i="18"/>
  <c r="L8" i="15"/>
  <c r="I11" i="18"/>
  <c r="O8" i="18"/>
  <c r="M10" i="14"/>
  <c r="N8" i="17"/>
  <c r="C10" i="18"/>
  <c r="H5" i="15"/>
  <c r="J10" i="18"/>
  <c r="N7" i="18"/>
  <c r="L8" i="18"/>
  <c r="D4" i="14"/>
  <c r="I7" i="18"/>
  <c r="M8" i="14"/>
  <c r="L11" i="14"/>
  <c r="O8" i="14"/>
  <c r="L8" i="17"/>
  <c r="D10" i="16"/>
  <c r="J5" i="15"/>
  <c r="F2" i="6"/>
  <c r="I7" i="14"/>
  <c r="G5" i="16"/>
  <c r="D5" i="14"/>
  <c r="I5" i="15"/>
  <c r="J11" i="17"/>
  <c r="F7" i="15"/>
  <c r="F4" i="15"/>
  <c r="C4" i="16"/>
  <c r="K10" i="17"/>
  <c r="H11" i="15"/>
  <c r="J8" i="14"/>
  <c r="E11" i="22"/>
  <c r="E11" i="16"/>
  <c r="D1" i="19"/>
  <c r="F2" i="18"/>
  <c r="L2" i="14"/>
  <c r="K2" i="14"/>
  <c r="E2" i="17"/>
  <c r="H2" i="17"/>
  <c r="D1" i="18"/>
  <c r="O2" i="17"/>
  <c r="O2" i="16"/>
  <c r="G1" i="18"/>
  <c r="G1" i="15"/>
  <c r="H5" i="14"/>
  <c r="H1" i="16"/>
  <c r="C1" i="21"/>
  <c r="O1" i="21"/>
  <c r="M1" i="15"/>
  <c r="H1" i="18"/>
  <c r="L1" i="21"/>
  <c r="G1" i="16"/>
  <c r="C1" i="18"/>
  <c r="C1" i="16"/>
  <c r="J1" i="20"/>
  <c r="L1" i="18"/>
  <c r="N1" i="19"/>
  <c r="J2" i="17"/>
  <c r="J2" i="16"/>
  <c r="G1" i="21"/>
  <c r="M1" i="18"/>
  <c r="J1" i="16"/>
  <c r="K1" i="16"/>
  <c r="M2" i="15"/>
  <c r="G2" i="15"/>
  <c r="F2" i="20"/>
  <c r="J2" i="21"/>
  <c r="M4" i="15"/>
  <c r="I2" i="21"/>
  <c r="C2" i="16"/>
  <c r="N2" i="19"/>
  <c r="L2" i="20"/>
  <c r="I2" i="20"/>
  <c r="K2" i="20"/>
  <c r="K2" i="19"/>
  <c r="O2" i="15"/>
  <c r="H2" i="16"/>
  <c r="C4" i="14"/>
  <c r="H4" i="16"/>
  <c r="I4" i="16"/>
  <c r="O4" i="16"/>
  <c r="I10" i="16"/>
  <c r="D5" i="22"/>
  <c r="K11" i="14"/>
  <c r="J4" i="15"/>
  <c r="N8" i="15"/>
  <c r="J11" i="14"/>
  <c r="D2" i="5"/>
  <c r="H11" i="18"/>
  <c r="G7" i="14"/>
  <c r="D12" i="22"/>
  <c r="C10" i="16"/>
  <c r="D15" i="22"/>
  <c r="H10" i="17"/>
  <c r="F7" i="17"/>
  <c r="K7" i="17"/>
  <c r="O8" i="15"/>
  <c r="G4" i="15"/>
  <c r="E3" i="5"/>
  <c r="N7" i="14"/>
  <c r="F5" i="14"/>
  <c r="C5" i="16"/>
  <c r="D11" i="18"/>
  <c r="K10" i="15"/>
  <c r="D3" i="6"/>
  <c r="E10" i="18"/>
  <c r="O11" i="15"/>
  <c r="G10" i="18"/>
  <c r="B2" i="6"/>
  <c r="D11" i="17"/>
  <c r="H8" i="17"/>
  <c r="C7" i="14"/>
  <c r="C7" i="22"/>
  <c r="M10" i="18"/>
  <c r="I10" i="14"/>
  <c r="N7" i="15"/>
  <c r="M11" i="17"/>
  <c r="M7" i="18"/>
  <c r="E10" i="15"/>
  <c r="B3" i="4"/>
  <c r="L4" i="16"/>
  <c r="L5" i="15"/>
  <c r="I11" i="15"/>
  <c r="E7" i="14"/>
  <c r="K8" i="14"/>
  <c r="D7" i="17"/>
  <c r="G10" i="14"/>
  <c r="E7" i="15"/>
  <c r="F8" i="17"/>
  <c r="E8" i="18"/>
  <c r="F11" i="15"/>
  <c r="F11" i="17"/>
  <c r="D10" i="22"/>
  <c r="L11" i="17"/>
  <c r="L10" i="15"/>
  <c r="I8" i="18"/>
  <c r="K5" i="15"/>
  <c r="F8" i="18"/>
  <c r="C8" i="22"/>
  <c r="H10" i="16"/>
  <c r="I8" i="15"/>
  <c r="L7" i="15"/>
  <c r="G4" i="16"/>
  <c r="O11" i="18"/>
  <c r="M7" i="15"/>
  <c r="D7" i="16"/>
  <c r="D8" i="22"/>
  <c r="F10" i="16"/>
  <c r="M4" i="16"/>
  <c r="C10" i="14"/>
  <c r="O10" i="18"/>
  <c r="J11" i="15"/>
  <c r="K8" i="17"/>
  <c r="D11" i="22"/>
  <c r="M8" i="17"/>
  <c r="D3" i="7"/>
  <c r="J7" i="17"/>
  <c r="E8" i="22"/>
  <c r="F11" i="22"/>
  <c r="I11" i="16"/>
  <c r="G2" i="18"/>
  <c r="F2" i="17"/>
  <c r="I1" i="17"/>
  <c r="H2" i="18"/>
  <c r="E2" i="18"/>
  <c r="N1" i="21"/>
  <c r="J1" i="19"/>
  <c r="J2" i="18"/>
  <c r="H1" i="20"/>
  <c r="G1" i="19"/>
  <c r="H1" i="17"/>
  <c r="K2" i="18"/>
  <c r="M1" i="20"/>
  <c r="N2" i="14"/>
  <c r="D1" i="16"/>
  <c r="M2" i="16"/>
  <c r="I1" i="16"/>
  <c r="G1" i="17"/>
  <c r="F1" i="21"/>
  <c r="L2" i="18"/>
  <c r="L1" i="19"/>
  <c r="K1" i="20"/>
  <c r="E1" i="16"/>
  <c r="M2" i="14"/>
  <c r="M2" i="18"/>
  <c r="D1" i="17"/>
  <c r="O1" i="20"/>
  <c r="L2" i="16"/>
  <c r="N1" i="16"/>
  <c r="M1" i="16"/>
  <c r="C2" i="20"/>
  <c r="C13" i="22"/>
  <c r="F2" i="16"/>
  <c r="N2" i="15"/>
  <c r="C2" i="19"/>
  <c r="H2" i="19"/>
  <c r="G2" i="16"/>
  <c r="H2" i="21"/>
  <c r="G2" i="21"/>
  <c r="K2" i="21"/>
  <c r="D2" i="19"/>
  <c r="N2" i="20"/>
  <c r="K2" i="15"/>
  <c r="E2" i="16"/>
  <c r="I4" i="14"/>
  <c r="E2" i="4"/>
  <c r="O5" i="16"/>
  <c r="C2" i="4"/>
  <c r="E10" i="14"/>
  <c r="K8" i="18"/>
  <c r="L4" i="15"/>
  <c r="E11" i="17"/>
  <c r="G7" i="17"/>
  <c r="N8" i="18"/>
  <c r="N11" i="15"/>
  <c r="J8" i="18"/>
  <c r="M11" i="14"/>
  <c r="M11" i="15"/>
  <c r="L7" i="14"/>
  <c r="C7" i="18"/>
  <c r="K4" i="15"/>
  <c r="F2" i="7"/>
  <c r="I10" i="15"/>
  <c r="O10" i="17"/>
  <c r="G3" i="22"/>
  <c r="N8" i="14"/>
  <c r="F4" i="14"/>
  <c r="O7" i="14"/>
  <c r="B19" i="23"/>
  <c r="D2" i="6"/>
  <c r="K11" i="15"/>
  <c r="N4" i="15"/>
  <c r="J8" i="17"/>
  <c r="D10" i="14"/>
  <c r="D2" i="4"/>
  <c r="G7" i="18"/>
  <c r="C10" i="17"/>
  <c r="E5" i="15"/>
  <c r="K11" i="18"/>
  <c r="J8" i="16"/>
  <c r="L11" i="15"/>
  <c r="O8" i="17"/>
  <c r="N10" i="14"/>
  <c r="B2" i="7"/>
  <c r="E11" i="18"/>
  <c r="N11" i="14"/>
  <c r="D4" i="16"/>
  <c r="B2" i="4"/>
  <c r="F10" i="17"/>
  <c r="I7" i="15"/>
  <c r="C7" i="17"/>
  <c r="M7" i="14"/>
  <c r="E11" i="15"/>
  <c r="E10" i="16"/>
  <c r="H7" i="16"/>
  <c r="K10" i="14"/>
  <c r="E8" i="17"/>
  <c r="J3" i="22"/>
  <c r="I10" i="17"/>
  <c r="D11" i="15"/>
  <c r="C9" i="22"/>
  <c r="F3" i="6"/>
  <c r="E10" i="17"/>
  <c r="C8" i="18"/>
  <c r="D10" i="17"/>
  <c r="I7" i="16"/>
  <c r="L8" i="16"/>
  <c r="N10" i="15"/>
  <c r="K7" i="14"/>
  <c r="N5" i="16"/>
  <c r="D5" i="15"/>
  <c r="J10" i="14"/>
  <c r="F8" i="15"/>
  <c r="O10" i="15"/>
  <c r="D14" i="22"/>
  <c r="E5" i="16"/>
  <c r="D4" i="15"/>
  <c r="H8" i="18"/>
  <c r="O11" i="17"/>
  <c r="G11" i="18"/>
  <c r="K7" i="18"/>
  <c r="C7" i="16"/>
  <c r="L11" i="18"/>
  <c r="H7" i="17"/>
  <c r="F9" i="22"/>
  <c r="E9" i="22"/>
  <c r="F8" i="22"/>
  <c r="E7" i="18"/>
  <c r="D10" i="15"/>
  <c r="H7" i="15"/>
  <c r="E8" i="15"/>
  <c r="E7" i="16"/>
  <c r="D9" i="22"/>
  <c r="B3" i="6"/>
  <c r="E4" i="16"/>
  <c r="O5" i="15"/>
  <c r="H10" i="14"/>
  <c r="G7" i="15"/>
  <c r="E15" i="22"/>
  <c r="L10" i="16"/>
  <c r="F5" i="22"/>
  <c r="D3" i="5"/>
  <c r="F3" i="5"/>
  <c r="G8" i="16"/>
  <c r="E10" i="22"/>
  <c r="H11" i="16"/>
  <c r="F8" i="16"/>
  <c r="O7" i="16"/>
  <c r="C11" i="16"/>
  <c r="F6" i="22"/>
  <c r="C8" i="16"/>
  <c r="D1" i="15"/>
  <c r="E2" i="15"/>
  <c r="C2" i="15"/>
  <c r="B3" i="5"/>
  <c r="B2" i="5"/>
  <c r="M4" i="14"/>
  <c r="H11" i="14"/>
  <c r="N5" i="14"/>
  <c r="D11" i="14"/>
  <c r="J4" i="14"/>
  <c r="F11" i="14"/>
  <c r="L4" i="14"/>
  <c r="J5" i="14"/>
  <c r="H11" i="19"/>
  <c r="K9" i="22"/>
  <c r="D7" i="19"/>
  <c r="D7" i="20"/>
  <c r="C7" i="20"/>
  <c r="C2" i="21"/>
  <c r="D2" i="21"/>
  <c r="M8" i="19"/>
  <c r="N7" i="20"/>
  <c r="H4" i="19"/>
  <c r="I11" i="19"/>
  <c r="G4" i="20"/>
  <c r="L6" i="22"/>
  <c r="D10" i="21"/>
  <c r="O6" i="22"/>
  <c r="O15" i="22"/>
  <c r="G8" i="21"/>
  <c r="K7" i="20"/>
  <c r="H10" i="18"/>
  <c r="K5" i="16"/>
  <c r="C10" i="22"/>
  <c r="G8" i="18"/>
  <c r="D7" i="22"/>
  <c r="I10" i="18"/>
  <c r="F10" i="18"/>
  <c r="G5" i="15"/>
  <c r="L5" i="16"/>
  <c r="O4" i="15"/>
  <c r="H8" i="15"/>
  <c r="F12" i="22"/>
  <c r="M7" i="16"/>
  <c r="L7" i="16"/>
  <c r="N10" i="16"/>
  <c r="E14" i="22"/>
  <c r="F7" i="22"/>
  <c r="N8" i="16"/>
  <c r="G11" i="16"/>
  <c r="M10" i="16"/>
  <c r="F15" i="22"/>
  <c r="J10" i="16"/>
  <c r="D8" i="16"/>
  <c r="F1" i="20"/>
  <c r="E1" i="15"/>
  <c r="C1" i="15"/>
  <c r="B20" i="23"/>
  <c r="C8" i="15"/>
  <c r="C3" i="22"/>
  <c r="C8" i="14"/>
  <c r="H2" i="14"/>
  <c r="D8" i="14"/>
  <c r="G8" i="14"/>
  <c r="I8" i="14"/>
  <c r="H8" i="14"/>
  <c r="E11" i="14"/>
  <c r="L5" i="14"/>
  <c r="I5" i="19"/>
  <c r="J7" i="19"/>
  <c r="J10" i="20"/>
  <c r="E6" i="22"/>
  <c r="N8" i="19"/>
  <c r="J11" i="20"/>
  <c r="N11" i="19"/>
  <c r="D10" i="19"/>
  <c r="J5" i="20"/>
  <c r="M7" i="20"/>
  <c r="D11" i="19"/>
  <c r="J7" i="20"/>
  <c r="D5" i="20"/>
  <c r="N5" i="22"/>
  <c r="O8" i="19"/>
  <c r="M4" i="20"/>
  <c r="F4" i="20"/>
  <c r="M4" i="19"/>
  <c r="L7" i="21"/>
  <c r="C4" i="21"/>
  <c r="O12" i="22"/>
  <c r="E7" i="21"/>
  <c r="M10" i="20"/>
  <c r="N5" i="20"/>
  <c r="K4" i="20"/>
  <c r="O14" i="22"/>
  <c r="M12" i="22"/>
  <c r="L8" i="21"/>
  <c r="D10" i="20"/>
  <c r="L13" i="22"/>
  <c r="D5" i="19"/>
  <c r="G4" i="19"/>
  <c r="H11" i="21"/>
  <c r="F7" i="21"/>
  <c r="N11" i="20"/>
  <c r="M11" i="22"/>
  <c r="G7" i="20"/>
  <c r="C8" i="21"/>
  <c r="M10" i="15"/>
  <c r="H3" i="22"/>
  <c r="J7" i="18"/>
  <c r="F7" i="18"/>
  <c r="L8" i="14"/>
  <c r="K10" i="18"/>
  <c r="O11" i="14"/>
  <c r="C15" i="22"/>
  <c r="F5" i="16"/>
  <c r="O7" i="18"/>
  <c r="E4" i="15"/>
  <c r="K11" i="16"/>
  <c r="K7" i="16"/>
  <c r="E8" i="16"/>
  <c r="O10" i="16"/>
  <c r="E12" i="22"/>
  <c r="J7" i="16"/>
  <c r="N7" i="16"/>
  <c r="F4" i="22"/>
  <c r="F14" i="22"/>
  <c r="L11" i="16"/>
  <c r="M11" i="16"/>
  <c r="E7" i="22"/>
  <c r="C1" i="20"/>
  <c r="E1" i="20"/>
  <c r="F1" i="15"/>
  <c r="C7" i="15"/>
  <c r="C5" i="15"/>
  <c r="C11" i="15"/>
  <c r="K4" i="14"/>
  <c r="F3" i="4"/>
  <c r="G11" i="14"/>
  <c r="M5" i="14"/>
  <c r="G2" i="14"/>
  <c r="I11" i="14"/>
  <c r="E8" i="14"/>
  <c r="F8" i="14"/>
  <c r="L9" i="22"/>
  <c r="M10" i="22"/>
  <c r="L7" i="19"/>
  <c r="E2" i="21"/>
  <c r="C4" i="19"/>
  <c r="K8" i="22"/>
  <c r="L8" i="22"/>
  <c r="E7" i="19"/>
  <c r="E3" i="22"/>
  <c r="L7" i="20"/>
  <c r="H5" i="19"/>
  <c r="G7" i="19"/>
  <c r="M4" i="22"/>
  <c r="N10" i="20"/>
  <c r="G11" i="20"/>
  <c r="K5" i="19"/>
  <c r="M13" i="22"/>
  <c r="L3" i="22"/>
  <c r="M15" i="22"/>
  <c r="K12" i="22"/>
  <c r="O10" i="21"/>
  <c r="K15" i="22"/>
  <c r="K4" i="21"/>
  <c r="K11" i="20"/>
  <c r="N8" i="21"/>
  <c r="J5" i="21"/>
  <c r="H8" i="21"/>
  <c r="G10" i="19"/>
  <c r="I4" i="20"/>
  <c r="K7" i="19"/>
  <c r="D4" i="21"/>
  <c r="M3" i="22"/>
  <c r="J8" i="20"/>
  <c r="M8" i="20"/>
  <c r="C11" i="21"/>
  <c r="J10" i="19"/>
  <c r="L7" i="22"/>
  <c r="C5" i="19"/>
  <c r="D4" i="20"/>
  <c r="L5" i="22"/>
  <c r="H10" i="21"/>
  <c r="N4" i="21"/>
  <c r="N15" i="22"/>
  <c r="K8" i="21"/>
  <c r="E4" i="20"/>
  <c r="F5" i="20"/>
  <c r="F5" i="19"/>
  <c r="P11" i="22"/>
  <c r="F8" i="21"/>
  <c r="I10" i="20"/>
  <c r="C10" i="21"/>
  <c r="I5" i="21"/>
  <c r="N4" i="19"/>
  <c r="P10" i="22"/>
  <c r="E7" i="20"/>
  <c r="G11" i="19"/>
  <c r="N4" i="22"/>
  <c r="N4" i="20"/>
  <c r="K11" i="22"/>
  <c r="M6" i="22"/>
  <c r="K5" i="20"/>
  <c r="N10" i="19"/>
  <c r="C7" i="21"/>
  <c r="P8" i="22"/>
  <c r="K3" i="22"/>
  <c r="O9" i="22"/>
  <c r="C8" i="20"/>
  <c r="N11" i="21"/>
  <c r="O4" i="22"/>
  <c r="L5" i="21"/>
  <c r="L11" i="20"/>
  <c r="J11" i="21"/>
  <c r="L4" i="20"/>
  <c r="E8" i="20"/>
  <c r="H5" i="21"/>
  <c r="N8" i="22"/>
  <c r="H10" i="20"/>
  <c r="N12" i="22"/>
  <c r="E11" i="20"/>
  <c r="I11" i="21"/>
  <c r="B3" i="7"/>
  <c r="D8" i="15"/>
  <c r="G8" i="15"/>
  <c r="C14" i="22"/>
  <c r="F5" i="15"/>
  <c r="E4" i="14"/>
  <c r="E3" i="4"/>
  <c r="C11" i="22"/>
  <c r="L10" i="14"/>
  <c r="M11" i="18"/>
  <c r="F11" i="16"/>
  <c r="H8" i="16"/>
  <c r="O11" i="16"/>
  <c r="M8" i="16"/>
  <c r="O8" i="16"/>
  <c r="E13" i="22"/>
  <c r="K10" i="16"/>
  <c r="N11" i="16"/>
  <c r="I8" i="16"/>
  <c r="F10" i="22"/>
  <c r="J11" i="16"/>
  <c r="F13" i="22"/>
  <c r="D11" i="16"/>
  <c r="D2" i="15"/>
  <c r="F2" i="15"/>
  <c r="D1" i="20"/>
  <c r="C10" i="15"/>
  <c r="D3" i="22"/>
  <c r="F2" i="14"/>
  <c r="I2" i="14"/>
  <c r="C11" i="14"/>
  <c r="O4" i="14"/>
  <c r="K5" i="14"/>
  <c r="E2" i="14"/>
  <c r="O5" i="14"/>
  <c r="N4" i="14"/>
  <c r="D3" i="4"/>
  <c r="F7" i="19"/>
  <c r="I4" i="19"/>
  <c r="J4" i="20"/>
  <c r="F2" i="21"/>
  <c r="H10" i="19"/>
  <c r="N7" i="19"/>
  <c r="E5" i="22"/>
  <c r="H7" i="19"/>
  <c r="E4" i="22"/>
  <c r="F8" i="19"/>
  <c r="K8" i="19"/>
  <c r="I8" i="19"/>
  <c r="N7" i="22"/>
  <c r="C10" i="20"/>
  <c r="I8" i="20"/>
  <c r="C5" i="20"/>
  <c r="N6" i="22"/>
  <c r="H4" i="20"/>
  <c r="J5" i="19"/>
  <c r="N11" i="22"/>
  <c r="K10" i="19"/>
  <c r="H5" i="20"/>
  <c r="P15" i="22"/>
  <c r="O11" i="22"/>
  <c r="I4" i="21"/>
  <c r="D11" i="21"/>
  <c r="G10" i="20"/>
  <c r="I7" i="21"/>
  <c r="L11" i="21"/>
  <c r="P5" i="22"/>
  <c r="C11" i="19"/>
  <c r="L10" i="20"/>
  <c r="F10" i="19"/>
  <c r="N5" i="21"/>
  <c r="L5" i="20"/>
  <c r="K5" i="21"/>
  <c r="O10" i="20"/>
  <c r="I10" i="21"/>
  <c r="I7" i="20"/>
  <c r="L14" i="22"/>
  <c r="P3" i="22"/>
  <c r="L11" i="19"/>
  <c r="O8" i="20"/>
  <c r="O10" i="19"/>
  <c r="M14" i="22"/>
  <c r="C4" i="20"/>
  <c r="F4" i="19"/>
  <c r="O4" i="20"/>
  <c r="D8" i="21"/>
  <c r="L5" i="19"/>
  <c r="G4" i="21"/>
  <c r="H7" i="20"/>
  <c r="D4" i="19"/>
  <c r="E10" i="19"/>
  <c r="M9" i="22"/>
  <c r="M11" i="21"/>
  <c r="D11" i="20"/>
  <c r="K5" i="22"/>
  <c r="E5" i="19"/>
  <c r="C8" i="19"/>
  <c r="L4" i="21"/>
  <c r="L8" i="20"/>
  <c r="O11" i="21"/>
  <c r="J4" i="21"/>
  <c r="D8" i="20"/>
  <c r="O8" i="22"/>
  <c r="E4" i="21"/>
  <c r="E5" i="21"/>
  <c r="F7" i="20"/>
  <c r="K11" i="19"/>
  <c r="G10" i="21"/>
  <c r="L10" i="21"/>
  <c r="O7" i="22"/>
  <c r="E11" i="19"/>
  <c r="K7" i="22"/>
  <c r="O13" i="22"/>
  <c r="H11" i="20"/>
  <c r="H7" i="21"/>
  <c r="K10" i="20"/>
  <c r="H8" i="19"/>
  <c r="N10" i="22"/>
  <c r="F11" i="20"/>
  <c r="M10" i="19"/>
  <c r="O5" i="20"/>
  <c r="J10" i="21"/>
  <c r="K13" i="22"/>
  <c r="P6" i="22"/>
  <c r="P7" i="22"/>
  <c r="M11" i="20"/>
  <c r="D7" i="21"/>
  <c r="F10" i="21"/>
  <c r="K10" i="21"/>
  <c r="O5" i="19"/>
  <c r="I10" i="19"/>
  <c r="P12" i="22"/>
  <c r="O8" i="21"/>
  <c r="O7" i="20"/>
  <c r="O11" i="20"/>
  <c r="M7" i="22"/>
  <c r="K4" i="19"/>
  <c r="K7" i="21"/>
  <c r="O11" i="19"/>
  <c r="N5" i="19"/>
  <c r="O5" i="21"/>
  <c r="E8" i="19"/>
  <c r="K6" i="22"/>
  <c r="N14" i="22"/>
  <c r="O7" i="21"/>
  <c r="M8" i="22"/>
  <c r="G5" i="19"/>
  <c r="F11" i="19"/>
  <c r="K10" i="22"/>
  <c r="N7" i="21"/>
  <c r="K11" i="21"/>
  <c r="J4" i="19"/>
  <c r="O3" i="22"/>
  <c r="N9" i="22"/>
  <c r="M5" i="22"/>
  <c r="C5" i="21"/>
  <c r="M8" i="21"/>
  <c r="L4" i="22"/>
  <c r="N10" i="21"/>
  <c r="I7" i="19"/>
  <c r="M11" i="19"/>
  <c r="D8" i="19"/>
  <c r="N8" i="20"/>
  <c r="G5" i="21"/>
  <c r="M5" i="20"/>
  <c r="M5" i="21"/>
  <c r="C11" i="20"/>
  <c r="G8" i="19"/>
  <c r="O4" i="21"/>
  <c r="L12" i="22"/>
  <c r="J8" i="19"/>
  <c r="M4" i="21"/>
  <c r="L10" i="19"/>
  <c r="L11" i="22"/>
  <c r="K14" i="22"/>
  <c r="H4" i="21"/>
  <c r="E11" i="21"/>
  <c r="I5" i="20"/>
  <c r="M7" i="21"/>
  <c r="E5" i="20"/>
  <c r="N3" i="22"/>
  <c r="G11" i="21"/>
  <c r="M5" i="19"/>
  <c r="K8" i="20"/>
  <c r="D5" i="21"/>
  <c r="J7" i="21"/>
  <c r="O10" i="22"/>
  <c r="E8" i="21"/>
  <c r="F11" i="21"/>
  <c r="L10" i="22"/>
  <c r="O5" i="22"/>
  <c r="E4" i="19"/>
  <c r="L15" i="22"/>
  <c r="L4" i="19"/>
  <c r="O7" i="19"/>
  <c r="F10" i="20"/>
  <c r="P14" i="22"/>
  <c r="L8" i="19"/>
  <c r="H8" i="20"/>
  <c r="P9" i="22"/>
  <c r="M10" i="21"/>
  <c r="E10" i="21"/>
  <c r="I11" i="20"/>
  <c r="F5" i="21"/>
  <c r="F4" i="21"/>
  <c r="G8" i="20"/>
  <c r="J8" i="21"/>
  <c r="M7" i="19"/>
  <c r="F8" i="20"/>
  <c r="E10" i="20"/>
  <c r="O4" i="19"/>
  <c r="G5" i="20"/>
  <c r="P4" i="22"/>
  <c r="K4" i="22"/>
  <c r="N13" i="22"/>
  <c r="J11" i="19"/>
  <c r="I8" i="21"/>
  <c r="G7" i="21"/>
  <c r="C7" i="19"/>
  <c r="P13" i="22"/>
</calcChain>
</file>

<file path=xl/sharedStrings.xml><?xml version="1.0" encoding="utf-8"?>
<sst xmlns="http://schemas.openxmlformats.org/spreadsheetml/2006/main" count="247" uniqueCount="62">
  <si>
    <t>ASK</t>
  </si>
  <si>
    <t>BID</t>
  </si>
  <si>
    <t>Annualised Premium %</t>
  </si>
  <si>
    <t>Outright Rate</t>
  </si>
  <si>
    <t>Forward Premium</t>
  </si>
  <si>
    <t>End Date</t>
  </si>
  <si>
    <t>Description</t>
  </si>
  <si>
    <t>USDJPY</t>
  </si>
  <si>
    <t>GBPUSD</t>
  </si>
  <si>
    <t>EURUSD</t>
  </si>
  <si>
    <t>JPYINR</t>
  </si>
  <si>
    <t>GBPINR</t>
  </si>
  <si>
    <t>EURINR</t>
  </si>
  <si>
    <t>USDINR</t>
  </si>
  <si>
    <t>Currency</t>
  </si>
  <si>
    <t>52 Week Low</t>
  </si>
  <si>
    <t>52 Week High</t>
  </si>
  <si>
    <t>Prv. Close</t>
  </si>
  <si>
    <t>Low</t>
  </si>
  <si>
    <t>High</t>
  </si>
  <si>
    <t>Open</t>
  </si>
  <si>
    <t>% Change</t>
  </si>
  <si>
    <t>JPY</t>
  </si>
  <si>
    <t>GBP</t>
  </si>
  <si>
    <t>Ask</t>
  </si>
  <si>
    <t>EUR</t>
  </si>
  <si>
    <t>Bid</t>
  </si>
  <si>
    <t>USD</t>
  </si>
  <si>
    <t>Tom Rate</t>
  </si>
  <si>
    <t>Tom</t>
  </si>
  <si>
    <t>Cash Rate</t>
  </si>
  <si>
    <t>Cash</t>
  </si>
  <si>
    <t>Spot</t>
  </si>
  <si>
    <t>12M</t>
  </si>
  <si>
    <t>6M</t>
  </si>
  <si>
    <t>3M</t>
  </si>
  <si>
    <t>1M</t>
  </si>
  <si>
    <t>2M</t>
  </si>
  <si>
    <t>4M</t>
  </si>
  <si>
    <t>5M</t>
  </si>
  <si>
    <t>9M</t>
  </si>
  <si>
    <t>Currency Pair</t>
  </si>
  <si>
    <t>SPOT</t>
  </si>
  <si>
    <t>7M</t>
  </si>
  <si>
    <t>8M</t>
  </si>
  <si>
    <t>10M</t>
  </si>
  <si>
    <t>11M</t>
  </si>
  <si>
    <t>BID (Export)</t>
  </si>
  <si>
    <t>ASK (Import)</t>
  </si>
  <si>
    <t>BID
(Export)</t>
  </si>
  <si>
    <t>ASK
(Import)</t>
  </si>
  <si>
    <t>Bid (Export)</t>
  </si>
  <si>
    <t>Ask (Import)</t>
  </si>
  <si>
    <t>Days</t>
  </si>
  <si>
    <t>Close</t>
  </si>
  <si>
    <t>Spot Rate</t>
  </si>
  <si>
    <t>O/N</t>
  </si>
  <si>
    <t>1W</t>
  </si>
  <si>
    <t>2W</t>
  </si>
  <si>
    <t>TABLE FOR HISTORICAL SPOT</t>
  </si>
  <si>
    <t>TABLE FOR HISTORICAL FORWARD</t>
  </si>
  <si>
    <t>TABLE FOR HISTORICAL 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</si>
</sst>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00"/>
    <numFmt numFmtId="166" formatCode="dd\-mmm\-yyyy"/>
    <numFmt numFmtId="167" formatCode="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"/>
      <name val="Calibri"/>
      <family val="2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indexed="8"/>
      <name val="Calibri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8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Border="1"/>
    <xf numFmtId="164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165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164" fontId="0" fillId="0" borderId="9" xfId="0" applyNumberFormat="1" applyFon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right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64" fontId="7" fillId="0" borderId="0" xfId="0" applyNumberFormat="1" applyFont="1" applyFill="1" applyBorder="1" applyAlignment="1" applyProtection="1">
      <alignment horizontal="center" vertical="center"/>
    </xf>
    <xf numFmtId="2" fontId="7" fillId="0" borderId="0" xfId="0" applyNumberFormat="1" applyFont="1" applyFill="1" applyBorder="1" applyAlignment="1" applyProtection="1">
      <alignment horizontal="center" vertical="center"/>
    </xf>
    <xf numFmtId="2" fontId="8" fillId="0" borderId="0" xfId="0" applyNumberFormat="1" applyFont="1" applyFill="1" applyBorder="1" applyAlignment="1" applyProtection="1">
      <alignment horizontal="center" vertical="center"/>
    </xf>
    <xf numFmtId="2" fontId="7" fillId="0" borderId="4" xfId="0" applyNumberFormat="1" applyFont="1" applyFill="1" applyBorder="1" applyAlignment="1" applyProtection="1">
      <alignment horizontal="center" vertical="center"/>
    </xf>
    <xf numFmtId="164" fontId="7" fillId="0" borderId="4" xfId="0" applyNumberFormat="1" applyFont="1" applyFill="1" applyBorder="1" applyAlignment="1" applyProtection="1">
      <alignment horizontal="center" vertical="center"/>
    </xf>
    <xf numFmtId="2" fontId="7" fillId="0" borderId="2" xfId="0" applyNumberFormat="1" applyFont="1" applyFill="1" applyBorder="1" applyAlignment="1" applyProtection="1">
      <alignment horizontal="center" vertical="center"/>
    </xf>
    <xf numFmtId="2" fontId="7" fillId="0" borderId="1" xfId="0" applyNumberFormat="1" applyFont="1" applyFill="1" applyBorder="1" applyAlignment="1" applyProtection="1">
      <alignment horizontal="center" vertical="center"/>
    </xf>
    <xf numFmtId="166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7" xfId="0" applyNumberFormat="1" applyFont="1" applyFill="1" applyBorder="1" applyAlignment="1" applyProtection="1">
      <alignment horizontal="center" vertical="center"/>
    </xf>
    <xf numFmtId="0" fontId="7" fillId="0" borderId="6" xfId="0" applyNumberFormat="1" applyFont="1" applyFill="1" applyBorder="1" applyAlignment="1" applyProtection="1">
      <alignment horizontal="center" vertical="center"/>
    </xf>
    <xf numFmtId="166" fontId="7" fillId="0" borderId="4" xfId="0" applyNumberFormat="1" applyFont="1" applyFill="1" applyBorder="1" applyAlignment="1" applyProtection="1">
      <alignment horizontal="center" vertical="center"/>
    </xf>
    <xf numFmtId="167" fontId="7" fillId="0" borderId="7" xfId="0" applyNumberFormat="1" applyFont="1" applyFill="1" applyBorder="1" applyAlignment="1" applyProtection="1">
      <alignment horizontal="center" vertical="center"/>
    </xf>
    <xf numFmtId="167" fontId="7" fillId="0" borderId="6" xfId="0" applyNumberFormat="1" applyFont="1" applyFill="1" applyBorder="1" applyAlignment="1" applyProtection="1">
      <alignment horizontal="center" vertical="center"/>
    </xf>
    <xf numFmtId="0" fontId="0" fillId="0" borderId="0" xfId="0"/>
    <xf numFmtId="0" fontId="1" fillId="0" borderId="26" xfId="1" applyFont="1" applyBorder="1" applyAlignment="1">
      <alignment horizontal="center" vertical="center"/>
    </xf>
    <xf numFmtId="0" fontId="0" fillId="0" borderId="0" xfId="0"/>
    <xf numFmtId="2" fontId="7" fillId="0" borderId="27" xfId="0" applyNumberFormat="1" applyFont="1" applyFill="1" applyBorder="1" applyAlignment="1" applyProtection="1">
      <alignment horizontal="center" vertical="center"/>
    </xf>
    <xf numFmtId="0" fontId="1" fillId="0" borderId="28" xfId="1" applyFont="1" applyBorder="1" applyAlignment="1">
      <alignment horizontal="center" vertical="center"/>
    </xf>
    <xf numFmtId="2" fontId="7" fillId="0" borderId="29" xfId="0" applyNumberFormat="1" applyFont="1" applyFill="1" applyBorder="1" applyAlignment="1" applyProtection="1">
      <alignment horizontal="center" vertical="center"/>
    </xf>
    <xf numFmtId="2" fontId="7" fillId="0" borderId="30" xfId="0" applyNumberFormat="1" applyFont="1" applyFill="1" applyBorder="1" applyAlignment="1" applyProtection="1">
      <alignment horizontal="center" vertical="center"/>
    </xf>
    <xf numFmtId="0" fontId="1" fillId="0" borderId="31" xfId="1" applyFont="1" applyBorder="1" applyAlignment="1">
      <alignment horizontal="center" vertical="center"/>
    </xf>
    <xf numFmtId="164" fontId="7" fillId="0" borderId="17" xfId="0" applyNumberFormat="1" applyFont="1" applyFill="1" applyBorder="1" applyAlignment="1" applyProtection="1">
      <alignment horizontal="center" vertical="center"/>
    </xf>
    <xf numFmtId="164" fontId="7" fillId="0" borderId="16" xfId="0" applyNumberFormat="1" applyFont="1" applyFill="1" applyBorder="1" applyAlignment="1" applyProtection="1">
      <alignment horizontal="center" vertical="center"/>
    </xf>
    <xf numFmtId="164" fontId="7" fillId="0" borderId="32" xfId="0" applyNumberFormat="1" applyFont="1" applyFill="1" applyBorder="1" applyAlignment="1" applyProtection="1">
      <alignment horizontal="center" vertical="center"/>
    </xf>
    <xf numFmtId="2" fontId="7" fillId="0" borderId="32" xfId="0" applyNumberFormat="1" applyFont="1" applyFill="1" applyBorder="1" applyAlignment="1" applyProtection="1">
      <alignment horizontal="center" vertical="center"/>
    </xf>
    <xf numFmtId="2" fontId="7" fillId="0" borderId="33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Fill="1" applyBorder="1" applyAlignment="1" applyProtection="1">
      <alignment horizontal="center" vertical="center"/>
    </xf>
    <xf numFmtId="2" fontId="7" fillId="0" borderId="34" xfId="0" applyNumberFormat="1" applyFont="1" applyFill="1" applyBorder="1" applyAlignment="1" applyProtection="1">
      <alignment horizontal="center" vertical="center"/>
    </xf>
    <xf numFmtId="2" fontId="7" fillId="0" borderId="14" xfId="0" applyNumberFormat="1" applyFont="1" applyFill="1" applyBorder="1" applyAlignment="1" applyProtection="1">
      <alignment horizontal="center" vertical="center"/>
    </xf>
    <xf numFmtId="2" fontId="7" fillId="0" borderId="12" xfId="0" applyNumberFormat="1" applyFont="1" applyFill="1" applyBorder="1" applyAlignment="1" applyProtection="1">
      <alignment horizontal="center" vertical="center"/>
    </xf>
    <xf numFmtId="2" fontId="7" fillId="0" borderId="11" xfId="0" applyNumberFormat="1" applyFont="1" applyFill="1" applyBorder="1" applyAlignment="1" applyProtection="1">
      <alignment horizontal="center" vertical="center"/>
    </xf>
    <xf numFmtId="2" fontId="7" fillId="0" borderId="35" xfId="0" applyNumberFormat="1" applyFont="1" applyFill="1" applyBorder="1" applyAlignment="1" applyProtection="1">
      <alignment horizontal="center" vertical="center"/>
    </xf>
    <xf numFmtId="2" fontId="7" fillId="0" borderId="36" xfId="0" applyNumberFormat="1" applyFont="1" applyFill="1" applyBorder="1" applyAlignment="1" applyProtection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10" fillId="0" borderId="40" xfId="0" applyNumberFormat="1" applyFont="1" applyFill="1" applyBorder="1" applyAlignment="1" applyProtection="1">
      <alignment horizontal="center" vertical="center"/>
    </xf>
    <xf numFmtId="164" fontId="10" fillId="0" borderId="40" xfId="0" applyNumberFormat="1" applyFont="1" applyFill="1" applyBorder="1" applyAlignment="1" applyProtection="1">
      <alignment horizontal="center" vertical="center"/>
    </xf>
    <xf numFmtId="2" fontId="10" fillId="0" borderId="40" xfId="0" applyNumberFormat="1" applyFont="1" applyFill="1" applyBorder="1" applyAlignment="1" applyProtection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0" borderId="0" xfId="0" applyFont="1"/>
    <xf numFmtId="0" fontId="13" fillId="0" borderId="25" xfId="0" applyFont="1" applyBorder="1" applyAlignment="1">
      <alignment horizontal="center" vertical="center"/>
    </xf>
    <xf numFmtId="164" fontId="12" fillId="0" borderId="29" xfId="0" applyNumberFormat="1" applyFont="1" applyBorder="1" applyAlignment="1">
      <alignment horizontal="center" vertical="center"/>
    </xf>
    <xf numFmtId="164" fontId="12" fillId="0" borderId="41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164" fontId="12" fillId="0" borderId="40" xfId="0" applyNumberFormat="1" applyFont="1" applyBorder="1" applyAlignment="1">
      <alignment horizontal="center" vertical="center"/>
    </xf>
    <xf numFmtId="164" fontId="12" fillId="0" borderId="34" xfId="0" applyNumberFormat="1" applyFont="1" applyBorder="1" applyAlignment="1">
      <alignment horizontal="center" vertical="center"/>
    </xf>
    <xf numFmtId="2" fontId="12" fillId="0" borderId="40" xfId="0" applyNumberFormat="1" applyFont="1" applyBorder="1" applyAlignment="1">
      <alignment horizontal="center" vertical="center"/>
    </xf>
    <xf numFmtId="2" fontId="12" fillId="0" borderId="34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164" fontId="12" fillId="0" borderId="35" xfId="0" applyNumberFormat="1" applyFont="1" applyBorder="1" applyAlignment="1">
      <alignment horizontal="center" vertical="center"/>
    </xf>
    <xf numFmtId="164" fontId="12" fillId="0" borderId="3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14" fillId="2" borderId="29" xfId="0" applyNumberFormat="1" applyFont="1" applyFill="1" applyBorder="1" applyAlignment="1" applyProtection="1">
      <alignment horizontal="center" vertical="center"/>
    </xf>
    <xf numFmtId="0" fontId="14" fillId="2" borderId="29" xfId="0" applyNumberFormat="1" applyFont="1" applyFill="1" applyBorder="1" applyAlignment="1" applyProtection="1">
      <alignment horizontal="center" vertical="center"/>
    </xf>
    <xf numFmtId="164" fontId="15" fillId="2" borderId="29" xfId="0" applyNumberFormat="1" applyFont="1" applyFill="1" applyBorder="1" applyAlignment="1">
      <alignment horizontal="center" vertical="center"/>
    </xf>
    <xf numFmtId="164" fontId="15" fillId="2" borderId="41" xfId="0" applyNumberFormat="1" applyFont="1" applyFill="1" applyBorder="1" applyAlignment="1">
      <alignment horizontal="center" vertical="center"/>
    </xf>
    <xf numFmtId="0" fontId="14" fillId="2" borderId="40" xfId="0" applyNumberFormat="1" applyFont="1" applyFill="1" applyBorder="1" applyAlignment="1" applyProtection="1">
      <alignment horizontal="center" vertical="center"/>
    </xf>
    <xf numFmtId="164" fontId="14" fillId="2" borderId="40" xfId="0" applyNumberFormat="1" applyFont="1" applyFill="1" applyBorder="1" applyAlignment="1" applyProtection="1">
      <alignment horizontal="center" vertical="center"/>
    </xf>
    <xf numFmtId="164" fontId="14" fillId="2" borderId="34" xfId="0" applyNumberFormat="1" applyFont="1" applyFill="1" applyBorder="1" applyAlignment="1" applyProtection="1">
      <alignment horizontal="center" vertical="center"/>
    </xf>
    <xf numFmtId="2" fontId="14" fillId="2" borderId="40" xfId="0" applyNumberFormat="1" applyFont="1" applyFill="1" applyBorder="1" applyAlignment="1" applyProtection="1">
      <alignment horizontal="center" vertical="center"/>
    </xf>
    <xf numFmtId="2" fontId="14" fillId="2" borderId="34" xfId="0" applyNumberFormat="1" applyFont="1" applyFill="1" applyBorder="1" applyAlignment="1" applyProtection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42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65" fontId="12" fillId="0" borderId="43" xfId="0" applyNumberFormat="1" applyFont="1" applyBorder="1" applyAlignment="1">
      <alignment horizontal="center" vertical="center"/>
    </xf>
    <xf numFmtId="165" fontId="12" fillId="0" borderId="29" xfId="0" applyNumberFormat="1" applyFont="1" applyBorder="1" applyAlignment="1">
      <alignment horizontal="center" vertical="center"/>
    </xf>
    <xf numFmtId="165" fontId="12" fillId="0" borderId="44" xfId="0" applyNumberFormat="1" applyFont="1" applyBorder="1" applyAlignment="1">
      <alignment horizontal="center" vertical="center"/>
    </xf>
    <xf numFmtId="165" fontId="12" fillId="0" borderId="41" xfId="0" applyNumberFormat="1" applyFont="1" applyBorder="1" applyAlignment="1">
      <alignment horizontal="center" vertical="center"/>
    </xf>
    <xf numFmtId="165" fontId="12" fillId="0" borderId="45" xfId="0" applyNumberFormat="1" applyFont="1" applyBorder="1" applyAlignment="1">
      <alignment horizontal="center" vertical="center"/>
    </xf>
    <xf numFmtId="165" fontId="12" fillId="0" borderId="40" xfId="0" applyNumberFormat="1" applyFont="1" applyBorder="1" applyAlignment="1">
      <alignment horizontal="center" vertical="center"/>
    </xf>
    <xf numFmtId="165" fontId="12" fillId="0" borderId="22" xfId="0" applyNumberFormat="1" applyFont="1" applyBorder="1" applyAlignment="1">
      <alignment horizontal="center" vertical="center"/>
    </xf>
    <xf numFmtId="165" fontId="12" fillId="0" borderId="34" xfId="0" applyNumberFormat="1" applyFont="1" applyBorder="1" applyAlignment="1">
      <alignment horizontal="center" vertical="center"/>
    </xf>
    <xf numFmtId="165" fontId="12" fillId="0" borderId="46" xfId="0" applyNumberFormat="1" applyFont="1" applyBorder="1" applyAlignment="1">
      <alignment horizontal="center" vertical="center"/>
    </xf>
    <xf numFmtId="165" fontId="12" fillId="0" borderId="35" xfId="0" applyNumberFormat="1" applyFont="1" applyBorder="1" applyAlignment="1">
      <alignment horizontal="center" vertical="center"/>
    </xf>
    <xf numFmtId="165" fontId="12" fillId="0" borderId="23" xfId="0" applyNumberFormat="1" applyFont="1" applyBorder="1" applyAlignment="1">
      <alignment horizontal="center" vertical="center"/>
    </xf>
    <xf numFmtId="165" fontId="12" fillId="0" borderId="3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1" fillId="0" borderId="19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20" xfId="1" applyFont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tickerplantrtdserver">
      <tp t="s">
        <v>TN</v>
        <stp/>
        <stp>FWRC1#GBPUSD#Month Wise Rates#0#S#Desc.2</stp>
        <tr r="C1" s="20"/>
      </tp>
      <tp t="s">
        <v>1M</v>
        <stp/>
        <stp>FWRC1#GBPUSD#Month Wise Rates#0#S#Desc.7</stp>
        <tr r="D1" s="20"/>
      </tp>
      <tp t="s">
        <v>2M</v>
        <stp/>
        <stp>FWRC1#GBPUSD#Month Wise Rates#0#S#Desc.8</stp>
        <tr r="E1" s="20"/>
      </tp>
      <tp t="s">
        <v>3M</v>
        <stp/>
        <stp>FWRC1#GBPUSD#Month Wise Rates#0#S#Desc.9</stp>
        <tr r="F1" s="20"/>
      </tp>
      <tp t="s">
        <v>1M</v>
        <stp/>
        <stp>FWRC1#EURUSD#Month Wise Rates#0#S#Desc.7</stp>
        <tr r="D1" s="19"/>
      </tp>
      <tp t="s">
        <v>TN</v>
        <stp/>
        <stp>FWRC1#EURUSD#Month Wise Rates#0#S#Desc.2</stp>
        <tr r="C1" s="19"/>
      </tp>
      <tp t="s">
        <v>3M</v>
        <stp/>
        <stp>FWRC1#EURUSD#Month Wise Rates#0#S#Desc.9</stp>
        <tr r="F1" s="19"/>
      </tp>
      <tp t="s">
        <v>2M</v>
        <stp/>
        <stp>FWRC1#EURUSD#Month Wise Rates#0#S#Desc.8</stp>
        <tr r="E1" s="19"/>
      </tp>
      <tp>
        <v>-0.01</v>
        <stp/>
        <stp>12#2#1#6069#SUSDJPY#%Chg</stp>
        <tr r="D9" s="10"/>
      </tp>
      <tp>
        <v>107.50700000000001</v>
        <stp/>
        <stp>12#2#1#6069#SUSDJPY#LTP</stp>
        <tr r="E12" s="23"/>
      </tp>
      <tp>
        <v>107.4</v>
        <stp/>
        <stp>12#2#1#6069#SUSDJPY#Low</stp>
        <tr r="D12" s="23"/>
        <tr r="G9" s="10"/>
      </tp>
      <tp t="s">
        <v>USDJPY</v>
        <stp/>
        <stp>12#2#1#6069#SUSDJPY#S#Descr.</stp>
        <tr r="A29" s="23"/>
        <tr r="A12" s="23"/>
      </tp>
      <tp>
        <v>107.50700000000001</v>
        <stp/>
        <stp>12#2#1#6069#SUSDJPY#Bid</stp>
        <tr r="B9" s="10"/>
      </tp>
      <tp>
        <v>1.3514900000000001</v>
        <stp/>
        <stp>12#2#1#6031#SGBPUSD#52WkHigh</stp>
        <tr r="I8" s="10"/>
      </tp>
      <tp t="s">
        <v>06-Aug-2020</v>
        <stp/>
        <stp>FWRC1#USDJPY#Month Wise Rates#0#S#PillarDate7</stp>
        <tr r="D2" s="21"/>
      </tp>
      <tp t="s">
        <v>06-Jul-2020</v>
        <stp/>
        <stp>FWRC1#USDJPY#Month Wise Rates#0#S#PillarDate2</stp>
        <tr r="C2" s="21"/>
      </tp>
      <tp t="s">
        <v>08-Sep-2020</v>
        <stp/>
        <stp>FWRC1#USDJPY#Month Wise Rates#0#S#PillarDate8</stp>
        <tr r="E2" s="21"/>
      </tp>
      <tp t="s">
        <v>06-Oct-2020</v>
        <stp/>
        <stp>FWRC1#USDJPY#Month Wise Rates#0#S#PillarDate9</stp>
        <tr r="F2" s="21"/>
      </tp>
      <tp>
        <v>107.51600000000001</v>
        <stp/>
        <stp>12#2#1#6069#SUSDJPY#Ask</stp>
        <tr r="C9" s="10"/>
      </tp>
      <tp t="s">
        <v>31-Dec-2020</v>
        <stp/>
        <stp>FWRC1#JPYINR#Month End Rates#0#S#PillarDate9</stp>
        <tr r="I2" s="18"/>
      </tp>
      <tp t="s">
        <v>27-Nov-2020</v>
        <stp/>
        <stp>FWRC1#JPYINR#Month End Rates#0#S#PillarDate8</stp>
        <tr r="H2" s="18"/>
      </tp>
      <tp t="s">
        <v>06-Jul-2020</v>
        <stp/>
        <stp>FWRC1#JPYINR#Month End Rates#0#S#PillarDate2</stp>
        <tr r="C2" s="18"/>
      </tp>
      <tp t="s">
        <v>29-Oct-2020</v>
        <stp/>
        <stp>FWRC1#JPYINR#Month End Rates#0#S#PillarDate7</stp>
        <tr r="G2" s="18"/>
      </tp>
      <tp t="s">
        <v>30-Sep-2020</v>
        <stp/>
        <stp>FWRC1#JPYINR#Month End Rates#0#S#PillarDate6</stp>
        <tr r="F2" s="18"/>
      </tp>
      <tp t="s">
        <v>31-Aug-2020</v>
        <stp/>
        <stp>FWRC1#JPYINR#Month End Rates#0#S#PillarDate5</stp>
        <tr r="E2" s="18"/>
      </tp>
      <tp t="s">
        <v>31-Jul-2020</v>
        <stp/>
        <stp>FWRC1#JPYINR#Month End Rates#0#S#PillarDate4</stp>
        <tr r="D2" s="18"/>
      </tp>
      <tp t="s">
        <v>31-Dec-2020</v>
        <stp/>
        <stp>FWRC1#GBPINR#Month End Rates#0#S#PillarDate9</stp>
        <tr r="I2" s="17"/>
      </tp>
      <tp t="s">
        <v>27-Nov-2020</v>
        <stp/>
        <stp>FWRC1#GBPINR#Month End Rates#0#S#PillarDate8</stp>
        <tr r="H2" s="17"/>
      </tp>
      <tp t="s">
        <v>06-Jul-2020</v>
        <stp/>
        <stp>FWRC1#GBPINR#Month End Rates#0#S#PillarDate2</stp>
        <tr r="C2" s="17"/>
      </tp>
      <tp t="s">
        <v>28-Aug-2020</v>
        <stp/>
        <stp>FWRC1#GBPINR#Month End Rates#0#S#PillarDate5</stp>
        <tr r="E2" s="17"/>
      </tp>
      <tp t="s">
        <v>31-Jul-2020</v>
        <stp/>
        <stp>FWRC1#GBPINR#Month End Rates#0#S#PillarDate4</stp>
        <tr r="D2" s="17"/>
      </tp>
      <tp t="s">
        <v>29-Oct-2020</v>
        <stp/>
        <stp>FWRC1#GBPINR#Month End Rates#0#S#PillarDate7</stp>
        <tr r="G2" s="17"/>
      </tp>
      <tp t="s">
        <v>30-Sep-2020</v>
        <stp/>
        <stp>FWRC1#GBPINR#Month End Rates#0#S#PillarDate6</stp>
        <tr r="F2" s="17"/>
      </tp>
      <tp>
        <v>1.1496</v>
        <stp/>
        <stp>12#2#1#5949#SEURUSD#52WkHigh</stp>
        <tr r="I7" s="10"/>
      </tp>
      <tp>
        <v>1.3568</v>
        <stp/>
        <stp>12#2#1#6069#SUSDCAD#LTP</stp>
        <tr r="E14" s="23"/>
      </tp>
      <tp>
        <v>0.94610000000000005</v>
        <stp/>
        <stp>12#2#1#6069#SUSDCHF#LTP</stp>
        <tr r="E13" s="23"/>
      </tp>
      <tp>
        <v>0.94450000000000001</v>
        <stp/>
        <stp>12#2#1#6069#SUSDCHF#Low</stp>
        <tr r="D13" s="23"/>
      </tp>
      <tp>
        <v>1.3549</v>
        <stp/>
        <stp>12#2#1#6069#SUSDCAD#Low</stp>
        <tr r="D14" s="23"/>
      </tp>
      <tp>
        <v>0.69389000000000001</v>
        <stp/>
        <stp>12#2#1#5903#SAUDUSD#LTP</stp>
        <tr r="E15" s="23"/>
      </tp>
      <tp>
        <v>1.1228</v>
        <stp/>
        <stp>12#2#1#5949#SEURUSD#LTP</stp>
        <tr r="E10" s="23"/>
      </tp>
      <tp>
        <v>0.69099999999999995</v>
        <stp/>
        <stp>12#2#1#5903#SAUDUSD#Low</stp>
        <tr r="D15" s="23"/>
      </tp>
      <tp>
        <v>1.1217999999999999</v>
        <stp/>
        <stp>12#2#1#5949#SEURUSD#Low</stp>
        <tr r="D10" s="23"/>
        <tr r="G7" s="10"/>
      </tp>
      <tp>
        <v>-0.06</v>
        <stp/>
        <stp>12#2#1#6031#SGBPUSD#%Chg</stp>
        <tr r="D8" s="10"/>
      </tp>
      <tp>
        <v>93.015000000000001</v>
        <stp/>
        <stp>17#3#1#6031#GBPINRCOMP#LTP</stp>
        <tr r="E4" s="23"/>
      </tp>
      <tp>
        <v>78.867500000000007</v>
        <stp/>
        <stp>17#3#1#6056#CHFINRCOMP#LTP</stp>
        <tr r="E6" s="23"/>
      </tp>
      <tp>
        <v>53.515000000000001</v>
        <stp/>
        <stp>17#3#1#6041#SGDINRCOMP#LTP</stp>
        <tr r="E9" s="23"/>
      </tp>
      <tp>
        <v>53.482500000000002</v>
        <stp/>
        <stp>17#3#1#6041#SGDINRCOMP#Low</stp>
        <tr r="D9" s="23"/>
      </tp>
      <tp t="s">
        <v>USDSGD</v>
        <stp/>
        <stp>12#2#1#6069#SUSDSGD#S#Descr.</stp>
        <tr r="A16" s="23"/>
        <tr r="A33" s="23"/>
      </tp>
      <tp>
        <v>92.954999999999998</v>
        <stp/>
        <stp>17#3#1#6031#GBPINRCOMP#Low</stp>
        <tr r="D4" s="23"/>
        <tr r="G5" s="10"/>
      </tp>
      <tp>
        <v>78.822500000000005</v>
        <stp/>
        <stp>17#3#1#6056#CHFINRCOMP#Low</stp>
        <tr r="D6" s="23"/>
      </tp>
      <tp>
        <v>69.435000000000002</v>
        <stp/>
        <stp>17#3#1#5978#JPYINRCOMP#LTP</stp>
        <tr r="E5" s="23"/>
      </tp>
      <tp>
        <v>83.864999999999995</v>
        <stp/>
        <stp>17#3#1#5949#EURINRCOMP#LTP</stp>
        <tr r="E3" s="23"/>
      </tp>
      <tp>
        <v>51.774999999999999</v>
        <stp/>
        <stp>17#3#1#5903#AUDINRCOMP#LTP</stp>
        <tr r="E8" s="23"/>
      </tp>
      <tp>
        <v>55.012500000000003</v>
        <stp/>
        <stp>17#3#1#5921#CADINRCOMP#LTP</stp>
        <tr r="E7" s="23"/>
      </tp>
      <tp>
        <v>83.82</v>
        <stp/>
        <stp>17#3#1#5949#EURINRCOMP#Low</stp>
        <tr r="D3" s="23"/>
        <tr r="G4" s="10"/>
      </tp>
      <tp>
        <v>54.984999999999999</v>
        <stp/>
        <stp>17#3#1#5921#CADINRCOMP#Low</stp>
        <tr r="D7" s="23"/>
      </tp>
      <tp>
        <v>51.67</v>
        <stp/>
        <stp>17#3#1#5903#AUDINRCOMP#Low</stp>
        <tr r="D8" s="23"/>
      </tp>
      <tp t="s">
        <v>GBPUSD</v>
        <stp/>
        <stp>12#2#1#6031#SGBPUSD#S#Descr.</stp>
        <tr r="A28" s="23"/>
        <tr r="A11" s="23"/>
      </tp>
      <tp>
        <v>69.392499999999998</v>
        <stp/>
        <stp>17#3#1#5978#JPYINRCOMP#Low</stp>
        <tr r="D5" s="23"/>
        <tr r="G6" s="10"/>
      </tp>
      <tp>
        <v>74.62</v>
        <stp/>
        <stp>17#1#1#6069#USDINRCOMP#LTP</stp>
        <tr r="E2" s="23"/>
      </tp>
      <tp>
        <v>74.612499999999997</v>
        <stp/>
        <stp>17#1#1#6069#USDINRCOMP#Low</stp>
        <tr r="G3" s="10"/>
        <tr r="D2" s="23"/>
      </tp>
      <tp>
        <v>1.2457</v>
        <stp/>
        <stp>12#2#1#6031#SGBPUSD#Ask</stp>
        <tr r="C8" s="10"/>
      </tp>
      <tp t="s">
        <v>06-Aug-2020</v>
        <stp/>
        <stp>FWRC1#USDINR#Month Wise Rates#0#S#PillarDate7</stp>
        <tr r="D2" s="15"/>
      </tp>
      <tp t="s">
        <v>06-Jul-2020</v>
        <stp/>
        <stp>FWRC1#USDINR#Month Wise Rates#0#S#PillarDate2</stp>
        <tr r="C2" s="15"/>
      </tp>
      <tp t="s">
        <v>08-Sep-2020</v>
        <stp/>
        <stp>FWRC1#USDINR#Month Wise Rates#0#S#PillarDate8</stp>
        <tr r="E2" s="15"/>
      </tp>
      <tp t="s">
        <v>06-Oct-2020</v>
        <stp/>
        <stp>FWRC1#USDINR#Month Wise Rates#0#S#PillarDate9</stp>
        <tr r="F2" s="15"/>
      </tp>
      <tp>
        <v>-0.08</v>
        <stp/>
        <stp>12#2#1#5949#SEURUSD#%Chg</stp>
        <tr r="D7" s="10"/>
      </tp>
      <tp>
        <v>1.2456199999999999</v>
        <stp/>
        <stp>12#2#1#6031#SGBPUSD#Bid</stp>
        <tr r="B8" s="10"/>
      </tp>
      <tp t="s">
        <v>AUDUSD</v>
        <stp/>
        <stp>12#2#1#5903#SAUDUSD#S#Descr.</stp>
        <tr r="A15" s="23"/>
        <tr r="A32" s="23"/>
      </tp>
      <tp t="s">
        <v>EURUSD</v>
        <stp/>
        <stp>12#2#1#5949#SEURUSD#S#Descr.</stp>
        <tr r="A10" s="23"/>
        <tr r="A27" s="23"/>
      </tp>
      <tp t="s">
        <v>USDCAD</v>
        <stp/>
        <stp>12#2#1#6069#SUSDCAD#S#Descr.</stp>
        <tr r="A31" s="23"/>
        <tr r="A14" s="23"/>
      </tp>
      <tp>
        <v>1.2456199999999999</v>
        <stp/>
        <stp>12#2#1#6031#SGBPUSD#LTP</stp>
        <tr r="E11" s="23"/>
      </tp>
      <tp t="s">
        <v>06-Jul-2020</v>
        <stp/>
        <stp>FWRC1#EURUSD#Month Wise Rates#0#S#PillarDate2</stp>
        <tr r="C2" s="19"/>
      </tp>
      <tp t="s">
        <v>06-Aug-2020</v>
        <stp/>
        <stp>FWRC1#EURUSD#Month Wise Rates#0#S#PillarDate7</stp>
        <tr r="D2" s="19"/>
      </tp>
      <tp t="s">
        <v>08-Sep-2020</v>
        <stp/>
        <stp>FWRC1#EURUSD#Month Wise Rates#0#S#PillarDate8</stp>
        <tr r="E2" s="19"/>
      </tp>
      <tp t="s">
        <v>06-Oct-2020</v>
        <stp/>
        <stp>FWRC1#EURUSD#Month Wise Rates#0#S#PillarDate9</stp>
        <tr r="F2" s="19"/>
      </tp>
      <tp>
        <v>1.24369</v>
        <stp/>
        <stp>12#2#1#6031#SGBPUSD#Low</stp>
        <tr r="D11" s="23"/>
        <tr r="G8" s="10"/>
      </tp>
      <tp t="s">
        <v>06-Jul-2020</v>
        <stp/>
        <stp>FWRC1#GBPUSD#Month Wise Rates#0#S#PillarDate2</stp>
        <tr r="C2" s="20"/>
      </tp>
      <tp t="s">
        <v>06-Aug-2020</v>
        <stp/>
        <stp>FWRC1#GBPUSD#Month Wise Rates#0#S#PillarDate7</stp>
        <tr r="D2" s="20"/>
      </tp>
      <tp t="s">
        <v>08-Sep-2020</v>
        <stp/>
        <stp>FWRC1#GBPUSD#Month Wise Rates#0#S#PillarDate8</stp>
        <tr r="E2" s="20"/>
      </tp>
      <tp t="s">
        <v>06-Oct-2020</v>
        <stp/>
        <stp>FWRC1#GBPUSD#Month Wise Rates#0#S#PillarDate9</stp>
        <tr r="F2" s="20"/>
      </tp>
      <tp t="s">
        <v>2M</v>
        <stp/>
        <stp>FWRC1#USDJPY#Month Wise Rates#0#S#Desc.8</stp>
        <tr r="E1" s="21"/>
      </tp>
      <tp t="s">
        <v>3M</v>
        <stp/>
        <stp>FWRC1#USDJPY#Month Wise Rates#0#S#Desc.9</stp>
        <tr r="F1" s="21"/>
      </tp>
      <tp t="s">
        <v>1M</v>
        <stp/>
        <stp>FWRC1#USDJPY#Month Wise Rates#0#S#Desc.7</stp>
        <tr r="D1" s="21"/>
      </tp>
      <tp t="s">
        <v>TN</v>
        <stp/>
        <stp>FWRC1#USDJPY#Month Wise Rates#0#S#Desc.2</stp>
        <tr r="C1" s="21"/>
      </tp>
      <tp>
        <v>93.045000000000002</v>
        <stp/>
        <stp>17#3#1#6031#GBPINRCOMP#Ask</stp>
        <tr r="C5" s="10"/>
      </tp>
      <tp>
        <v>83.864999999999995</v>
        <stp/>
        <stp>17#3#1#5949#EURINRCOMP#Bid</stp>
        <tr r="B4" s="10"/>
      </tp>
      <tp>
        <v>69.435000000000002</v>
        <stp/>
        <stp>17#3#1#5978#JPYINRCOMP#Bid</stp>
        <tr r="B6" s="10"/>
      </tp>
      <tp>
        <v>1.1232</v>
        <stp/>
        <stp>12#2#1#5949#SEURUSD#Ask</stp>
        <tr r="C7" s="10"/>
      </tp>
      <tp>
        <v>74.62</v>
        <stp/>
        <stp>17#1#1#6069#USDINRCOMP#Bid</stp>
        <tr r="B3" s="10"/>
      </tp>
      <tp>
        <v>112.22799999999999</v>
        <stp/>
        <stp>12#2#1#6069#SUSDJPY#52WkHigh</stp>
        <tr r="I9" s="10"/>
      </tp>
      <tp>
        <v>1.1228</v>
        <stp/>
        <stp>12#2#1#5949#SEURUSD#Bid</stp>
        <tr r="B7" s="10"/>
      </tp>
      <tp t="s">
        <v>USDCHF</v>
        <stp/>
        <stp>12#2#1#6069#SUSDCHF#S#Descr.</stp>
        <tr r="A30" s="23"/>
        <tr r="A13" s="23"/>
      </tp>
      <tp>
        <v>74.63</v>
        <stp/>
        <stp>17#1#1#6069#USDINRCOMP#Ask</stp>
        <tr r="C3" s="10"/>
      </tp>
      <tp>
        <v>1.3944000000000001</v>
        <stp/>
        <stp>12#2#1#6069#SUSDSGD#LTP</stp>
        <tr r="E33" s="23"/>
        <tr r="J33" s="23"/>
        <tr r="M33" s="23"/>
        <tr r="D33" s="23"/>
        <tr r="L33" s="23"/>
        <tr r="H33" s="23"/>
        <tr r="N33" s="23"/>
        <tr r="I33" s="23"/>
        <tr r="F33" s="23"/>
        <tr r="B33" s="23"/>
        <tr r="K33" s="23"/>
        <tr r="C33" s="23"/>
        <tr r="E16" s="23"/>
        <tr r="G33" s="23"/>
      </tp>
      <tp t="s">
        <v>1M</v>
        <stp/>
        <stp>FWRC1#USDINR#Month Wise Rates#0#S#Desc.7</stp>
        <tr r="D1" s="15"/>
      </tp>
      <tp t="s">
        <v>TN</v>
        <stp/>
        <stp>FWRC1#USDINR#Month Wise Rates#0#S#Desc.2</stp>
        <tr r="C1" s="15"/>
      </tp>
      <tp t="s">
        <v>3M</v>
        <stp/>
        <stp>FWRC1#USDINR#Month Wise Rates#0#S#Desc.9</stp>
        <tr r="F1" s="15"/>
      </tp>
      <tp t="s">
        <v>2M</v>
        <stp/>
        <stp>FWRC1#USDINR#Month Wise Rates#0#S#Desc.8</stp>
        <tr r="E1" s="15"/>
      </tp>
      <tp>
        <v>1.3937999999999999</v>
        <stp/>
        <stp>12#2#1#6069#SUSDSGD#Low</stp>
        <tr r="D16" s="23"/>
      </tp>
      <tp>
        <v>69.459999999999994</v>
        <stp/>
        <stp>17#3#1#5978#JPYINRCOMP#Ask</stp>
        <tr r="C6" s="10"/>
      </tp>
      <tp>
        <v>83.88</v>
        <stp/>
        <stp>17#3#1#5949#EURINRCOMP#Ask</stp>
        <tr r="C4" s="10"/>
      </tp>
      <tp>
        <v>93.015000000000001</v>
        <stp/>
        <stp>17#3#1#6031#GBPINRCOMP#Bid</stp>
        <tr r="B5" s="10"/>
      </tp>
      <tp>
        <v>87.557400000000001</v>
        <stp/>
        <stp>FWRC1#EURINR#Month End Rates#0#FwdOutrightBid12</stp>
        <tr r="L7" s="16"/>
      </tp>
      <tp>
        <v>87.923699999999997</v>
        <stp/>
        <stp>FWRC1#EURINR#Month End Rates#0#FwdOutrightBid13</stp>
        <tr r="M7" s="16"/>
      </tp>
      <tp>
        <v>86.884100000000004</v>
        <stp/>
        <stp>FWRC1#EURINR#Month End Rates#0#FwdOutrightBid10</stp>
        <tr r="J7" s="16"/>
      </tp>
      <tp>
        <v>87.185299999999998</v>
        <stp/>
        <stp>FWRC1#EURINR#Month End Rates#0#FwdOutrightBid11</stp>
        <tr r="K7" s="16"/>
      </tp>
      <tp>
        <v>88.245199999999997</v>
        <stp/>
        <stp>FWRC1#EURINR#Month End Rates#0#FwdOutrightBid14</stp>
        <tr r="N7" s="16"/>
      </tp>
      <tp>
        <v>88.609899999999996</v>
        <stp/>
        <stp>FWRC1#EURINR#Month End Rates#0#FwdOutrightBid15</stp>
        <tr r="O7" s="16"/>
      </tp>
      <tp>
        <v>86.212699999999998</v>
        <stp/>
        <stp>FWRC1#EURINR#Month End Rates#0#FwdOutrightAsk8</stp>
        <tr r="H8" s="16"/>
      </tp>
      <tp>
        <v>86.613500000000002</v>
        <stp/>
        <stp>FWRC1#EURINR#Month End Rates#0#FwdOutrightAsk9</stp>
        <tr r="I8" s="16"/>
      </tp>
      <tp>
        <v>84.948999999999998</v>
        <stp/>
        <stp>FWRC1#EURINR#Month End Rates#0#FwdOutrightAsk4</stp>
        <tr r="D8" s="16"/>
      </tp>
      <tp>
        <v>85.280100000000004</v>
        <stp/>
        <stp>FWRC1#EURINR#Month End Rates#0#FwdOutrightAsk5</stp>
        <tr r="E8" s="16"/>
      </tp>
      <tp>
        <v>85.572400000000002</v>
        <stp/>
        <stp>FWRC1#EURINR#Month End Rates#0#FwdOutrightAsk6</stp>
        <tr r="F8" s="16"/>
      </tp>
      <tp>
        <v>85.897000000000006</v>
        <stp/>
        <stp>FWRC1#EURINR#Month End Rates#0#FwdOutrightAsk7</stp>
        <tr r="G8" s="16"/>
      </tp>
      <tp>
        <v>84.706400000000002</v>
        <stp/>
        <stp>FWRC1#EURINR#Month End Rates#0#FwdOutrightAsk1</stp>
        <tr r="C8" s="16"/>
        <tr r="D3" s="5"/>
      </tp>
      <tp>
        <v>84.723100000000002</v>
        <stp/>
        <stp>FWRC1#EURINR#Month End Rates#0#FwdOutrightAsk3</stp>
        <tr r="F3" s="5"/>
      </tp>
      <tp>
        <v>0</v>
        <stp/>
        <stp>17#3#1#6031#GBPINRCOMP#52WkLow</stp>
        <tr r="J5" s="10"/>
      </tp>
      <tp t="s">
        <v>31-Dec-2020</v>
        <stp/>
        <stp>FWRC1#EURINR#Month End Rates#0#S#MonthEndDate9</stp>
        <tr r="I2" s="16"/>
      </tp>
      <tp t="s">
        <v>27-Nov-2020</v>
        <stp/>
        <stp>FWRC1#EURINR#Month End Rates#0#S#MonthEndDate8</stp>
        <tr r="H2" s="16"/>
      </tp>
      <tp t="s">
        <v>29-Oct-2020</v>
        <stp/>
        <stp>FWRC1#EURINR#Month End Rates#0#S#MonthEndDate7</stp>
        <tr r="G2" s="16"/>
      </tp>
      <tp t="s">
        <v>30-Sep-2020</v>
        <stp/>
        <stp>FWRC1#EURINR#Month End Rates#0#S#MonthEndDate6</stp>
        <tr r="F2" s="16"/>
      </tp>
      <tp t="s">
        <v>31-Aug-2020</v>
        <stp/>
        <stp>FWRC1#EURINR#Month End Rates#0#S#MonthEndDate5</stp>
        <tr r="E2" s="16"/>
      </tp>
      <tp t="s">
        <v>31-Jul-2020</v>
        <stp/>
        <stp>FWRC1#EURINR#Month End Rates#0#S#MonthEndDate4</stp>
        <tr r="D2" s="16"/>
      </tp>
      <tp t="s">
        <v>06-Jul-2020</v>
        <stp/>
        <stp>FWRC1#EURINR#Month End Rates#0#S#MonthEndDate2</stp>
        <tr r="C2" s="16"/>
      </tp>
      <tp t="s">
        <v>06-Jan-2021</v>
        <stp/>
        <stp>FWRC1#USDJPY#Month Wise Rates#0#S#PillarDate12</stp>
        <tr r="I2" s="21"/>
      </tp>
      <tp t="s">
        <v>08-Feb-2021</v>
        <stp/>
        <stp>FWRC1#USDJPY#Month Wise Rates#0#S#PillarDate13</stp>
        <tr r="J2" s="21"/>
      </tp>
      <tp t="s">
        <v>06-Nov-2020</v>
        <stp/>
        <stp>FWRC1#USDJPY#Month Wise Rates#0#S#PillarDate10</stp>
        <tr r="G2" s="21"/>
      </tp>
      <tp t="s">
        <v>07-Dec-2020</v>
        <stp/>
        <stp>FWRC1#USDJPY#Month Wise Rates#0#S#PillarDate11</stp>
        <tr r="H2" s="21"/>
      </tp>
      <tp t="s">
        <v>06-May-2021</v>
        <stp/>
        <stp>FWRC1#USDJPY#Month Wise Rates#0#S#PillarDate16</stp>
        <tr r="M2" s="21"/>
      </tp>
      <tp t="s">
        <v>07-Jun-2021</v>
        <stp/>
        <stp>FWRC1#USDJPY#Month Wise Rates#0#S#PillarDate17</stp>
        <tr r="N2" s="21"/>
      </tp>
      <tp t="s">
        <v>08-Mar-2021</v>
        <stp/>
        <stp>FWRC1#USDJPY#Month Wise Rates#0#S#PillarDate14</stp>
        <tr r="K2" s="21"/>
      </tp>
      <tp t="s">
        <v>06-Apr-2021</v>
        <stp/>
        <stp>FWRC1#USDJPY#Month Wise Rates#0#S#PillarDate15</stp>
        <tr r="L2" s="21"/>
      </tp>
      <tp t="s">
        <v>06-Jul-2021</v>
        <stp/>
        <stp>FWRC1#USDJPY#Month Wise Rates#0#S#PillarDate18</stp>
        <tr r="O2" s="21"/>
      </tp>
      <tp>
        <v>1.3944000000000001</v>
        <stp/>
        <stp>12#2#1#6069#SUSDSGD#Open</stp>
        <tr r="B16" s="23"/>
      </tp>
      <tp>
        <v>3.9430999999999998</v>
        <stp/>
        <stp>FWRC1#GBPINR#Month End Rates#0#Bid%14</stp>
        <tr r="N10" s="17"/>
      </tp>
      <tp>
        <v>3.9820000000000002</v>
        <stp/>
        <stp>FWRC1#GBPINR#Month End Rates#0#Bid%15</stp>
        <tr r="O10" s="17"/>
      </tp>
      <tp>
        <v>3.8573</v>
        <stp/>
        <stp>FWRC1#GBPINR#Month End Rates#0#Bid%10</stp>
        <tr r="J10" s="17"/>
      </tp>
      <tp>
        <v>3.8664000000000001</v>
        <stp/>
        <stp>FWRC1#GBPINR#Month End Rates#0#Bid%11</stp>
        <tr r="K10" s="17"/>
      </tp>
      <tp>
        <v>3.9083000000000001</v>
        <stp/>
        <stp>FWRC1#GBPINR#Month End Rates#0#Bid%12</stp>
        <tr r="L10" s="17"/>
      </tp>
      <tp>
        <v>3.9607999999999999</v>
        <stp/>
        <stp>FWRC1#GBPINR#Month End Rates#0#Bid%13</stp>
        <tr r="M10" s="17"/>
      </tp>
      <tp>
        <v>3.9954000000000001</v>
        <stp/>
        <stp>FWRC1#GBPINR#Month End Rates#0#Ask%14</stp>
        <tr r="N11" s="17"/>
      </tp>
      <tp>
        <v>4.032</v>
        <stp/>
        <stp>FWRC1#GBPINR#Month End Rates#0#Ask%15</stp>
        <tr r="O11" s="17"/>
      </tp>
      <tp>
        <v>3.9693000000000001</v>
        <stp/>
        <stp>FWRC1#GBPINR#Month End Rates#0#Ask%12</stp>
        <tr r="L11" s="17"/>
      </tp>
      <tp>
        <v>4.016</v>
        <stp/>
        <stp>FWRC1#GBPINR#Month End Rates#0#Ask%13</stp>
        <tr r="M11" s="17"/>
      </tp>
      <tp>
        <v>3.9249000000000001</v>
        <stp/>
        <stp>FWRC1#GBPINR#Month End Rates#0#Ask%10</stp>
        <tr r="J11" s="17"/>
      </tp>
      <tp>
        <v>3.9289999999999998</v>
        <stp/>
        <stp>FWRC1#GBPINR#Month End Rates#0#Ask%11</stp>
        <tr r="K11" s="17"/>
      </tp>
      <tp>
        <v>95.929699999999997</v>
        <stp/>
        <stp>FWRC1#GBPINR#Month End Rates#0#FwdOutrightBid10</stp>
        <tr r="J7" s="17"/>
      </tp>
      <tp>
        <v>96.213099999999997</v>
        <stp/>
        <stp>FWRC1#GBPINR#Month End Rates#0#FwdOutrightBid11</stp>
        <tr r="K7" s="17"/>
      </tp>
      <tp>
        <v>96.570300000000003</v>
        <stp/>
        <stp>FWRC1#GBPINR#Month End Rates#0#FwdOutrightBid12</stp>
        <tr r="L7" s="17"/>
      </tp>
      <tp>
        <v>96.912300000000002</v>
        <stp/>
        <stp>FWRC1#GBPINR#Month End Rates#0#FwdOutrightBid13</stp>
        <tr r="M7" s="17"/>
      </tp>
      <tp>
        <v>97.213300000000004</v>
        <stp/>
        <stp>FWRC1#GBPINR#Month End Rates#0#FwdOutrightBid14</stp>
        <tr r="N7" s="17"/>
      </tp>
      <tp>
        <v>97.553600000000003</v>
        <stp/>
        <stp>FWRC1#GBPINR#Month End Rates#0#FwdOutrightBid15</stp>
        <tr r="O7" s="17"/>
      </tp>
      <tp>
        <v>1.2463</v>
        <stp/>
        <stp>12#2#1#6031#SGBPUSD#Open</stp>
        <tr r="B11" s="23"/>
        <tr r="E8" s="10"/>
      </tp>
      <tp>
        <v>68.290000000000006</v>
        <stp/>
        <stp>17#1#1#6069#USDINRCOMP#52WkLow</stp>
        <tr r="J3" s="10"/>
      </tp>
      <tp>
        <v>234.25</v>
        <stp/>
        <stp>FWRC1#USDINR#Month End Rates#0#AskPrice13</stp>
        <tr r="M5" s="14"/>
      </tp>
      <tp>
        <v>205.25</v>
        <stp/>
        <stp>FWRC1#USDINR#Month End Rates#0#AskPrice12</stp>
        <tr r="L5" s="14"/>
      </tp>
      <tp>
        <v>179.25</v>
        <stp/>
        <stp>FWRC1#USDINR#Month End Rates#0#AskPrice11</stp>
        <tr r="K5" s="14"/>
      </tp>
      <tp>
        <v>157.25</v>
        <stp/>
        <stp>FWRC1#USDINR#Month End Rates#0#AskPrice10</stp>
        <tr r="J5" s="14"/>
      </tp>
      <tp>
        <v>283</v>
        <stp/>
        <stp>FWRC1#USDINR#Month End Rates#0#AskPrice15</stp>
        <tr r="O5" s="14"/>
      </tp>
      <tp>
        <v>256.5</v>
        <stp/>
        <stp>FWRC1#USDINR#Month End Rates#0#AskPrice14</stp>
        <tr r="N5" s="14"/>
      </tp>
      <tp>
        <v>177.25</v>
        <stp/>
        <stp>FWRC1#USDINR#Month End Rates#0#BidPrice11</stp>
        <tr r="K4" s="14"/>
      </tp>
      <tp>
        <v>155.25</v>
        <stp/>
        <stp>FWRC1#USDINR#Month End Rates#0#BidPrice10</stp>
        <tr r="J4" s="14"/>
      </tp>
      <tp>
        <v>232.25</v>
        <stp/>
        <stp>FWRC1#USDINR#Month End Rates#0#BidPrice13</stp>
        <tr r="M4" s="14"/>
      </tp>
      <tp>
        <v>203.25</v>
        <stp/>
        <stp>FWRC1#USDINR#Month End Rates#0#BidPrice12</stp>
        <tr r="L4" s="14"/>
      </tp>
      <tp>
        <v>281</v>
        <stp/>
        <stp>FWRC1#USDINR#Month End Rates#0#BidPrice15</stp>
        <tr r="O4" s="14"/>
      </tp>
      <tp>
        <v>254.5</v>
        <stp/>
        <stp>FWRC1#USDINR#Month End Rates#0#BidPrice14</stp>
        <tr r="N4" s="14"/>
      </tp>
      <tp>
        <v>0</v>
        <stp/>
        <stp>17#3#1#5978#JPYINRCOMP#52WkLow</stp>
        <tr r="J6" s="10"/>
      </tp>
      <tp>
        <v>4.7138</v>
        <stp/>
        <stp>FWRC1#EURINR#Month End Rates#0#Ask%14</stp>
        <tr r="N11" s="16"/>
      </tp>
      <tp>
        <v>4.7343000000000002</v>
        <stp/>
        <stp>FWRC1#EURINR#Month End Rates#0#Ask%15</stp>
        <tr r="O11" s="16"/>
      </tp>
      <tp>
        <v>4.6234999999999999</v>
        <stp/>
        <stp>FWRC1#EURINR#Month End Rates#0#Ask%10</stp>
        <tr r="J11" s="16"/>
      </tp>
      <tp>
        <v>4.6082000000000001</v>
        <stp/>
        <stp>FWRC1#EURINR#Month End Rates#0#Ask%11</stp>
        <tr r="K11" s="16"/>
      </tp>
      <tp>
        <v>4.6437999999999997</v>
        <stp/>
        <stp>FWRC1#EURINR#Month End Rates#0#Ask%12</stp>
        <tr r="L11" s="16"/>
      </tp>
      <tp>
        <v>4.7333999999999996</v>
        <stp/>
        <stp>FWRC1#EURINR#Month End Rates#0#Ask%13</stp>
        <tr r="M11" s="16"/>
      </tp>
      <tp>
        <v>4.6288999999999998</v>
        <stp/>
        <stp>FWRC1#EURINR#Month End Rates#0#Bid%14</stp>
        <tr r="N10" s="16"/>
      </tp>
      <tp>
        <v>4.6798000000000002</v>
        <stp/>
        <stp>FWRC1#EURINR#Month End Rates#0#Bid%15</stp>
        <tr r="O10" s="16"/>
      </tp>
      <tp>
        <v>4.5769000000000002</v>
        <stp/>
        <stp>FWRC1#EURINR#Month End Rates#0#Bid%12</stp>
        <tr r="L10" s="16"/>
      </tp>
      <tp>
        <v>4.6456999999999997</v>
        <stp/>
        <stp>FWRC1#EURINR#Month End Rates#0#Bid%13</stp>
        <tr r="M10" s="16"/>
      </tp>
      <tp>
        <v>4.5244999999999997</v>
        <stp/>
        <stp>FWRC1#EURINR#Month End Rates#0#Bid%10</stp>
        <tr r="J10" s="16"/>
      </tp>
      <tp>
        <v>4.5376000000000003</v>
        <stp/>
        <stp>FWRC1#EURINR#Month End Rates#0#Bid%11</stp>
        <tr r="K10" s="16"/>
      </tp>
      <tp>
        <v>72.683999999999997</v>
        <stp/>
        <stp>FWRC1#JPYINR#Month End Rates#0#FwdOutrightAsk14</stp>
        <tr r="N8" s="18"/>
      </tp>
      <tp>
        <v>72.965000000000003</v>
        <stp/>
        <stp>FWRC1#JPYINR#Month End Rates#0#FwdOutrightAsk15</stp>
        <tr r="O8" s="18"/>
      </tp>
      <tp>
        <v>72.131799999999998</v>
        <stp/>
        <stp>FWRC1#JPYINR#Month End Rates#0#FwdOutrightAsk12</stp>
        <tr r="L8" s="18"/>
      </tp>
      <tp>
        <v>72.421999999999997</v>
        <stp/>
        <stp>FWRC1#JPYINR#Month End Rates#0#FwdOutrightAsk13</stp>
        <tr r="M8" s="18"/>
      </tp>
      <tp>
        <v>71.600700000000003</v>
        <stp/>
        <stp>FWRC1#JPYINR#Month End Rates#0#FwdOutrightAsk10</stp>
        <tr r="J8" s="18"/>
      </tp>
      <tp>
        <v>71.836100000000002</v>
        <stp/>
        <stp>FWRC1#JPYINR#Month End Rates#0#FwdOutrightAsk11</stp>
        <tr r="K8" s="18"/>
      </tp>
      <tp t="s">
        <v>JUN-2021</v>
        <stp/>
        <stp>FWRC1#USDINR#Month End Rates#0#S#Desc.15</stp>
        <tr r="O1" s="14"/>
      </tp>
      <tp t="s">
        <v>MAY-2021</v>
        <stp/>
        <stp>FWRC1#USDINR#Month End Rates#0#S#Desc.14</stp>
        <tr r="N1" s="14"/>
      </tp>
      <tp t="s">
        <v>APR-2021</v>
        <stp/>
        <stp>FWRC1#USDINR#Month End Rates#0#S#Desc.13</stp>
        <tr r="M1" s="14"/>
      </tp>
      <tp t="s">
        <v>MAR-2021</v>
        <stp/>
        <stp>FWRC1#USDINR#Month End Rates#0#S#Desc.12</stp>
        <tr r="L1" s="14"/>
      </tp>
      <tp t="s">
        <v>FEB-2021</v>
        <stp/>
        <stp>FWRC1#USDINR#Month End Rates#0#S#Desc.11</stp>
        <tr r="K1" s="14"/>
      </tp>
      <tp t="s">
        <v>JAN-2021</v>
        <stp/>
        <stp>FWRC1#USDINR#Month End Rates#0#S#Desc.10</stp>
        <tr r="J1" s="14"/>
      </tp>
      <tp t="s">
        <v>MAY-2021</v>
        <stp/>
        <stp>FWRC1#GBPINR#Month End Rates#0#S#Desc.14</stp>
        <tr r="N1" s="17"/>
      </tp>
      <tp t="s">
        <v>JUN-2021</v>
        <stp/>
        <stp>FWRC1#GBPINR#Month End Rates#0#S#Desc.15</stp>
        <tr r="O1" s="17"/>
      </tp>
      <tp t="s">
        <v>MAR-2021</v>
        <stp/>
        <stp>FWRC1#GBPINR#Month End Rates#0#S#Desc.12</stp>
        <tr r="L1" s="17"/>
      </tp>
      <tp t="s">
        <v>APR-2021</v>
        <stp/>
        <stp>FWRC1#GBPINR#Month End Rates#0#S#Desc.13</stp>
        <tr r="M1" s="17"/>
      </tp>
      <tp t="s">
        <v>JAN-2021</v>
        <stp/>
        <stp>FWRC1#GBPINR#Month End Rates#0#S#Desc.10</stp>
        <tr r="J1" s="17"/>
      </tp>
      <tp t="s">
        <v>FEB-2021</v>
        <stp/>
        <stp>FWRC1#GBPINR#Month End Rates#0#S#Desc.11</stp>
        <tr r="K1" s="17"/>
      </tp>
      <tp t="s">
        <v>FEB-2021</v>
        <stp/>
        <stp>FWRC1#EURINR#Month End Rates#0#S#Desc.11</stp>
        <tr r="K1" s="16"/>
      </tp>
      <tp t="s">
        <v>JAN-2021</v>
        <stp/>
        <stp>FWRC1#EURINR#Month End Rates#0#S#Desc.10</stp>
        <tr r="J1" s="16"/>
      </tp>
      <tp t="s">
        <v>APR-2021</v>
        <stp/>
        <stp>FWRC1#EURINR#Month End Rates#0#S#Desc.13</stp>
        <tr r="M1" s="16"/>
      </tp>
      <tp t="s">
        <v>MAR-2021</v>
        <stp/>
        <stp>FWRC1#EURINR#Month End Rates#0#S#Desc.12</stp>
        <tr r="L1" s="16"/>
      </tp>
      <tp t="s">
        <v>JUN-2021</v>
        <stp/>
        <stp>FWRC1#EURINR#Month End Rates#0#S#Desc.15</stp>
        <tr r="O1" s="16"/>
      </tp>
      <tp t="s">
        <v>MAY-2021</v>
        <stp/>
        <stp>FWRC1#EURINR#Month End Rates#0#S#Desc.14</stp>
        <tr r="N1" s="16"/>
      </tp>
      <tp t="s">
        <v>MAY-2021</v>
        <stp/>
        <stp>FWRC1#JPYINR#Month End Rates#0#S#Desc.14</stp>
        <tr r="N1" s="18"/>
      </tp>
      <tp t="s">
        <v>JUN-2021</v>
        <stp/>
        <stp>FWRC1#JPYINR#Month End Rates#0#S#Desc.15</stp>
        <tr r="O1" s="18"/>
      </tp>
      <tp t="s">
        <v>JAN-2021</v>
        <stp/>
        <stp>FWRC1#JPYINR#Month End Rates#0#S#Desc.10</stp>
        <tr r="J1" s="18"/>
      </tp>
      <tp t="s">
        <v>FEB-2021</v>
        <stp/>
        <stp>FWRC1#JPYINR#Month End Rates#0#S#Desc.11</stp>
        <tr r="K1" s="18"/>
      </tp>
      <tp t="s">
        <v>MAR-2021</v>
        <stp/>
        <stp>FWRC1#JPYINR#Month End Rates#0#S#Desc.12</stp>
        <tr r="L1" s="18"/>
      </tp>
      <tp t="s">
        <v>APR-2021</v>
        <stp/>
        <stp>FWRC1#JPYINR#Month End Rates#0#S#Desc.13</stp>
        <tr r="M1" s="18"/>
      </tp>
      <tp>
        <v>-0.42599999999999999</v>
        <stp/>
        <stp>FWRC1#USDJPY#Month Wise Rates#0#Ask%8</stp>
        <tr r="E11" s="21"/>
      </tp>
      <tp>
        <v>-0.50519999999999998</v>
        <stp/>
        <stp>FWRC1#USDJPY#Month Wise Rates#0#Ask%9</stp>
        <tr r="F11" s="21"/>
      </tp>
      <tp>
        <v>-0.45129999999999998</v>
        <stp/>
        <stp>FWRC1#USDJPY#Month Wise Rates#0#Ask%7</stp>
        <tr r="D11" s="21"/>
      </tp>
      <tp>
        <v>-3.4000000000000002E-2</v>
        <stp/>
        <stp>FWRC1#USDJPY#Month Wise Rates#0#Ask%2</stp>
        <tr r="C11" s="21"/>
      </tp>
      <tp>
        <v>107.50700000000001</v>
        <stp/>
        <stp>FWRC1#USDJPY#Month Wise Rates#0#Close0</stp>
        <tr r="M29" s="23"/>
        <tr r="C29" s="23"/>
        <tr r="B29" s="23"/>
        <tr r="K29" s="23"/>
        <tr r="J29" s="23"/>
        <tr r="H29" s="23"/>
        <tr r="N29" s="23"/>
        <tr r="I29" s="23"/>
        <tr r="D29" s="23"/>
        <tr r="F29" s="23"/>
        <tr r="E29" s="23"/>
        <tr r="G29" s="23"/>
        <tr r="L29" s="23"/>
      </tp>
      <tp>
        <v>-4.22</v>
        <stp/>
        <stp>FWRC1#USDJPY#Month Wise Rates#0#Close7</stp>
        <tr r="C29" s="23"/>
      </tp>
      <tp>
        <v>-8.32</v>
        <stp/>
        <stp>FWRC1#USDJPY#Month Wise Rates#0#Close8</stp>
        <tr r="D29" s="23"/>
      </tp>
      <tp>
        <v>-13.94</v>
        <stp/>
        <stp>FWRC1#USDJPY#Month Wise Rates#0#Close9</stp>
        <tr r="E29" s="23"/>
      </tp>
      <tp>
        <v>1.0634999999999999</v>
        <stp/>
        <stp>12#2#1#5949#SEURUSD#52WkLow</stp>
        <tr r="J7" s="10"/>
      </tp>
      <tp t="s">
        <v>12M</v>
        <stp/>
        <stp>FWRC1#USDJPY#Month Wise Rates#0#S#Desc.18</stp>
        <tr r="O1" s="21"/>
      </tp>
      <tp t="s">
        <v>9M</v>
        <stp/>
        <stp>FWRC1#USDJPY#Month Wise Rates#0#S#Desc.15</stp>
        <tr r="L1" s="21"/>
      </tp>
      <tp t="s">
        <v>8M</v>
        <stp/>
        <stp>FWRC1#USDJPY#Month Wise Rates#0#S#Desc.14</stp>
        <tr r="K1" s="21"/>
      </tp>
      <tp t="s">
        <v>11M</v>
        <stp/>
        <stp>FWRC1#USDJPY#Month Wise Rates#0#S#Desc.17</stp>
        <tr r="N1" s="21"/>
      </tp>
      <tp t="s">
        <v>10M</v>
        <stp/>
        <stp>FWRC1#USDJPY#Month Wise Rates#0#S#Desc.16</stp>
        <tr r="M1" s="21"/>
      </tp>
      <tp t="s">
        <v>5M</v>
        <stp/>
        <stp>FWRC1#USDJPY#Month Wise Rates#0#S#Desc.11</stp>
        <tr r="H1" s="21"/>
      </tp>
      <tp t="s">
        <v>4M</v>
        <stp/>
        <stp>FWRC1#USDJPY#Month Wise Rates#0#S#Desc.10</stp>
        <tr r="G1" s="21"/>
      </tp>
      <tp t="s">
        <v>7M</v>
        <stp/>
        <stp>FWRC1#USDJPY#Month Wise Rates#0#S#Desc.13</stp>
        <tr r="J1" s="21"/>
      </tp>
      <tp t="s">
        <v>6M</v>
        <stp/>
        <stp>FWRC1#USDJPY#Month Wise Rates#0#S#Desc.12</stp>
        <tr r="I1" s="21"/>
      </tp>
      <tp>
        <v>3.9161999999999999</v>
        <stp/>
        <stp>FWRC1#GBPINR#Month End Rates#0#Ask%9</stp>
        <tr r="I11" s="17"/>
      </tp>
      <tp>
        <v>3.8180999999999998</v>
        <stp/>
        <stp>FWRC1#GBPINR#Month End Rates#0#Ask%8</stp>
        <tr r="H11" s="17"/>
      </tp>
      <tp>
        <v>5.3811</v>
        <stp/>
        <stp>FWRC1#GBPINR#Month End Rates#0#Ask%2</stp>
        <tr r="C11" s="17"/>
      </tp>
      <tp>
        <v>3.7747000000000002</v>
        <stp/>
        <stp>FWRC1#GBPINR#Month End Rates#0#Ask%7</stp>
        <tr r="G11" s="17"/>
      </tp>
      <tp>
        <v>3.6574</v>
        <stp/>
        <stp>FWRC1#GBPINR#Month End Rates#0#Ask%6</stp>
        <tr r="F11" s="17"/>
      </tp>
      <tp>
        <v>3.8837999999999999</v>
        <stp/>
        <stp>FWRC1#GBPINR#Month End Rates#0#Ask%5</stp>
        <tr r="E11" s="17"/>
      </tp>
      <tp>
        <v>3.3187000000000002</v>
        <stp/>
        <stp>FWRC1#GBPINR#Month End Rates#0#Ask%4</stp>
        <tr r="D11" s="17"/>
      </tp>
      <tp>
        <v>4.4439000000000002</v>
        <stp/>
        <stp>FWRC1#EURINR#Month End Rates#0#Ask%8</stp>
        <tr r="H11" s="16"/>
      </tp>
      <tp>
        <v>4.5652999999999997</v>
        <stp/>
        <stp>FWRC1#EURINR#Month End Rates#0#Ask%9</stp>
        <tr r="I11" s="16"/>
      </tp>
      <tp>
        <v>3.8168000000000002</v>
        <stp/>
        <stp>FWRC1#EURINR#Month End Rates#0#Ask%4</stp>
        <tr r="D11" s="16"/>
      </tp>
      <tp>
        <v>4.2516999999999996</v>
        <stp/>
        <stp>FWRC1#EURINR#Month End Rates#0#Ask%5</stp>
        <tr r="E11" s="16"/>
      </tp>
      <tp>
        <v>4.2328999999999999</v>
        <stp/>
        <stp>FWRC1#EURINR#Month End Rates#0#Ask%6</stp>
        <tr r="F11" s="16"/>
      </tp>
      <tp>
        <v>4.3818000000000001</v>
        <stp/>
        <stp>FWRC1#EURINR#Month End Rates#0#Ask%7</stp>
        <tr r="G11" s="16"/>
      </tp>
      <tp>
        <v>5.9885999999999999</v>
        <stp/>
        <stp>FWRC1#EURINR#Month End Rates#0#Ask%2</stp>
        <tr r="C11" s="16"/>
      </tp>
      <tp>
        <v>71.013400000000004</v>
        <stp/>
        <stp>FWRC1#JPYINR#Month End Rates#0#FwdOutrightAsk8</stp>
        <tr r="H8" s="18"/>
      </tp>
      <tp>
        <v>71.353099999999998</v>
        <stp/>
        <stp>FWRC1#JPYINR#Month End Rates#0#FwdOutrightAsk9</stp>
        <tr r="I8" s="18"/>
      </tp>
      <tp>
        <v>70.038700000000006</v>
        <stp/>
        <stp>FWRC1#JPYINR#Month End Rates#0#FwdOutrightAsk4</stp>
        <tr r="D8" s="18"/>
      </tp>
      <tp>
        <v>70.290000000000006</v>
        <stp/>
        <stp>FWRC1#JPYINR#Month End Rates#0#FwdOutrightAsk5</stp>
        <tr r="E8" s="18"/>
      </tp>
      <tp>
        <v>70.519800000000004</v>
        <stp/>
        <stp>FWRC1#JPYINR#Month End Rates#0#FwdOutrightAsk6</stp>
        <tr r="F8" s="18"/>
      </tp>
      <tp>
        <v>70.768900000000002</v>
        <stp/>
        <stp>FWRC1#JPYINR#Month End Rates#0#FwdOutrightAsk7</stp>
        <tr r="G8" s="18"/>
      </tp>
      <tp>
        <v>69.855999999999995</v>
        <stp/>
        <stp>FWRC1#JPYINR#Month End Rates#0#FwdOutrightAsk1</stp>
        <tr r="C8" s="18"/>
        <tr r="D3" s="7"/>
      </tp>
      <tp>
        <v>69.867199999999997</v>
        <stp/>
        <stp>FWRC1#JPYINR#Month End Rates#0#FwdOutrightAsk3</stp>
        <tr r="F3" s="7"/>
      </tp>
      <tp>
        <v>4.3548</v>
        <stp/>
        <stp>FWRC1#JPYINR#Month End Rates#0#Ask%9</stp>
        <tr r="I11" s="18"/>
      </tp>
      <tp>
        <v>4.1501999999999999</v>
        <stp/>
        <stp>FWRC1#JPYINR#Month End Rates#0#Ask%8</stp>
        <tr r="H11" s="18"/>
      </tp>
      <tp>
        <v>5.7249999999999996</v>
        <stp/>
        <stp>FWRC1#JPYINR#Month End Rates#0#Ask%2</stp>
        <tr r="C11" s="18"/>
      </tp>
      <tp>
        <v>3.9199000000000002</v>
        <stp/>
        <stp>FWRC1#JPYINR#Month End Rates#0#Ask%5</stp>
        <tr r="E11" s="18"/>
      </tp>
      <tp>
        <v>3.5270999999999999</v>
        <stp/>
        <stp>FWRC1#JPYINR#Month End Rates#0#Ask%4</stp>
        <tr r="D11" s="18"/>
      </tp>
      <tp>
        <v>4.0852000000000004</v>
        <stp/>
        <stp>FWRC1#JPYINR#Month End Rates#0#Ask%7</stp>
        <tr r="G11" s="18"/>
      </tp>
      <tp>
        <v>3.9491999999999998</v>
        <stp/>
        <stp>FWRC1#JPYINR#Month End Rates#0#Ask%6</stp>
        <tr r="F11" s="18"/>
      </tp>
      <tp>
        <v>3.6509</v>
        <stp/>
        <stp>FWRC1#USDINR#Month End Rates#0#Ask%8</stp>
        <tr r="H11" s="14"/>
      </tp>
      <tp>
        <v>3.6884999999999999</v>
        <stp/>
        <stp>FWRC1#USDINR#Month End Rates#0#Ask%9</stp>
        <tr r="I11" s="14"/>
      </tp>
      <tp>
        <v>5.1961000000000004</v>
        <stp/>
        <stp>FWRC1#USDINR#Month End Rates#0#Ask%2</stp>
        <tr r="C11" s="14"/>
      </tp>
      <tp>
        <v>3.5114999999999998</v>
        <stp/>
        <stp>FWRC1#USDINR#Month End Rates#0#Ask%6</stp>
        <tr r="F11" s="14"/>
      </tp>
      <tp>
        <v>3.6040999999999999</v>
        <stp/>
        <stp>FWRC1#USDINR#Month End Rates#0#Ask%7</stp>
        <tr r="G11" s="14"/>
      </tp>
      <tp>
        <v>3.4722</v>
        <stp/>
        <stp>FWRC1#USDINR#Month End Rates#0#Ask%4</stp>
        <tr r="D11" s="14"/>
      </tp>
      <tp>
        <v>3.4714</v>
        <stp/>
        <stp>FWRC1#USDINR#Month End Rates#0#Ask%5</stp>
        <tr r="E11" s="14"/>
      </tp>
      <tp>
        <v>75.72</v>
        <stp/>
        <stp>FWRC1#USDINR#Month End Rates#0#FwdOutrightAsk8</stp>
        <tr r="H8" s="14"/>
      </tp>
      <tp>
        <v>75.987499999999997</v>
        <stp/>
        <stp>FWRC1#USDINR#Month End Rates#0#FwdOutrightAsk9</stp>
        <tr r="I8" s="14"/>
      </tp>
      <tp>
        <v>74.822500000000005</v>
        <stp/>
        <stp>FWRC1#USDINR#Month End Rates#0#FwdOutrightAsk4</stp>
        <tr r="D8" s="14"/>
      </tp>
      <tp>
        <v>75.042500000000004</v>
        <stp/>
        <stp>FWRC1#USDINR#Month End Rates#0#FwdOutrightAsk5</stp>
        <tr r="E8" s="14"/>
      </tp>
      <tp>
        <v>75.262500000000003</v>
        <stp/>
        <stp>FWRC1#USDINR#Month End Rates#0#FwdOutrightAsk6</stp>
        <tr r="F8" s="14"/>
      </tp>
      <tp>
        <v>75.492500000000007</v>
        <stp/>
        <stp>FWRC1#USDINR#Month End Rates#0#FwdOutrightAsk7</stp>
        <tr r="G8" s="14"/>
      </tp>
      <tp>
        <v>74.632499999999993</v>
        <stp/>
        <stp>FWRC1#USDINR#Month End Rates#0#FwdOutrightAsk1</stp>
        <tr r="D3" s="4"/>
        <tr r="C8" s="14"/>
      </tp>
      <tp>
        <v>74.642499999999998</v>
        <stp/>
        <stp>FWRC1#USDINR#Month End Rates#0#FwdOutrightAsk3</stp>
        <tr r="F3" s="4"/>
      </tp>
      <tp t="s">
        <v>31-Dec-2020</v>
        <stp/>
        <stp>FWRC1#USDINR#Month End Rates#0#S#MonthEndDate9</stp>
        <tr r="I2" s="14"/>
      </tp>
      <tp t="s">
        <v>27-Nov-2020</v>
        <stp/>
        <stp>FWRC1#USDINR#Month End Rates#0#S#MonthEndDate8</stp>
        <tr r="H2" s="14"/>
      </tp>
      <tp t="s">
        <v>29-Oct-2020</v>
        <stp/>
        <stp>FWRC1#USDINR#Month End Rates#0#S#MonthEndDate7</stp>
        <tr r="G2" s="14"/>
      </tp>
      <tp t="s">
        <v>30-Sep-2020</v>
        <stp/>
        <stp>FWRC1#USDINR#Month End Rates#0#S#MonthEndDate6</stp>
        <tr r="F2" s="14"/>
      </tp>
      <tp t="s">
        <v>31-Aug-2020</v>
        <stp/>
        <stp>FWRC1#USDINR#Month End Rates#0#S#MonthEndDate5</stp>
        <tr r="E2" s="14"/>
      </tp>
      <tp t="s">
        <v>31-Jul-2020</v>
        <stp/>
        <stp>FWRC1#USDINR#Month End Rates#0#S#MonthEndDate4</stp>
        <tr r="D2" s="14"/>
      </tp>
      <tp t="s">
        <v>06-Jul-2020</v>
        <stp/>
        <stp>FWRC1#USDINR#Month End Rates#0#S#MonthEndDate2</stp>
        <tr r="C2" s="14"/>
      </tp>
      <tp>
        <v>0.69223000000000001</v>
        <stp/>
        <stp>12#2#1#5903#SAUDUSD#Open</stp>
        <tr r="B15" s="23"/>
      </tp>
      <tp>
        <v>1.1235900000000001</v>
        <stp/>
        <stp>12#2#1#5949#SEURUSD#Open</stp>
        <tr r="B10" s="23"/>
        <tr r="E7" s="10"/>
      </tp>
      <tp>
        <v>1.35625</v>
        <stp/>
        <stp>12#2#1#6069#SUSDCAD#Open</stp>
        <tr r="B14" s="23"/>
      </tp>
      <tp>
        <v>6.11</v>
        <stp/>
        <stp>FWRC1#GBPUSD#Month Wise Rates#0#Close9</stp>
        <tr r="E28" s="23"/>
      </tp>
      <tp>
        <v>4.16</v>
        <stp/>
        <stp>FWRC1#GBPUSD#Month Wise Rates#0#Close8</stp>
        <tr r="D28" s="23"/>
      </tp>
      <tp>
        <v>2.21</v>
        <stp/>
        <stp>FWRC1#GBPUSD#Month Wise Rates#0#Close7</stp>
        <tr r="C28" s="23"/>
      </tp>
      <tp>
        <v>1.2456199999999999</v>
        <stp/>
        <stp>FWRC1#GBPUSD#Month Wise Rates#0#Close0</stp>
        <tr r="M28" s="23"/>
        <tr r="L28" s="23"/>
        <tr r="F28" s="23"/>
        <tr r="I28" s="23"/>
        <tr r="E28" s="23"/>
        <tr r="D28" s="23"/>
        <tr r="B28" s="23"/>
        <tr r="K28" s="23"/>
        <tr r="N28" s="23"/>
        <tr r="H28" s="23"/>
        <tr r="J28" s="23"/>
        <tr r="G28" s="23"/>
        <tr r="C28" s="23"/>
      </tp>
      <tp>
        <v>247.5275</v>
        <stp/>
        <stp>FWRC1#EURINR#Month End Rates#0#Close11</stp>
        <tr r="J20" s="23"/>
      </tp>
      <tp>
        <v>217.4075</v>
        <stp/>
        <stp>FWRC1#EURINR#Month End Rates#0#Close10</stp>
        <tr r="I20" s="23"/>
      </tp>
      <tp>
        <v>321.36500000000001</v>
        <stp/>
        <stp>FWRC1#EURINR#Month End Rates#0#Close13</stp>
        <tr r="L20" s="23"/>
      </tp>
      <tp>
        <v>284.73500000000001</v>
        <stp/>
        <stp>FWRC1#EURINR#Month End Rates#0#Close12</stp>
        <tr r="K20" s="23"/>
      </tp>
      <tp>
        <v>389.99250000000001</v>
        <stp/>
        <stp>FWRC1#EURINR#Month End Rates#0#Close15</stp>
        <tr r="N20" s="23"/>
      </tp>
      <tp>
        <v>353.51499999999999</v>
        <stp/>
        <stp>FWRC1#EURINR#Month End Rates#0#Close14</stp>
        <tr r="M20" s="23"/>
      </tp>
      <tp>
        <v>51.774999999999999</v>
        <stp/>
        <stp>FWRC1#AUDINR#Month Wise Rates#0#Close0</stp>
        <tr r="K25" s="23"/>
        <tr r="H25" s="23"/>
        <tr r="J25" s="23"/>
        <tr r="F25" s="23"/>
        <tr r="I25" s="23"/>
        <tr r="L25" s="23"/>
        <tr r="B25" s="23"/>
        <tr r="E25" s="23"/>
        <tr r="G25" s="23"/>
        <tr r="M25" s="23"/>
        <tr r="N25" s="23"/>
        <tr r="D25" s="23"/>
        <tr r="C25" s="23"/>
      </tp>
      <tp>
        <v>1498.0454999999999</v>
        <stp/>
        <stp>FWRC1#AUDINR#Month Wise Rates#0#Close7</stp>
        <tr r="C25" s="23"/>
      </tp>
      <tp>
        <v>4651.6188000000002</v>
        <stp/>
        <stp>FWRC1#AUDINR#Month Wise Rates#0#Close9</stp>
        <tr r="E25" s="23"/>
      </tp>
      <tp>
        <v>3133.4535000000001</v>
        <stp/>
        <stp>FWRC1#AUDINR#Month Wise Rates#0#Close8</stp>
        <tr r="D25" s="23"/>
      </tp>
      <tp t="s">
        <v>07-Dec-2020</v>
        <stp/>
        <stp>FWRC1#USDINR#Month Wise Rates#0#S#PillarDate11</stp>
        <tr r="H2" s="15"/>
      </tp>
      <tp t="s">
        <v>06-Nov-2020</v>
        <stp/>
        <stp>FWRC1#USDINR#Month Wise Rates#0#S#PillarDate10</stp>
        <tr r="G2" s="15"/>
      </tp>
      <tp t="s">
        <v>08-Feb-2021</v>
        <stp/>
        <stp>FWRC1#USDINR#Month Wise Rates#0#S#PillarDate13</stp>
        <tr r="J2" s="15"/>
      </tp>
      <tp t="s">
        <v>06-Jan-2021</v>
        <stp/>
        <stp>FWRC1#USDINR#Month Wise Rates#0#S#PillarDate12</stp>
        <tr r="I2" s="15"/>
      </tp>
      <tp t="s">
        <v>06-Apr-2021</v>
        <stp/>
        <stp>FWRC1#USDINR#Month Wise Rates#0#S#PillarDate15</stp>
        <tr r="L2" s="15"/>
      </tp>
      <tp t="s">
        <v>08-Mar-2021</v>
        <stp/>
        <stp>FWRC1#USDINR#Month Wise Rates#0#S#PillarDate14</stp>
        <tr r="K2" s="15"/>
      </tp>
      <tp t="s">
        <v>07-Jun-2021</v>
        <stp/>
        <stp>FWRC1#USDINR#Month Wise Rates#0#S#PillarDate17</stp>
        <tr r="N2" s="15"/>
      </tp>
      <tp t="s">
        <v>06-May-2021</v>
        <stp/>
        <stp>FWRC1#USDINR#Month Wise Rates#0#S#PillarDate16</stp>
        <tr r="M2" s="15"/>
      </tp>
      <tp t="s">
        <v>06-Jul-2021</v>
        <stp/>
        <stp>FWRC1#USDINR#Month Wise Rates#0#S#PillarDate18</stp>
        <tr r="O2" s="15"/>
      </tp>
      <tp>
        <v>3.7307000000000001</v>
        <stp/>
        <stp>FWRC1#GBPINR#Month End Rates#0#Bid%8</stp>
        <tr r="H10" s="17"/>
      </tp>
      <tp>
        <v>3.8454000000000002</v>
        <stp/>
        <stp>FWRC1#GBPINR#Month End Rates#0#Bid%9</stp>
        <tr r="I10" s="17"/>
      </tp>
      <tp>
        <v>1.6143000000000001</v>
        <stp/>
        <stp>FWRC1#GBPINR#Month End Rates#0#Bid%2</stp>
        <tr r="C10" s="17"/>
      </tp>
      <tp>
        <v>3.0181</v>
        <stp/>
        <stp>FWRC1#GBPINR#Month End Rates#0#Bid%4</stp>
        <tr r="D10" s="17"/>
      </tp>
      <tp>
        <v>3.6979000000000002</v>
        <stp/>
        <stp>FWRC1#GBPINR#Month End Rates#0#Bid%5</stp>
        <tr r="E10" s="17"/>
      </tp>
      <tp>
        <v>3.532</v>
        <stp/>
        <stp>FWRC1#GBPINR#Month End Rates#0#Bid%6</stp>
        <tr r="F10" s="17"/>
      </tp>
      <tp>
        <v>3.6730999999999998</v>
        <stp/>
        <stp>FWRC1#GBPINR#Month End Rates#0#Bid%7</stp>
        <tr r="G10" s="17"/>
      </tp>
      <tp>
        <v>4.4989999999999997</v>
        <stp/>
        <stp>FWRC1#EURINR#Month End Rates#0#Bid%9</stp>
        <tr r="I10" s="16"/>
      </tp>
      <tp>
        <v>4.3657000000000004</v>
        <stp/>
        <stp>FWRC1#EURINR#Month End Rates#0#Bid%8</stp>
        <tr r="H10" s="16"/>
      </tp>
      <tp>
        <v>4.2991999999999999</v>
        <stp/>
        <stp>FWRC1#EURINR#Month End Rates#0#Bid%7</stp>
        <tr r="G10" s="16"/>
      </tp>
      <tp>
        <v>4.1284999999999998</v>
        <stp/>
        <stp>FWRC1#EURINR#Month End Rates#0#Bid%6</stp>
        <tr r="F10" s="16"/>
      </tp>
      <tp>
        <v>4.0857999999999999</v>
        <stp/>
        <stp>FWRC1#EURINR#Month End Rates#0#Bid%5</stp>
        <tr r="E10" s="16"/>
      </tp>
      <tp>
        <v>3.5238999999999998</v>
        <stp/>
        <stp>FWRC1#EURINR#Month End Rates#0#Bid%4</stp>
        <tr r="D10" s="16"/>
      </tp>
      <tp>
        <v>2.2675999999999998</v>
        <stp/>
        <stp>FWRC1#EURINR#Month End Rates#0#Bid%2</stp>
        <tr r="C10" s="16"/>
      </tp>
      <tp>
        <v>4.0481999999999996</v>
        <stp/>
        <stp>FWRC1#JPYINR#Month End Rates#0#Bid%8</stp>
        <tr r="H10" s="18"/>
      </tp>
      <tp>
        <v>4.2713999999999999</v>
        <stp/>
        <stp>FWRC1#JPYINR#Month End Rates#0#Bid%9</stp>
        <tr r="I10" s="18"/>
      </tp>
      <tp>
        <v>1.8223</v>
        <stp/>
        <stp>FWRC1#JPYINR#Month End Rates#0#Bid%2</stp>
        <tr r="C10" s="18"/>
      </tp>
      <tp>
        <v>3.8357000000000001</v>
        <stp/>
        <stp>FWRC1#JPYINR#Month End Rates#0#Bid%6</stp>
        <tr r="F10" s="18"/>
      </tp>
      <tp>
        <v>3.9636999999999998</v>
        <stp/>
        <stp>FWRC1#JPYINR#Month End Rates#0#Bid%7</stp>
        <tr r="G10" s="18"/>
      </tp>
      <tp>
        <v>3.2402000000000002</v>
        <stp/>
        <stp>FWRC1#JPYINR#Month End Rates#0#Bid%4</stp>
        <tr r="D10" s="18"/>
      </tp>
      <tp>
        <v>3.7505000000000002</v>
        <stp/>
        <stp>FWRC1#JPYINR#Month End Rates#0#Bid%5</stp>
        <tr r="E10" s="18"/>
      </tp>
      <tp>
        <v>3.633</v>
        <stp/>
        <stp>FWRC1#USDINR#Month End Rates#0#Bid%9</stp>
        <tr r="I10" s="14"/>
      </tp>
      <tp>
        <v>3.5825</v>
        <stp/>
        <stp>FWRC1#USDINR#Month End Rates#0#Bid%8</stp>
        <tr r="H10" s="14"/>
      </tp>
      <tp>
        <v>1.5281</v>
        <stp/>
        <stp>FWRC1#USDINR#Month End Rates#0#Bid%2</stp>
        <tr r="C10" s="14"/>
      </tp>
      <tp>
        <v>3.2963</v>
        <stp/>
        <stp>FWRC1#USDINR#Month End Rates#0#Bid%5</stp>
        <tr r="E10" s="14"/>
      </tp>
      <tp>
        <v>3.0806</v>
        <stp/>
        <stp>FWRC1#USDINR#Month End Rates#0#Bid%4</stp>
        <tr r="D10" s="14"/>
      </tp>
      <tp>
        <v>3.5185</v>
        <stp/>
        <stp>FWRC1#USDINR#Month End Rates#0#Bid%7</stp>
        <tr r="G10" s="14"/>
      </tp>
      <tp>
        <v>3.3973</v>
        <stp/>
        <stp>FWRC1#USDINR#Month End Rates#0#Bid%6</stp>
        <tr r="F10" s="14"/>
      </tp>
      <tp>
        <v>107.52200000000001</v>
        <stp/>
        <stp>12#2#1#6069#SUSDJPY#Close</stp>
        <tr r="H9" s="10"/>
      </tp>
      <tp>
        <v>72.897999999999996</v>
        <stp/>
        <stp>FWRC1#JPYINR#Month End Rates#0#FwdOutrightBid15</stp>
        <tr r="O7" s="18"/>
      </tp>
      <tp>
        <v>72.607100000000003</v>
        <stp/>
        <stp>FWRC1#JPYINR#Month End Rates#0#FwdOutrightBid14</stp>
        <tr r="N7" s="18"/>
      </tp>
      <tp>
        <v>71.769800000000004</v>
        <stp/>
        <stp>FWRC1#JPYINR#Month End Rates#0#FwdOutrightBid11</stp>
        <tr r="K7" s="18"/>
      </tp>
      <tp>
        <v>71.534700000000001</v>
        <stp/>
        <stp>FWRC1#JPYINR#Month End Rates#0#FwdOutrightBid10</stp>
        <tr r="J7" s="18"/>
      </tp>
      <tp>
        <v>72.358099999999993</v>
        <stp/>
        <stp>FWRC1#JPYINR#Month End Rates#0#FwdOutrightBid13</stp>
        <tr r="M7" s="18"/>
      </tp>
      <tp>
        <v>72.068200000000004</v>
        <stp/>
        <stp>FWRC1#JPYINR#Month End Rates#0#FwdOutrightBid12</stp>
        <tr r="L7" s="18"/>
      </tp>
      <tp>
        <v>-0.51439999999999997</v>
        <stp/>
        <stp>FWRC1#USDJPY#Month Wise Rates#0#Bid%9</stp>
        <tr r="F10" s="21"/>
      </tp>
      <tp>
        <v>-0.44119999999999998</v>
        <stp/>
        <stp>FWRC1#USDJPY#Month Wise Rates#0#Bid%8</stp>
        <tr r="E10" s="21"/>
      </tp>
      <tp>
        <v>-0.46200000000000002</v>
        <stp/>
        <stp>FWRC1#USDJPY#Month Wise Rates#0#Bid%7</stp>
        <tr r="D10" s="21"/>
      </tp>
      <tp>
        <v>-0.26029999999999998</v>
        <stp/>
        <stp>FWRC1#USDJPY#Month Wise Rates#0#Bid%2</stp>
        <tr r="C10" s="21"/>
      </tp>
      <tp>
        <v>1.1407799999999999</v>
        <stp/>
        <stp>12#2#1#6031#SGBPUSD#52WkLow</stp>
        <tr r="J8" s="10"/>
      </tp>
      <tp>
        <v>19348.05</v>
        <stp/>
        <stp>FWRC1#JPYINR#Month End Rates#0#Close11</stp>
        <tr r="J22" s="23"/>
      </tp>
      <tp>
        <v>16996.66</v>
        <stp/>
        <stp>FWRC1#JPYINR#Month End Rates#0#Close10</stp>
        <tr r="I22" s="23"/>
      </tp>
      <tp>
        <v>25231.145</v>
        <stp/>
        <stp>FWRC1#JPYINR#Month End Rates#0#Close13</stp>
        <tr r="L22" s="23"/>
      </tp>
      <tp>
        <v>22331.7425</v>
        <stp/>
        <stp>FWRC1#JPYINR#Month End Rates#0#Close12</stp>
        <tr r="K22" s="23"/>
      </tp>
      <tp>
        <v>30630.04</v>
        <stp/>
        <stp>FWRC1#JPYINR#Month End Rates#0#Close15</stp>
        <tr r="N22" s="23"/>
      </tp>
      <tp>
        <v>27721.46</v>
        <stp/>
        <stp>FWRC1#JPYINR#Month End Rates#0#Close14</stp>
        <tr r="M22" s="23"/>
      </tp>
      <tp>
        <v>4.5060000000000002</v>
        <stp/>
        <stp>FWRC1#JPYINR#Month End Rates#0#Ask%15</stp>
        <tr r="O11" s="18"/>
      </tp>
      <tp>
        <v>4.4702999999999999</v>
        <stp/>
        <stp>FWRC1#JPYINR#Month End Rates#0#Ask%14</stp>
        <tr r="N11" s="18"/>
      </tp>
      <tp>
        <v>4.4759000000000002</v>
        <stp/>
        <stp>FWRC1#JPYINR#Month End Rates#0#Ask%13</stp>
        <tr r="M11" s="18"/>
      </tp>
      <tp>
        <v>4.4111000000000002</v>
        <stp/>
        <stp>FWRC1#JPYINR#Month End Rates#0#Ask%12</stp>
        <tr r="L11" s="18"/>
      </tp>
      <tp>
        <v>4.3727</v>
        <stp/>
        <stp>FWRC1#JPYINR#Month End Rates#0#Ask%11</stp>
        <tr r="K11" s="18"/>
      </tp>
      <tp>
        <v>4.3697999999999997</v>
        <stp/>
        <stp>FWRC1#JPYINR#Month End Rates#0#Ask%10</stp>
        <tr r="J11" s="18"/>
      </tp>
      <tp>
        <v>4.4570999999999996</v>
        <stp/>
        <stp>FWRC1#JPYINR#Month End Rates#0#Bid%15</stp>
        <tr r="O10" s="18"/>
      </tp>
      <tp>
        <v>4.4016999999999999</v>
        <stp/>
        <stp>FWRC1#JPYINR#Month End Rates#0#Bid%14</stp>
        <tr r="N10" s="18"/>
      </tp>
      <tp>
        <v>4.3010000000000002</v>
        <stp/>
        <stp>FWRC1#JPYINR#Month End Rates#0#Bid%11</stp>
        <tr r="K10" s="18"/>
      </tp>
      <tp>
        <v>4.2893999999999997</v>
        <stp/>
        <stp>FWRC1#JPYINR#Month End Rates#0#Bid%10</stp>
        <tr r="J10" s="18"/>
      </tp>
      <tp>
        <v>4.4230999999999998</v>
        <stp/>
        <stp>FWRC1#JPYINR#Month End Rates#0#Bid%13</stp>
        <tr r="M10" s="18"/>
      </tp>
      <tp>
        <v>4.3529999999999998</v>
        <stp/>
        <stp>FWRC1#JPYINR#Month End Rates#0#Bid%12</stp>
        <tr r="L10" s="18"/>
      </tp>
      <tp t="s">
        <v>06-Jul-2021</v>
        <stp/>
        <stp>FWRC1#GBPUSD#Month Wise Rates#0#S#PillarDate18</stp>
        <tr r="O2" s="20"/>
      </tp>
      <tp t="s">
        <v>06-Apr-2021</v>
        <stp/>
        <stp>FWRC1#GBPUSD#Month Wise Rates#0#S#PillarDate15</stp>
        <tr r="L2" s="20"/>
      </tp>
      <tp t="s">
        <v>08-Mar-2021</v>
        <stp/>
        <stp>FWRC1#GBPUSD#Month Wise Rates#0#S#PillarDate14</stp>
        <tr r="K2" s="20"/>
      </tp>
      <tp t="s">
        <v>07-Jun-2021</v>
        <stp/>
        <stp>FWRC1#GBPUSD#Month Wise Rates#0#S#PillarDate17</stp>
        <tr r="N2" s="20"/>
      </tp>
      <tp t="s">
        <v>06-May-2021</v>
        <stp/>
        <stp>FWRC1#GBPUSD#Month Wise Rates#0#S#PillarDate16</stp>
        <tr r="M2" s="20"/>
      </tp>
      <tp t="s">
        <v>07-Dec-2020</v>
        <stp/>
        <stp>FWRC1#GBPUSD#Month Wise Rates#0#S#PillarDate11</stp>
        <tr r="H2" s="20"/>
      </tp>
      <tp t="s">
        <v>06-Nov-2020</v>
        <stp/>
        <stp>FWRC1#GBPUSD#Month Wise Rates#0#S#PillarDate10</stp>
        <tr r="G2" s="20"/>
      </tp>
      <tp t="s">
        <v>08-Feb-2021</v>
        <stp/>
        <stp>FWRC1#GBPUSD#Month Wise Rates#0#S#PillarDate13</stp>
        <tr r="J2" s="20"/>
      </tp>
      <tp t="s">
        <v>06-Jan-2021</v>
        <stp/>
        <stp>FWRC1#GBPUSD#Month Wise Rates#0#S#PillarDate12</stp>
        <tr r="I2" s="20"/>
      </tp>
      <tp>
        <v>97.003</v>
        <stp/>
        <stp>FWRC1#GBPINR#Month End Rates#0#FwdOutrightAsk13</stp>
        <tr r="M8" s="17"/>
      </tp>
      <tp>
        <v>96.660899999999998</v>
        <stp/>
        <stp>FWRC1#GBPINR#Month End Rates#0#FwdOutrightAsk12</stp>
        <tr r="L8" s="17"/>
      </tp>
      <tp>
        <v>96.299700000000001</v>
        <stp/>
        <stp>FWRC1#GBPINR#Month End Rates#0#FwdOutrightAsk11</stp>
        <tr r="K8" s="17"/>
      </tp>
      <tp>
        <v>96.014600000000002</v>
        <stp/>
        <stp>FWRC1#GBPINR#Month End Rates#0#FwdOutrightAsk10</stp>
        <tr r="J8" s="17"/>
      </tp>
      <tp>
        <v>97.647800000000004</v>
        <stp/>
        <stp>FWRC1#GBPINR#Month End Rates#0#FwdOutrightAsk15</stp>
        <tr r="O8" s="17"/>
      </tp>
      <tp>
        <v>97.305700000000002</v>
        <stp/>
        <stp>FWRC1#GBPINR#Month End Rates#0#FwdOutrightAsk14</stp>
        <tr r="N8" s="17"/>
      </tp>
      <tp>
        <v>95.257400000000004</v>
        <stp/>
        <stp>FWRC1#GBPINR#Month End Rates#0#FwdOutrightBid8</stp>
        <tr r="H7" s="17"/>
      </tp>
      <tp>
        <v>95.636399999999995</v>
        <stp/>
        <stp>FWRC1#GBPINR#Month End Rates#0#FwdOutrightBid9</stp>
        <tr r="I7" s="17"/>
      </tp>
      <tp>
        <v>94.069199999999995</v>
        <stp/>
        <stp>FWRC1#GBPINR#Month End Rates#0#FwdOutrightBid4</stp>
        <tr r="D7" s="17"/>
      </tp>
      <tp>
        <v>94.379300000000001</v>
        <stp/>
        <stp>FWRC1#GBPINR#Month End Rates#0#FwdOutrightBid5</stp>
        <tr r="E7" s="17"/>
      </tp>
      <tp>
        <v>94.656599999999997</v>
        <stp/>
        <stp>FWRC1#GBPINR#Month End Rates#0#FwdOutrightBid6</stp>
        <tr r="F7" s="17"/>
      </tp>
      <tp>
        <v>94.962000000000003</v>
        <stp/>
        <stp>FWRC1#GBPINR#Month End Rates#0#FwdOutrightBid7</stp>
        <tr r="G7" s="17"/>
      </tp>
      <tp>
        <v>93.819599999999994</v>
        <stp/>
        <stp>FWRC1#GBPINR#Month End Rates#0#FwdOutrightBid1</stp>
        <tr r="C7" s="17"/>
        <tr r="D2" s="6"/>
      </tp>
      <tp>
        <v>93.858500000000006</v>
        <stp/>
        <stp>FWRC1#GBPINR#Month End Rates#0#FwdOutrightBid3</stp>
        <tr r="F2" s="6"/>
      </tp>
      <tp>
        <v>0.94538999999999995</v>
        <stp/>
        <stp>12#2#1#6069#SUSDCHF#Open</stp>
        <tr r="B13" s="23"/>
      </tp>
      <tp>
        <v>1.2463299999999999</v>
        <stp/>
        <stp>12#2#1#6031#SGBPUSD#Close</stp>
        <tr r="H8" s="10"/>
      </tp>
      <tp>
        <v>87.240799999999993</v>
        <stp/>
        <stp>FWRC1#EURINR#Month End Rates#0#FwdOutrightAsk11</stp>
        <tr r="K8" s="16"/>
      </tp>
      <tp>
        <v>86.948700000000002</v>
        <stp/>
        <stp>FWRC1#EURINR#Month End Rates#0#FwdOutrightAsk10</stp>
        <tr r="J8" s="16"/>
      </tp>
      <tp>
        <v>88.001199999999997</v>
        <stp/>
        <stp>FWRC1#EURINR#Month End Rates#0#FwdOutrightAsk13</stp>
        <tr r="M8" s="16"/>
      </tp>
      <tp>
        <v>87.615799999999993</v>
        <stp/>
        <stp>FWRC1#EURINR#Month End Rates#0#FwdOutrightAsk12</stp>
        <tr r="L8" s="16"/>
      </tp>
      <tp>
        <v>88.671999999999997</v>
        <stp/>
        <stp>FWRC1#EURINR#Month End Rates#0#FwdOutrightAsk15</stp>
        <tr r="O8" s="16"/>
      </tp>
      <tp>
        <v>88.326700000000002</v>
        <stp/>
        <stp>FWRC1#EURINR#Month End Rates#0#FwdOutrightAsk14</stp>
        <tr r="N8" s="16"/>
      </tp>
      <tp>
        <v>107.569</v>
        <stp/>
        <stp>12#2#1#6069#SUSDJPY#High</stp>
        <tr r="F9" s="10"/>
        <tr r="C12" s="23"/>
      </tp>
      <tp>
        <v>177.25</v>
        <stp/>
        <stp>FWRC1#USDINR#Month End Rates#0#Close11</stp>
        <tr r="J19" s="23"/>
      </tp>
      <tp>
        <v>155.25</v>
        <stp/>
        <stp>FWRC1#USDINR#Month End Rates#0#Close10</stp>
        <tr r="I19" s="23"/>
      </tp>
      <tp>
        <v>232.25</v>
        <stp/>
        <stp>FWRC1#USDINR#Month End Rates#0#Close13</stp>
        <tr r="L19" s="23"/>
      </tp>
      <tp>
        <v>203.25</v>
        <stp/>
        <stp>FWRC1#USDINR#Month End Rates#0#Close12</stp>
        <tr r="K19" s="23"/>
      </tp>
      <tp>
        <v>281</v>
        <stp/>
        <stp>FWRC1#USDINR#Month End Rates#0#Close15</stp>
        <tr r="N19" s="23"/>
      </tp>
      <tp>
        <v>254.5</v>
        <stp/>
        <stp>FWRC1#USDINR#Month End Rates#0#Close14</stp>
        <tr r="M19" s="23"/>
      </tp>
      <tp>
        <v>37227.83</v>
        <stp/>
        <stp>FWRC1#GBPINR#Month End Rates#0#AskPrice15</stp>
        <tr r="O5" s="17"/>
      </tp>
      <tp>
        <v>33807.455000000002</v>
        <stp/>
        <stp>FWRC1#GBPINR#Month End Rates#0#AskPrice14</stp>
        <tr r="N5" s="17"/>
      </tp>
      <tp>
        <v>30779.685000000001</v>
        <stp/>
        <stp>FWRC1#GBPINR#Month End Rates#0#AskPrice13</stp>
        <tr r="M5" s="17"/>
      </tp>
      <tp>
        <v>27359.38</v>
        <stp/>
        <stp>FWRC1#GBPINR#Month End Rates#0#AskPrice12</stp>
        <tr r="L5" s="17"/>
      </tp>
      <tp>
        <v>23746.732499999998</v>
        <stp/>
        <stp>FWRC1#GBPINR#Month End Rates#0#AskPrice11</stp>
        <tr r="K5" s="17"/>
      </tp>
      <tp>
        <v>20895.9175</v>
        <stp/>
        <stp>FWRC1#GBPINR#Month End Rates#0#AskPrice10</stp>
        <tr r="J5" s="17"/>
      </tp>
      <tp>
        <v>36785.782500000001</v>
        <stp/>
        <stp>FWRC1#GBPINR#Month End Rates#0#BidPrice15</stp>
        <tr r="O4" s="17"/>
      </tp>
      <tp>
        <v>33382.622499999998</v>
        <stp/>
        <stp>FWRC1#GBPINR#Month End Rates#0#BidPrice14</stp>
        <tr r="N4" s="17"/>
      </tp>
      <tp>
        <v>23381.177500000002</v>
        <stp/>
        <stp>FWRC1#GBPINR#Month End Rates#0#BidPrice11</stp>
        <tr r="K4" s="17"/>
      </tp>
      <tp>
        <v>20546.665000000001</v>
        <stp/>
        <stp>FWRC1#GBPINR#Month End Rates#0#BidPrice10</stp>
        <tr r="J4" s="17"/>
      </tp>
      <tp>
        <v>30372.6875</v>
        <stp/>
        <stp>FWRC1#GBPINR#Month End Rates#0#BidPrice13</stp>
        <tr r="M4" s="17"/>
      </tp>
      <tp>
        <v>26953.2075</v>
        <stp/>
        <stp>FWRC1#GBPINR#Month End Rates#0#BidPrice12</stp>
        <tr r="L4" s="17"/>
      </tp>
      <tp>
        <v>93.7</v>
        <stp/>
        <stp>35#1#1#6031#FUTCUR#N3#0#XX#Bid</stp>
        <tr r="B4" s="13"/>
      </tp>
      <tp>
        <v>75.265000000000001</v>
        <stp/>
        <stp>35#1#1#6069#FUTCUR#N3#0#XX#Bid</stp>
        <tr r="B2" s="13"/>
      </tp>
      <tp>
        <v>93.45</v>
        <stp/>
        <stp>35#1#1#6031#FUTCUR#N2#0#XX#Bid</stp>
        <tr r="B4" s="12"/>
      </tp>
      <tp>
        <v>75.047499999999999</v>
        <stp/>
        <stp>35#1#1#6069#FUTCUR#N2#0#XX#Bid</stp>
        <tr r="B2" s="12"/>
      </tp>
      <tp>
        <v>93.17</v>
        <stp/>
        <stp>35#1#1#6031#FUTCUR#N1#0#XX#Bid</stp>
        <tr r="B4" s="11"/>
      </tp>
      <tp>
        <v>74.827500000000001</v>
        <stp/>
        <stp>35#1#1#6069#FUTCUR#N1#0#XX#Bid</stp>
        <tr r="B2" s="11"/>
      </tp>
      <tp>
        <v>84.047499999999999</v>
        <stp/>
        <stp>35#1#1#5949#FUTCUR#N1#0#XX#Ask</stp>
        <tr r="C3" s="11"/>
      </tp>
      <tp>
        <v>69.642499999999998</v>
        <stp/>
        <stp>35#1#1#5978#FUTCUR#N1#0#XX#Ask</stp>
        <tr r="C5" s="11"/>
      </tp>
      <tp>
        <v>84.3125</v>
        <stp/>
        <stp>35#1#1#5949#FUTCUR#N2#0#XX#Ask</stp>
        <tr r="C3" s="12"/>
      </tp>
      <tp>
        <v>69.892499999999998</v>
        <stp/>
        <stp>35#1#1#5978#FUTCUR#N2#0#XX#Ask</stp>
        <tr r="C5" s="12"/>
      </tp>
      <tp>
        <v>84.602500000000006</v>
        <stp/>
        <stp>35#1#1#5949#FUTCUR#N3#0#XX#Ask</stp>
        <tr r="C3" s="13"/>
      </tp>
      <tp>
        <v>70.16</v>
        <stp/>
        <stp>35#1#1#5978#FUTCUR#N3#0#XX#Ask</stp>
        <tr r="C5" s="13"/>
      </tp>
      <tp>
        <v>1.1237200000000001</v>
        <stp/>
        <stp>12#2#1#5949#SEURUSD#Close</stp>
        <tr r="H7" s="10"/>
      </tp>
      <tp>
        <v>69.864999999999995</v>
        <stp/>
        <stp>35#1#1#5978#FUTCUR#N2#0#XX#Bid</stp>
        <tr r="B5" s="12"/>
      </tp>
      <tp>
        <v>84.3</v>
        <stp/>
        <stp>35#1#1#5949#FUTCUR#N2#0#XX#Bid</stp>
        <tr r="B3" s="12"/>
      </tp>
      <tp>
        <v>70.099999999999994</v>
        <stp/>
        <stp>35#1#1#5978#FUTCUR#N3#0#XX#Bid</stp>
        <tr r="B5" s="13"/>
      </tp>
      <tp>
        <v>84.58</v>
        <stp/>
        <stp>35#1#1#5949#FUTCUR#N3#0#XX#Bid</stp>
        <tr r="B3" s="13"/>
      </tp>
      <tp>
        <v>69.63</v>
        <stp/>
        <stp>35#1#1#5978#FUTCUR#N1#0#XX#Bid</stp>
        <tr r="B5" s="11"/>
      </tp>
      <tp>
        <v>84.045000000000002</v>
        <stp/>
        <stp>35#1#1#5949#FUTCUR#N1#0#XX#Bid</stp>
        <tr r="B3" s="11"/>
      </tp>
      <tp>
        <v>74.83</v>
        <stp/>
        <stp>35#1#1#6069#FUTCUR#N1#0#XX#Ask</stp>
        <tr r="C2" s="11"/>
      </tp>
      <tp>
        <v>93.18</v>
        <stp/>
        <stp>35#1#1#6031#FUTCUR#N1#0#XX#Ask</stp>
        <tr r="C4" s="11"/>
      </tp>
      <tp>
        <v>75.282499999999999</v>
        <stp/>
        <stp>35#1#1#6069#FUTCUR#N3#0#XX#Ask</stp>
        <tr r="C2" s="13"/>
      </tp>
      <tp>
        <v>93.752499999999998</v>
        <stp/>
        <stp>35#1#1#6031#FUTCUR#N3#0#XX#Ask</stp>
        <tr r="C4" s="13"/>
      </tp>
      <tp>
        <v>75.055000000000007</v>
        <stp/>
        <stp>35#1#1#6069#FUTCUR#N2#0#XX#Ask</stp>
        <tr r="C2" s="12"/>
      </tp>
      <tp>
        <v>93.454999999999998</v>
        <stp/>
        <stp>35#1#1#6031#FUTCUR#N2#0#XX#Ask</stp>
        <tr r="C4" s="12"/>
      </tp>
      <tp>
        <v>389.99250000000001</v>
        <stp/>
        <stp>FWRC1#EURINR#Month End Rates#0#BidPrice15</stp>
        <tr r="O4" s="16"/>
      </tp>
      <tp>
        <v>353.51499999999999</v>
        <stp/>
        <stp>FWRC1#EURINR#Month End Rates#0#BidPrice14</stp>
        <tr r="N4" s="16"/>
      </tp>
      <tp>
        <v>321.36500000000001</v>
        <stp/>
        <stp>FWRC1#EURINR#Month End Rates#0#BidPrice13</stp>
        <tr r="M4" s="16"/>
      </tp>
      <tp>
        <v>284.73500000000001</v>
        <stp/>
        <stp>FWRC1#EURINR#Month End Rates#0#BidPrice12</stp>
        <tr r="L4" s="16"/>
      </tp>
      <tp>
        <v>247.5275</v>
        <stp/>
        <stp>FWRC1#EURINR#Month End Rates#0#BidPrice11</stp>
        <tr r="K4" s="16"/>
      </tp>
      <tp>
        <v>217.4075</v>
        <stp/>
        <stp>FWRC1#EURINR#Month End Rates#0#BidPrice10</stp>
        <tr r="J4" s="16"/>
      </tp>
      <tp>
        <v>394.45</v>
        <stp/>
        <stp>FWRC1#EURINR#Month End Rates#0#AskPrice15</stp>
        <tr r="O5" s="16"/>
      </tp>
      <tp>
        <v>359.92</v>
        <stp/>
        <stp>FWRC1#EURINR#Month End Rates#0#AskPrice14</stp>
        <tr r="N5" s="16"/>
      </tp>
      <tp>
        <v>251.32749999999999</v>
        <stp/>
        <stp>FWRC1#EURINR#Month End Rates#0#AskPrice11</stp>
        <tr r="K5" s="16"/>
      </tp>
      <tp>
        <v>222.12</v>
        <stp/>
        <stp>FWRC1#EURINR#Month End Rates#0#AskPrice10</stp>
        <tr r="J5" s="16"/>
      </tp>
      <tp>
        <v>327.36500000000001</v>
        <stp/>
        <stp>FWRC1#EURINR#Month End Rates#0#AskPrice13</stp>
        <tr r="M5" s="16"/>
      </tp>
      <tp>
        <v>288.83249999999998</v>
        <stp/>
        <stp>FWRC1#EURINR#Month End Rates#0#AskPrice12</stp>
        <tr r="L5" s="16"/>
      </tp>
      <tp>
        <v>101.178</v>
        <stp/>
        <stp>12#2#1#6069#SUSDJPY#52WkLow</stp>
        <tr r="J9" s="10"/>
      </tp>
      <tp>
        <v>3.6674000000000002</v>
        <stp/>
        <stp>FWRC1#USDINR#Month End Rates#0#Bid%10</stp>
        <tr r="J10" s="14"/>
      </tp>
      <tp>
        <v>3.6882000000000001</v>
        <stp/>
        <stp>FWRC1#USDINR#Month End Rates#0#Bid%11</stp>
        <tr r="K10" s="14"/>
      </tp>
      <tp>
        <v>3.7084000000000001</v>
        <stp/>
        <stp>FWRC1#USDINR#Month End Rates#0#Bid%12</stp>
        <tr r="L10" s="14"/>
      </tp>
      <tp>
        <v>3.8109000000000002</v>
        <stp/>
        <stp>FWRC1#USDINR#Month End Rates#0#Bid%13</stp>
        <tr r="M10" s="14"/>
      </tp>
      <tp>
        <v>3.7833000000000001</v>
        <stp/>
        <stp>FWRC1#USDINR#Month End Rates#0#Bid%14</stp>
        <tr r="N10" s="14"/>
      </tp>
      <tp>
        <v>3.8281999999999998</v>
        <stp/>
        <stp>FWRC1#USDINR#Month End Rates#0#Bid%15</stp>
        <tr r="O10" s="14"/>
      </tp>
      <tp>
        <v>3.7454000000000001</v>
        <stp/>
        <stp>FWRC1#USDINR#Month End Rates#0#Ask%12</stp>
        <tr r="L11" s="14"/>
      </tp>
      <tp>
        <v>3.8443000000000001</v>
        <stp/>
        <stp>FWRC1#USDINR#Month End Rates#0#Ask%13</stp>
        <tr r="M11" s="14"/>
      </tp>
      <tp>
        <v>3.7151000000000001</v>
        <stp/>
        <stp>FWRC1#USDINR#Month End Rates#0#Ask%10</stp>
        <tr r="J11" s="14"/>
      </tp>
      <tp>
        <v>3.7303000000000002</v>
        <stp/>
        <stp>FWRC1#USDINR#Month End Rates#0#Ask%11</stp>
        <tr r="K11" s="14"/>
      </tp>
      <tp>
        <v>3.8134999999999999</v>
        <stp/>
        <stp>FWRC1#USDINR#Month End Rates#0#Ask%14</stp>
        <tr r="N11" s="14"/>
      </tp>
      <tp>
        <v>3.8559000000000001</v>
        <stp/>
        <stp>FWRC1#USDINR#Month End Rates#0#Ask%15</stp>
        <tr r="O11" s="14"/>
      </tp>
      <tp t="s">
        <v>12M</v>
        <stp/>
        <stp>FWRC1#GBPUSD#Month Wise Rates#0#S#Desc.18</stp>
        <tr r="O1" s="20"/>
      </tp>
      <tp t="s">
        <v>5M</v>
        <stp/>
        <stp>FWRC1#GBPUSD#Month Wise Rates#0#S#Desc.11</stp>
        <tr r="H1" s="20"/>
      </tp>
      <tp t="s">
        <v>4M</v>
        <stp/>
        <stp>FWRC1#GBPUSD#Month Wise Rates#0#S#Desc.10</stp>
        <tr r="G1" s="20"/>
      </tp>
      <tp t="s">
        <v>7M</v>
        <stp/>
        <stp>FWRC1#GBPUSD#Month Wise Rates#0#S#Desc.13</stp>
        <tr r="J1" s="20"/>
      </tp>
      <tp t="s">
        <v>6M</v>
        <stp/>
        <stp>FWRC1#GBPUSD#Month Wise Rates#0#S#Desc.12</stp>
        <tr r="I1" s="20"/>
      </tp>
      <tp t="s">
        <v>9M</v>
        <stp/>
        <stp>FWRC1#GBPUSD#Month Wise Rates#0#S#Desc.15</stp>
        <tr r="L1" s="20"/>
      </tp>
      <tp t="s">
        <v>8M</v>
        <stp/>
        <stp>FWRC1#GBPUSD#Month Wise Rates#0#S#Desc.14</stp>
        <tr r="K1" s="20"/>
      </tp>
      <tp t="s">
        <v>11M</v>
        <stp/>
        <stp>FWRC1#GBPUSD#Month Wise Rates#0#S#Desc.17</stp>
        <tr r="N1" s="20"/>
      </tp>
      <tp t="s">
        <v>10M</v>
        <stp/>
        <stp>FWRC1#GBPUSD#Month Wise Rates#0#S#Desc.16</stp>
        <tr r="M1" s="20"/>
      </tp>
      <tp>
        <v>78.867500000000007</v>
        <stp/>
        <stp>FWRC1#CHFINR#Month Wise Rates#0#Close0</stp>
        <tr r="C23" s="23"/>
        <tr r="I23" s="23"/>
        <tr r="H23" s="23"/>
        <tr r="M23" s="23"/>
        <tr r="D23" s="23"/>
        <tr r="G23" s="23"/>
        <tr r="L23" s="23"/>
        <tr r="N23" s="23"/>
        <tr r="B23" s="23"/>
        <tr r="J23" s="23"/>
        <tr r="E23" s="23"/>
        <tr r="K23" s="23"/>
        <tr r="F23" s="23"/>
      </tp>
      <tp>
        <v>2884.8283999999999</v>
        <stp/>
        <stp>FWRC1#CHFINR#Month Wise Rates#0#Close7</stp>
        <tr r="C23" s="23"/>
      </tp>
      <tp>
        <v>9078.9467999999997</v>
        <stp/>
        <stp>FWRC1#CHFINR#Month Wise Rates#0#Close9</stp>
        <tr r="E23" s="23"/>
      </tp>
      <tp>
        <v>6056.7835999999998</v>
        <stp/>
        <stp>FWRC1#CHFINR#Month Wise Rates#0#Close8</stp>
        <tr r="D23" s="23"/>
      </tp>
      <tp>
        <v>3.4285999999999999</v>
        <stp/>
        <stp>FWRC1#USDINR#Month Wise Rates#0#Bid%9</stp>
        <tr r="F10" s="15"/>
      </tp>
      <tp>
        <v>3.3325</v>
        <stp/>
        <stp>FWRC1#USDINR#Month Wise Rates#0#Bid%8</stp>
        <tr r="E10" s="15"/>
      </tp>
      <tp>
        <v>3.1560000000000001</v>
        <stp/>
        <stp>FWRC1#USDINR#Month Wise Rates#0#Bid%7</stp>
        <tr r="D10" s="15"/>
      </tp>
      <tp>
        <v>0.40749999999999997</v>
        <stp/>
        <stp>FWRC1#USDINR#Month Wise Rates#0#Bid%2</stp>
        <tr r="C10" s="15"/>
      </tp>
      <tp>
        <v>0.21340000000000001</v>
        <stp/>
        <stp>FWRC1#GBPUSD#Month Wise Rates#0#Ask%8</stp>
        <tr r="E11" s="20"/>
      </tp>
      <tp>
        <v>0.21690000000000001</v>
        <stp/>
        <stp>FWRC1#GBPUSD#Month Wise Rates#0#Ask%9</stp>
        <tr r="F11" s="20"/>
      </tp>
      <tp>
        <v>0.1328</v>
        <stp/>
        <stp>FWRC1#GBPUSD#Month Wise Rates#0#Ask%2</stp>
        <tr r="C11" s="20"/>
      </tp>
      <tp>
        <v>0.23730000000000001</v>
        <stp/>
        <stp>FWRC1#GBPUSD#Month Wise Rates#0#Ask%7</stp>
        <tr r="D11" s="20"/>
      </tp>
      <tp t="s">
        <v>12M</v>
        <stp/>
        <stp>FWRC1#EURUSD#Month Wise Rates#0#S#Desc.18</stp>
        <tr r="O1" s="19"/>
      </tp>
      <tp t="s">
        <v>7M</v>
        <stp/>
        <stp>FWRC1#EURUSD#Month Wise Rates#0#S#Desc.13</stp>
        <tr r="J1" s="19"/>
      </tp>
      <tp t="s">
        <v>6M</v>
        <stp/>
        <stp>FWRC1#EURUSD#Month Wise Rates#0#S#Desc.12</stp>
        <tr r="I1" s="19"/>
      </tp>
      <tp t="s">
        <v>5M</v>
        <stp/>
        <stp>FWRC1#EURUSD#Month Wise Rates#0#S#Desc.11</stp>
        <tr r="H1" s="19"/>
      </tp>
      <tp t="s">
        <v>4M</v>
        <stp/>
        <stp>FWRC1#EURUSD#Month Wise Rates#0#S#Desc.10</stp>
        <tr r="G1" s="19"/>
      </tp>
      <tp t="s">
        <v>11M</v>
        <stp/>
        <stp>FWRC1#EURUSD#Month Wise Rates#0#S#Desc.17</stp>
        <tr r="N1" s="19"/>
      </tp>
      <tp t="s">
        <v>10M</v>
        <stp/>
        <stp>FWRC1#EURUSD#Month Wise Rates#0#S#Desc.16</stp>
        <tr r="M1" s="19"/>
      </tp>
      <tp t="s">
        <v>9M</v>
        <stp/>
        <stp>FWRC1#EURUSD#Month Wise Rates#0#S#Desc.15</stp>
        <tr r="L1" s="19"/>
      </tp>
      <tp t="s">
        <v>8M</v>
        <stp/>
        <stp>FWRC1#EURUSD#Month Wise Rates#0#S#Desc.14</stp>
        <tr r="K1" s="19"/>
      </tp>
      <tp>
        <v>76.667500000000004</v>
        <stp/>
        <stp>FWRC1#USDINR#Month End Rates#0#FwdOutrightBid12</stp>
        <tr r="L7" s="14"/>
      </tp>
      <tp>
        <v>76.957499999999996</v>
        <stp/>
        <stp>FWRC1#USDINR#Month End Rates#0#FwdOutrightBid13</stp>
        <tr r="M7" s="14"/>
      </tp>
      <tp>
        <v>76.1875</v>
        <stp/>
        <stp>FWRC1#USDINR#Month End Rates#0#FwdOutrightBid10</stp>
        <tr r="J7" s="14"/>
      </tp>
      <tp>
        <v>76.407499999999999</v>
        <stp/>
        <stp>FWRC1#USDINR#Month End Rates#0#FwdOutrightBid11</stp>
        <tr r="K7" s="14"/>
      </tp>
      <tp>
        <v>77.165000000000006</v>
        <stp/>
        <stp>FWRC1#USDINR#Month End Rates#0#FwdOutrightBid14</stp>
        <tr r="N7" s="14"/>
      </tp>
      <tp>
        <v>77.430000000000007</v>
        <stp/>
        <stp>FWRC1#USDINR#Month End Rates#0#FwdOutrightBid15</stp>
        <tr r="O7" s="14"/>
      </tp>
      <tp>
        <v>107.52200000000001</v>
        <stp/>
        <stp>12#2#1#6069#SUSDJPY#Open</stp>
        <tr r="E9" s="10"/>
        <tr r="B12" s="23"/>
      </tp>
      <tp>
        <v>95.338999999999999</v>
        <stp/>
        <stp>FWRC1#GBPINR#Month End Rates#0#FwdOutrightAsk8</stp>
        <tr r="H8" s="17"/>
      </tp>
      <tp>
        <v>95.717799999999997</v>
        <stp/>
        <stp>FWRC1#GBPINR#Month End Rates#0#FwdOutrightAsk9</stp>
        <tr r="I8" s="17"/>
      </tp>
      <tp>
        <v>94.138400000000004</v>
        <stp/>
        <stp>FWRC1#GBPINR#Month End Rates#0#FwdOutrightAsk4</stp>
        <tr r="D8" s="17"/>
      </tp>
      <tp>
        <v>94.454400000000007</v>
        <stp/>
        <stp>FWRC1#GBPINR#Month End Rates#0#FwdOutrightAsk5</stp>
        <tr r="E8" s="17"/>
      </tp>
      <tp>
        <v>94.733999999999995</v>
        <stp/>
        <stp>FWRC1#GBPINR#Month End Rates#0#FwdOutrightAsk6</stp>
        <tr r="F8" s="17"/>
      </tp>
      <tp>
        <v>95.041399999999996</v>
        <stp/>
        <stp>FWRC1#GBPINR#Month End Rates#0#FwdOutrightAsk7</stp>
        <tr r="G8" s="17"/>
      </tp>
      <tp>
        <v>93.9084</v>
        <stp/>
        <stp>FWRC1#GBPINR#Month End Rates#0#FwdOutrightAsk1</stp>
        <tr r="D3" s="6"/>
        <tr r="C8" s="17"/>
      </tp>
      <tp>
        <v>93.921700000000001</v>
        <stp/>
        <stp>FWRC1#GBPINR#Month End Rates#0#FwdOutrightAsk3</stp>
        <tr r="F3" s="6"/>
      </tp>
      <tp>
        <v>0.94701999999999997</v>
        <stp/>
        <stp>12#2#1#6069#SUSDCHF#High</stp>
        <tr r="C13" s="23"/>
      </tp>
      <tp>
        <v>0.79410000000000003</v>
        <stp/>
        <stp>FWRC1#EURUSD#Month Wise Rates#0#Ask%8</stp>
        <tr r="E11" s="19"/>
      </tp>
      <tp>
        <v>0.82110000000000005</v>
        <stp/>
        <stp>FWRC1#EURUSD#Month Wise Rates#0#Ask%9</stp>
        <tr r="F11" s="19"/>
      </tp>
      <tp>
        <v>0.35980000000000001</v>
        <stp/>
        <stp>FWRC1#EURUSD#Month Wise Rates#0#Ask%2</stp>
        <tr r="C11" s="19"/>
      </tp>
      <tp>
        <v>0.81479999999999997</v>
        <stp/>
        <stp>FWRC1#EURUSD#Month Wise Rates#0#Ask%7</stp>
        <tr r="D11" s="19"/>
      </tp>
      <tp>
        <v>1.3956999999999999</v>
        <stp/>
        <stp>12#2#1#6069#SUSDSGD#High</stp>
        <tr r="C16" s="23"/>
      </tp>
      <tp>
        <v>0.81220000000000003</v>
        <stp/>
        <stp>FWRC1#EURUSD#Month Wise Rates#0#Bid%9</stp>
        <tr r="F10" s="19"/>
      </tp>
      <tp>
        <v>0.79249999999999998</v>
        <stp/>
        <stp>FWRC1#EURUSD#Month Wise Rates#0#Bid%8</stp>
        <tr r="E10" s="19"/>
      </tp>
      <tp>
        <v>0.2697</v>
        <stp/>
        <stp>FWRC1#EURUSD#Month Wise Rates#0#Bid%2</stp>
        <tr r="C10" s="19"/>
      </tp>
      <tp>
        <v>0.79359999999999997</v>
        <stp/>
        <stp>FWRC1#EURUSD#Month Wise Rates#0#Bid%7</stp>
        <tr r="D10" s="19"/>
      </tp>
      <tp>
        <v>76.4375</v>
        <stp/>
        <stp>FWRC1#USDINR#Month End Rates#0#FwdOutrightAsk11</stp>
        <tr r="K8" s="14"/>
      </tp>
      <tp>
        <v>76.217500000000001</v>
        <stp/>
        <stp>FWRC1#USDINR#Month End Rates#0#FwdOutrightAsk10</stp>
        <tr r="J8" s="14"/>
      </tp>
      <tp>
        <v>76.987499999999997</v>
        <stp/>
        <stp>FWRC1#USDINR#Month End Rates#0#FwdOutrightAsk13</stp>
        <tr r="M8" s="14"/>
      </tp>
      <tp>
        <v>76.697500000000005</v>
        <stp/>
        <stp>FWRC1#USDINR#Month End Rates#0#FwdOutrightAsk12</stp>
        <tr r="L8" s="14"/>
      </tp>
      <tp>
        <v>77.459999999999994</v>
        <stp/>
        <stp>FWRC1#USDINR#Month End Rates#0#FwdOutrightAsk15</stp>
        <tr r="O8" s="14"/>
      </tp>
      <tp>
        <v>77.194999999999993</v>
        <stp/>
        <stp>FWRC1#USDINR#Month End Rates#0#FwdOutrightAsk14</stp>
        <tr r="N8" s="14"/>
      </tp>
      <tp>
        <v>-3.18</v>
        <stp/>
        <stp>FWRC1#USDCAD#Month Wise Rates#0#Close9</stp>
        <tr r="E31" s="23"/>
      </tp>
      <tp>
        <v>-2.42</v>
        <stp/>
        <stp>FWRC1#USDCAD#Month Wise Rates#0#Close8</stp>
        <tr r="D31" s="23"/>
      </tp>
      <tp>
        <v>1.3568</v>
        <stp/>
        <stp>FWRC1#USDCAD#Month Wise Rates#0#Close0</stp>
        <tr r="N31" s="23"/>
        <tr r="L31" s="23"/>
        <tr r="J31" s="23"/>
        <tr r="D31" s="23"/>
        <tr r="B31" s="23"/>
        <tr r="E31" s="23"/>
        <tr r="G31" s="23"/>
        <tr r="H31" s="23"/>
        <tr r="K31" s="23"/>
        <tr r="I31" s="23"/>
        <tr r="F31" s="23"/>
        <tr r="C31" s="23"/>
        <tr r="M31" s="23"/>
      </tp>
      <tp>
        <v>-1.57</v>
        <stp/>
        <stp>FWRC1#USDCAD#Month Wise Rates#0#Close7</stp>
        <tr r="C31" s="23"/>
      </tp>
      <tp t="s">
        <v>06-Jul-2021</v>
        <stp/>
        <stp>FWRC1#EURUSD#Month Wise Rates#0#S#PillarDate18</stp>
        <tr r="O2" s="19"/>
      </tp>
      <tp t="s">
        <v>06-Apr-2021</v>
        <stp/>
        <stp>FWRC1#EURUSD#Month Wise Rates#0#S#PillarDate15</stp>
        <tr r="L2" s="19"/>
      </tp>
      <tp t="s">
        <v>08-Mar-2021</v>
        <stp/>
        <stp>FWRC1#EURUSD#Month Wise Rates#0#S#PillarDate14</stp>
        <tr r="K2" s="19"/>
      </tp>
      <tp t="s">
        <v>07-Jun-2021</v>
        <stp/>
        <stp>FWRC1#EURUSD#Month Wise Rates#0#S#PillarDate17</stp>
        <tr r="N2" s="19"/>
      </tp>
      <tp t="s">
        <v>06-May-2021</v>
        <stp/>
        <stp>FWRC1#EURUSD#Month Wise Rates#0#S#PillarDate16</stp>
        <tr r="M2" s="19"/>
      </tp>
      <tp t="s">
        <v>07-Dec-2020</v>
        <stp/>
        <stp>FWRC1#EURUSD#Month Wise Rates#0#S#PillarDate11</stp>
        <tr r="H2" s="19"/>
      </tp>
      <tp t="s">
        <v>06-Nov-2020</v>
        <stp/>
        <stp>FWRC1#EURUSD#Month Wise Rates#0#S#PillarDate10</stp>
        <tr r="G2" s="19"/>
      </tp>
      <tp t="s">
        <v>08-Feb-2021</v>
        <stp/>
        <stp>FWRC1#EURUSD#Month Wise Rates#0#S#PillarDate13</stp>
        <tr r="J2" s="19"/>
      </tp>
      <tp t="s">
        <v>06-Jan-2021</v>
        <stp/>
        <stp>FWRC1#EURUSD#Month Wise Rates#0#S#PillarDate12</stp>
        <tr r="I2" s="19"/>
      </tp>
      <tp>
        <v>86.169300000000007</v>
        <stp/>
        <stp>FWRC1#EURINR#Month End Rates#0#FwdOutrightBid8</stp>
        <tr r="H7" s="16"/>
      </tp>
      <tp>
        <v>86.569000000000003</v>
        <stp/>
        <stp>FWRC1#EURINR#Month End Rates#0#FwdOutrightBid9</stp>
        <tr r="I7" s="16"/>
      </tp>
      <tp>
        <v>84.914500000000004</v>
        <stp/>
        <stp>FWRC1#EURINR#Month End Rates#0#FwdOutrightBid4</stp>
        <tr r="D7" s="16"/>
      </tp>
      <tp>
        <v>85.241100000000003</v>
        <stp/>
        <stp>FWRC1#EURINR#Month End Rates#0#FwdOutrightBid5</stp>
        <tr r="E7" s="16"/>
      </tp>
      <tp>
        <v>85.534199999999998</v>
        <stp/>
        <stp>FWRC1#EURINR#Month End Rates#0#FwdOutrightBid6</stp>
        <tr r="F7" s="16"/>
      </tp>
      <tp>
        <v>85.857699999999994</v>
        <stp/>
        <stp>FWRC1#EURINR#Month End Rates#0#FwdOutrightBid7</stp>
        <tr r="G7" s="16"/>
      </tp>
      <tp>
        <v>84.654399999999995</v>
        <stp/>
        <stp>FWRC1#EURINR#Month End Rates#0#FwdOutrightBid1</stp>
        <tr r="C7" s="16"/>
        <tr r="D2" s="5"/>
      </tp>
      <tp>
        <v>84.693700000000007</v>
        <stp/>
        <stp>FWRC1#EURINR#Month End Rates#0#FwdOutrightBid3</stp>
        <tr r="F2" s="5"/>
      </tp>
      <tp>
        <v>-9.75</v>
        <stp/>
        <stp>12#1#1#6069#FUSDSGD\05M#LTP</stp>
        <tr r="G33" s="23"/>
      </tp>
      <tp>
        <v>-8.15</v>
        <stp/>
        <stp>12#1#1#6069#FUSDSGD\04M#LTP</stp>
        <tr r="F33" s="23"/>
      </tp>
      <tp>
        <v>-9.4811999999999994</v>
        <stp/>
        <stp>12#1#1#6069#FUSDSGD\07M#LTP</stp>
        <tr r="I33" s="23"/>
      </tp>
      <tp>
        <v>-7.75</v>
        <stp/>
        <stp>12#1#1#6069#FUSDSGD\06M#LTP</stp>
        <tr r="H33" s="23"/>
      </tp>
      <tp>
        <v>-0.79</v>
        <stp/>
        <stp>12#1#1#6069#FUSDSGD\01M#LTP</stp>
        <tr r="C33" s="23"/>
      </tp>
      <tp>
        <v>-3.45</v>
        <stp/>
        <stp>12#1#1#6069#FUSDSGD\03M#LTP</stp>
        <tr r="E33" s="23"/>
      </tp>
      <tp>
        <v>-2.0699999999999998</v>
        <stp/>
        <stp>12#1#1#6069#FUSDSGD\02M#LTP</stp>
        <tr r="D33" s="23"/>
      </tp>
      <tp>
        <v>-12.62</v>
        <stp/>
        <stp>12#1#1#6069#FUSDSGD\09M#LTP</stp>
        <tr r="K33" s="23"/>
      </tp>
      <tp>
        <v>-10.996</v>
        <stp/>
        <stp>12#1#1#6069#FUSDSGD\08M#LTP</stp>
        <tr r="J33" s="23"/>
      </tp>
      <tp>
        <v>3.4857</v>
        <stp/>
        <stp>FWRC1#USDINR#Month Wise Rates#0#Ask%8</stp>
        <tr r="E11" s="15"/>
      </tp>
      <tp>
        <v>3.5354000000000001</v>
        <stp/>
        <stp>FWRC1#USDINR#Month Wise Rates#0#Ask%9</stp>
        <tr r="F11" s="15"/>
      </tp>
      <tp>
        <v>3.4719000000000002</v>
        <stp/>
        <stp>FWRC1#USDINR#Month Wise Rates#0#Ask%7</stp>
        <tr r="D11" s="15"/>
      </tp>
      <tp>
        <v>2.0377000000000001</v>
        <stp/>
        <stp>FWRC1#USDINR#Month Wise Rates#0#Ask%2</stp>
        <tr r="C11" s="15"/>
      </tp>
      <tp>
        <v>0.1946</v>
        <stp/>
        <stp>FWRC1#GBPUSD#Month Wise Rates#0#Bid%9</stp>
        <tr r="F10" s="20"/>
      </tp>
      <tp>
        <v>0.19040000000000001</v>
        <stp/>
        <stp>FWRC1#GBPUSD#Month Wise Rates#0#Bid%8</stp>
        <tr r="E10" s="20"/>
      </tp>
      <tp>
        <v>3.5200000000000002E-2</v>
        <stp/>
        <stp>FWRC1#GBPUSD#Month Wise Rates#0#Bid%2</stp>
        <tr r="C10" s="20"/>
      </tp>
      <tp>
        <v>0.20880000000000001</v>
        <stp/>
        <stp>FWRC1#GBPUSD#Month Wise Rates#0#Bid%7</stp>
        <tr r="D10" s="20"/>
      </tp>
      <tp t="s">
        <v>12M</v>
        <stp/>
        <stp>FWRC1#USDINR#Month Wise Rates#0#S#Desc.18</stp>
        <tr r="O1" s="15"/>
      </tp>
      <tp t="s">
        <v>9M</v>
        <stp/>
        <stp>FWRC1#USDINR#Month Wise Rates#0#S#Desc.15</stp>
        <tr r="L1" s="15"/>
      </tp>
      <tp t="s">
        <v>8M</v>
        <stp/>
        <stp>FWRC1#USDINR#Month Wise Rates#0#S#Desc.14</stp>
        <tr r="K1" s="15"/>
      </tp>
      <tp t="s">
        <v>11M</v>
        <stp/>
        <stp>FWRC1#USDINR#Month Wise Rates#0#S#Desc.17</stp>
        <tr r="N1" s="15"/>
      </tp>
      <tp t="s">
        <v>10M</v>
        <stp/>
        <stp>FWRC1#USDINR#Month Wise Rates#0#S#Desc.16</stp>
        <tr r="M1" s="15"/>
      </tp>
      <tp t="s">
        <v>5M</v>
        <stp/>
        <stp>FWRC1#USDINR#Month Wise Rates#0#S#Desc.11</stp>
        <tr r="H1" s="15"/>
      </tp>
      <tp t="s">
        <v>4M</v>
        <stp/>
        <stp>FWRC1#USDINR#Month Wise Rates#0#S#Desc.10</stp>
        <tr r="G1" s="15"/>
      </tp>
      <tp t="s">
        <v>7M</v>
        <stp/>
        <stp>FWRC1#USDINR#Month Wise Rates#0#S#Desc.13</stp>
        <tr r="J1" s="15"/>
      </tp>
      <tp t="s">
        <v>6M</v>
        <stp/>
        <stp>FWRC1#USDINR#Month Wise Rates#0#S#Desc.12</stp>
        <tr r="I1" s="15"/>
      </tp>
      <tp>
        <v>1.24865</v>
        <stp/>
        <stp>12#2#1#6031#SGBPUSD#High</stp>
        <tr r="C11" s="23"/>
        <tr r="F8" s="10"/>
      </tp>
      <tp>
        <v>-16.725300000000001</v>
        <stp/>
        <stp>12#1#1#6069#FUSDSGD\11M#LTP</stp>
        <tr r="M33" s="23"/>
      </tp>
      <tp>
        <v>-14.638999999999999</v>
        <stp/>
        <stp>12#1#1#6069#FUSDSGD\10M#LTP</stp>
        <tr r="L33" s="23"/>
      </tp>
      <tp>
        <v>-18.75</v>
        <stp/>
        <stp>12#1#1#6069#FUSDSGD\12M#LTP</stp>
        <tr r="N33" s="23"/>
      </tp>
      <tp>
        <v>-25.81</v>
        <stp/>
        <stp>FWRC1#USDCHF#Month Wise Rates#0#Close9</stp>
        <tr r="E30" s="23"/>
      </tp>
      <tp>
        <v>-17.440000000000001</v>
        <stp/>
        <stp>FWRC1#USDCHF#Month Wise Rates#0#Close8</stp>
        <tr r="D30" s="23"/>
      </tp>
      <tp>
        <v>53.515000000000001</v>
        <stp/>
        <stp>FWRC1#SGDINR#Month Wise Rates#0#Close0</stp>
        <tr r="L26" s="23"/>
        <tr r="C26" s="23"/>
        <tr r="K26" s="23"/>
        <tr r="B26" s="23"/>
        <tr r="F26" s="23"/>
        <tr r="H26" s="23"/>
        <tr r="I26" s="23"/>
        <tr r="N26" s="23"/>
        <tr r="M26" s="23"/>
        <tr r="J26" s="23"/>
        <tr r="E26" s="23"/>
        <tr r="D26" s="23"/>
        <tr r="G26" s="23"/>
      </tp>
      <tp>
        <v>1432.2909</v>
        <stp/>
        <stp>FWRC1#SGDINR#Month Wise Rates#0#Close7</stp>
        <tr r="C26" s="23"/>
      </tp>
      <tp>
        <v>0.94610000000000005</v>
        <stp/>
        <stp>FWRC1#USDCHF#Month Wise Rates#0#Close0</stp>
        <tr r="E30" s="23"/>
        <tr r="D30" s="23"/>
        <tr r="J30" s="23"/>
        <tr r="C30" s="23"/>
        <tr r="M30" s="23"/>
        <tr r="N30" s="23"/>
        <tr r="K30" s="23"/>
        <tr r="B30" s="23"/>
        <tr r="G30" s="23"/>
        <tr r="I30" s="23"/>
        <tr r="H30" s="23"/>
        <tr r="L30" s="23"/>
        <tr r="F30" s="23"/>
      </tp>
      <tp>
        <v>4532.6307999999999</v>
        <stp/>
        <stp>FWRC1#SGDINR#Month Wise Rates#0#Close9</stp>
        <tr r="E26" s="23"/>
      </tp>
      <tp>
        <v>2951.4805000000001</v>
        <stp/>
        <stp>FWRC1#SGDINR#Month Wise Rates#0#Close8</stp>
        <tr r="D26" s="23"/>
      </tp>
      <tp>
        <v>-8.6300000000000008</v>
        <stp/>
        <stp>FWRC1#USDCHF#Month Wise Rates#0#Close7</stp>
        <tr r="C30" s="23"/>
      </tp>
      <tp>
        <v>27721.46</v>
        <stp/>
        <stp>FWRC1#JPYINR#Month End Rates#0#BidPrice14</stp>
        <tr r="N4" s="18"/>
      </tp>
      <tp>
        <v>30630.04</v>
        <stp/>
        <stp>FWRC1#JPYINR#Month End Rates#0#BidPrice15</stp>
        <tr r="O4" s="18"/>
      </tp>
      <tp>
        <v>16996.66</v>
        <stp/>
        <stp>FWRC1#JPYINR#Month End Rates#0#BidPrice10</stp>
        <tr r="J4" s="18"/>
      </tp>
      <tp>
        <v>19348.05</v>
        <stp/>
        <stp>FWRC1#JPYINR#Month End Rates#0#BidPrice11</stp>
        <tr r="K4" s="18"/>
      </tp>
      <tp>
        <v>22331.7425</v>
        <stp/>
        <stp>FWRC1#JPYINR#Month End Rates#0#BidPrice12</stp>
        <tr r="L4" s="18"/>
      </tp>
      <tp>
        <v>25231.145</v>
        <stp/>
        <stp>FWRC1#JPYINR#Month End Rates#0#BidPrice13</stp>
        <tr r="M4" s="18"/>
      </tp>
      <tp>
        <v>28139.57</v>
        <stp/>
        <stp>FWRC1#JPYINR#Month End Rates#0#AskPrice14</stp>
        <tr r="N5" s="18"/>
      </tp>
      <tp>
        <v>30950.302500000002</v>
        <stp/>
        <stp>FWRC1#JPYINR#Month End Rates#0#AskPrice15</stp>
        <tr r="O5" s="18"/>
      </tp>
      <tp>
        <v>22618.264999999999</v>
        <stp/>
        <stp>FWRC1#JPYINR#Month End Rates#0#AskPrice12</stp>
        <tr r="L5" s="18"/>
      </tp>
      <tp>
        <v>25519.71</v>
        <stp/>
        <stp>FWRC1#JPYINR#Month End Rates#0#AskPrice13</stp>
        <tr r="M5" s="18"/>
      </tp>
      <tp>
        <v>17306.55</v>
        <stp/>
        <stp>FWRC1#JPYINR#Month End Rates#0#AskPrice10</stp>
        <tr r="J5" s="18"/>
      </tp>
      <tp>
        <v>19660.8125</v>
        <stp/>
        <stp>FWRC1#JPYINR#Month End Rates#0#AskPrice11</stp>
        <tr r="K5" s="18"/>
      </tp>
      <tp>
        <v>75.69</v>
        <stp/>
        <stp>FWRC1#USDINR#Month End Rates#0#FwdOutrightBid8</stp>
        <tr r="H7" s="14"/>
      </tp>
      <tp>
        <v>75.957499999999996</v>
        <stp/>
        <stp>FWRC1#USDINR#Month End Rates#0#FwdOutrightBid9</stp>
        <tr r="I7" s="14"/>
      </tp>
      <tp>
        <v>74.792500000000004</v>
        <stp/>
        <stp>FWRC1#USDINR#Month End Rates#0#FwdOutrightBid4</stp>
        <tr r="D7" s="14"/>
      </tp>
      <tp>
        <v>75.012500000000003</v>
        <stp/>
        <stp>FWRC1#USDINR#Month End Rates#0#FwdOutrightBid5</stp>
        <tr r="E7" s="14"/>
      </tp>
      <tp>
        <v>75.232500000000002</v>
        <stp/>
        <stp>FWRC1#USDINR#Month End Rates#0#FwdOutrightBid6</stp>
        <tr r="F7" s="14"/>
      </tp>
      <tp>
        <v>75.462500000000006</v>
        <stp/>
        <stp>FWRC1#USDINR#Month End Rates#0#FwdOutrightBid7</stp>
        <tr r="G7" s="14"/>
      </tp>
      <tp>
        <v>74.592500000000001</v>
        <stp/>
        <stp>FWRC1#USDINR#Month End Rates#0#FwdOutrightBid1</stp>
        <tr r="D2" s="4"/>
        <tr r="C7" s="14"/>
      </tp>
      <tp>
        <v>74.622500000000002</v>
        <stp/>
        <stp>FWRC1#USDINR#Month End Rates#0#FwdOutrightBid3</stp>
        <tr r="F2" s="4"/>
      </tp>
      <tp>
        <v>55.012500000000003</v>
        <stp/>
        <stp>FWRC1#CADINR#Month Wise Rates#0#Close0</stp>
        <tr r="L24" s="23"/>
        <tr r="G24" s="23"/>
        <tr r="D24" s="23"/>
        <tr r="K24" s="23"/>
        <tr r="C24" s="23"/>
        <tr r="I24" s="23"/>
        <tr r="M24" s="23"/>
        <tr r="J24" s="23"/>
        <tr r="H24" s="23"/>
        <tr r="N24" s="23"/>
        <tr r="E24" s="23"/>
        <tr r="B24" s="23"/>
        <tr r="F24" s="23"/>
      </tp>
      <tp>
        <v>1577.7918999999999</v>
        <stp/>
        <stp>FWRC1#CADINR#Month Wise Rates#0#Close7</stp>
        <tr r="C24" s="23"/>
      </tp>
      <tp>
        <v>4939.7725</v>
        <stp/>
        <stp>FWRC1#CADINR#Month Wise Rates#0#Close9</stp>
        <tr r="E24" s="23"/>
      </tp>
      <tp>
        <v>3301.4322000000002</v>
        <stp/>
        <stp>FWRC1#CADINR#Month Wise Rates#0#Close8</stp>
        <tr r="D24" s="23"/>
      </tp>
      <tp>
        <v>0.69413999999999998</v>
        <stp/>
        <stp>12#2#1#5903#SAUDUSD#High</stp>
        <tr r="C15" s="23"/>
      </tp>
      <tp>
        <v>1.1249199999999999</v>
        <stp/>
        <stp>12#2#1#5949#SEURUSD#High</stp>
        <tr r="C10" s="23"/>
        <tr r="F7" s="10"/>
      </tp>
      <tp>
        <v>1.3577600000000001</v>
        <stp/>
        <stp>12#2#1#6069#SUSDCAD#High</stp>
        <tr r="C14" s="23"/>
      </tp>
      <tp>
        <v>23381.177500000002</v>
        <stp/>
        <stp>FWRC1#GBPINR#Month End Rates#0#Close11</stp>
        <tr r="J21" s="23"/>
      </tp>
      <tp>
        <v>20546.665000000001</v>
        <stp/>
        <stp>FWRC1#GBPINR#Month End Rates#0#Close10</stp>
        <tr r="I21" s="23"/>
      </tp>
      <tp>
        <v>30372.6875</v>
        <stp/>
        <stp>FWRC1#GBPINR#Month End Rates#0#Close13</stp>
        <tr r="L21" s="23"/>
      </tp>
      <tp>
        <v>26953.2075</v>
        <stp/>
        <stp>FWRC1#GBPINR#Month End Rates#0#Close12</stp>
        <tr r="K21" s="23"/>
      </tp>
      <tp>
        <v>36785.782500000001</v>
        <stp/>
        <stp>FWRC1#GBPINR#Month End Rates#0#Close15</stp>
        <tr r="N21" s="23"/>
      </tp>
      <tp>
        <v>33382.622499999998</v>
        <stp/>
        <stp>FWRC1#GBPINR#Month End Rates#0#Close14</stp>
        <tr r="M21" s="23"/>
      </tp>
      <tp>
        <v>70.950900000000004</v>
        <stp/>
        <stp>FWRC1#JPYINR#Month End Rates#0#FwdOutrightBid8</stp>
        <tr r="H7" s="18"/>
      </tp>
      <tp>
        <v>71.290400000000005</v>
        <stp/>
        <stp>FWRC1#JPYINR#Month End Rates#0#FwdOutrightBid9</stp>
        <tr r="I7" s="18"/>
      </tp>
      <tp>
        <v>69.990099999999998</v>
        <stp/>
        <stp>FWRC1#JPYINR#Month End Rates#0#FwdOutrightBid4</stp>
        <tr r="D7" s="18"/>
      </tp>
      <tp>
        <v>70.236999999999995</v>
        <stp/>
        <stp>FWRC1#JPYINR#Month End Rates#0#FwdOutrightBid5</stp>
        <tr r="E7" s="18"/>
      </tp>
      <tp>
        <v>70.466399999999993</v>
        <stp/>
        <stp>FWRC1#JPYINR#Month End Rates#0#FwdOutrightBid6</stp>
        <tr r="F7" s="18"/>
      </tp>
      <tp>
        <v>70.707599999999999</v>
        <stp/>
        <stp>FWRC1#JPYINR#Month End Rates#0#FwdOutrightBid7</stp>
        <tr r="G7" s="18"/>
      </tp>
      <tp>
        <v>69.791200000000003</v>
        <stp/>
        <stp>FWRC1#JPYINR#Month End Rates#0#FwdOutrightBid1</stp>
        <tr r="C7" s="18"/>
        <tr r="D2" s="7"/>
      </tp>
      <tp>
        <v>69.822299999999998</v>
        <stp/>
        <stp>FWRC1#JPYINR#Month End Rates#0#FwdOutrightBid3</stp>
        <tr r="F2" s="7"/>
      </tp>
      <tp>
        <v>22.99</v>
        <stp/>
        <stp>FWRC1#EURUSD#Month Wise Rates#0#Close9</stp>
        <tr r="E27" s="23"/>
      </tp>
      <tp>
        <v>15.603999999999999</v>
        <stp/>
        <stp>FWRC1#EURUSD#Month Wise Rates#0#Close8</stp>
        <tr r="D27" s="23"/>
      </tp>
      <tp>
        <v>7.57</v>
        <stp/>
        <stp>FWRC1#EURUSD#Month Wise Rates#0#Close7</stp>
        <tr r="C27" s="23"/>
      </tp>
      <tp>
        <v>1.1228</v>
        <stp/>
        <stp>FWRC1#EURUSD#Month Wise Rates#0#Close0</stp>
        <tr r="G27" s="23"/>
        <tr r="C27" s="23"/>
        <tr r="H27" s="23"/>
        <tr r="K27" s="23"/>
        <tr r="E27" s="23"/>
        <tr r="B27" s="23"/>
        <tr r="N27" s="23"/>
        <tr r="D27" s="23"/>
        <tr r="L27" s="23"/>
        <tr r="M27" s="23"/>
        <tr r="F27" s="23"/>
        <tr r="I27" s="23"/>
        <tr r="J27" s="23"/>
      </tp>
      <tp>
        <v>1.19</v>
        <stp/>
        <stp>FWRC1#AUDUSD#Month Wise Rates#0#Close9</stp>
        <tr r="E32" s="23"/>
      </tp>
      <tp>
        <v>1.19</v>
        <stp/>
        <stp>FWRC1#AUDUSD#Month Wise Rates#0#Close8</stp>
        <tr r="D32" s="23"/>
      </tp>
      <tp>
        <v>0.79</v>
        <stp/>
        <stp>FWRC1#AUDUSD#Month Wise Rates#0#Close7</stp>
        <tr r="C32" s="23"/>
      </tp>
      <tp>
        <v>0.69389000000000001</v>
        <stp/>
        <stp>FWRC1#AUDUSD#Month Wise Rates#0#Close0</stp>
        <tr r="M32" s="23"/>
        <tr r="C32" s="23"/>
        <tr r="J32" s="23"/>
        <tr r="E32" s="23"/>
        <tr r="G32" s="23"/>
        <tr r="B32" s="23"/>
        <tr r="N32" s="23"/>
        <tr r="L32" s="23"/>
        <tr r="F32" s="23"/>
        <tr r="D32" s="23"/>
        <tr r="H32" s="23"/>
        <tr r="K32" s="23"/>
        <tr r="I32" s="23"/>
      </tp>
      <tp>
        <v>0.42649999999999999</v>
        <stp/>
        <stp>47#5#1#5629#GBP1Y.LIBOR#LTP</stp>
        <tr r="I4" s="8"/>
        <tr r="P38" s="23"/>
      </tp>
      <tp>
        <v>-0.23557</v>
        <stp/>
        <stp>47#5#1#5629#EUR1Y.LIBOR#LTP</stp>
        <tr r="P37" s="23"/>
        <tr r="I3" s="8"/>
      </tp>
      <tp>
        <v>1.2484999999999999</v>
        <stp/>
        <stp>FWRC1#GBPUSD#Month Wise Rates#0#FwdOutrightAsk18</stp>
        <tr r="O8" s="20"/>
      </tp>
      <tp>
        <v>1.2474000000000001</v>
        <stp/>
        <stp>FWRC1#GBPUSD#Month Wise Rates#0#FwdOutrightAsk12</stp>
        <tr r="I8" s="20"/>
      </tp>
      <tp>
        <v>1.2478</v>
        <stp/>
        <stp>FWRC1#GBPUSD#Month Wise Rates#0#FwdOutrightAsk13</stp>
        <tr r="J8" s="20"/>
      </tp>
      <tp>
        <v>1.2470000000000001</v>
        <stp/>
        <stp>FWRC1#GBPUSD#Month Wise Rates#0#FwdOutrightAsk10</stp>
        <tr r="G8" s="20"/>
      </tp>
      <tp>
        <v>1.2467999999999999</v>
        <stp/>
        <stp>FWRC1#GBPUSD#Month Wise Rates#0#FwdOutrightAsk11</stp>
        <tr r="H8" s="20"/>
      </tp>
      <tp>
        <v>1.2481</v>
        <stp/>
        <stp>FWRC1#GBPUSD#Month Wise Rates#0#FwdOutrightAsk16</stp>
        <tr r="M8" s="20"/>
      </tp>
      <tp>
        <v>1.2484</v>
        <stp/>
        <stp>FWRC1#GBPUSD#Month Wise Rates#0#FwdOutrightAsk17</stp>
        <tr r="N8" s="20"/>
      </tp>
      <tp>
        <v>1.2476</v>
        <stp/>
        <stp>FWRC1#GBPUSD#Month Wise Rates#0#FwdOutrightAsk14</stp>
        <tr r="K8" s="20"/>
      </tp>
      <tp>
        <v>1.2478</v>
        <stp/>
        <stp>FWRC1#GBPUSD#Month Wise Rates#0#FwdOutrightAsk15</stp>
        <tr r="L8" s="20"/>
      </tp>
      <tp>
        <v>1.133</v>
        <stp/>
        <stp>FWRC1#EURUSD#Month Wise Rates#0#FwdOutrightAsk18</stp>
        <tr r="O8" s="19"/>
      </tp>
      <tp>
        <v>1.1309</v>
        <stp/>
        <stp>FWRC1#EURUSD#Month Wise Rates#0#FwdOutrightAsk15</stp>
        <tr r="L8" s="19"/>
      </tp>
      <tp>
        <v>1.1296999999999999</v>
        <stp/>
        <stp>FWRC1#EURUSD#Month Wise Rates#0#FwdOutrightAsk14</stp>
        <tr r="K8" s="19"/>
      </tp>
      <tp>
        <v>1.1325000000000001</v>
        <stp/>
        <stp>FWRC1#EURUSD#Month Wise Rates#0#FwdOutrightAsk17</stp>
        <tr r="N8" s="19"/>
      </tp>
      <tp>
        <v>1.1315</v>
        <stp/>
        <stp>FWRC1#EURUSD#Month Wise Rates#0#FwdOutrightAsk16</stp>
        <tr r="M8" s="19"/>
      </tp>
      <tp>
        <v>1.127</v>
        <stp/>
        <stp>FWRC1#EURUSD#Month Wise Rates#0#FwdOutrightAsk11</stp>
        <tr r="H8" s="19"/>
      </tp>
      <tp>
        <v>1.1259999999999999</v>
        <stp/>
        <stp>FWRC1#EURUSD#Month Wise Rates#0#FwdOutrightAsk10</stp>
        <tr r="G8" s="19"/>
      </tp>
      <tp>
        <v>1.1294</v>
        <stp/>
        <stp>FWRC1#EURUSD#Month Wise Rates#0#FwdOutrightAsk13</stp>
        <tr r="J8" s="19"/>
      </tp>
      <tp>
        <v>1.1282000000000001</v>
        <stp/>
        <stp>FWRC1#EURUSD#Month Wise Rates#0#FwdOutrightAsk12</stp>
        <tr r="I8" s="19"/>
      </tp>
      <tp>
        <v>-8.1500000000000003E-2</v>
        <stp/>
        <stp>47#5#1#5629#JPY1W.LIBOR#LTP</stp>
        <tr r="C39" s="23"/>
      </tp>
      <tp>
        <v>0.11071</v>
        <stp/>
        <stp>47#5#1#5629#JPY2W.LIBOR#LTP</stp>
        <tr r="D39" s="23"/>
      </tp>
      <tp>
        <v>0.83313000000000004</v>
        <stp/>
        <stp>47#5#1#5629#GBP11M.LIBOR#LTP</stp>
        <tr r="O38" s="23"/>
      </tp>
      <tp>
        <v>0.77937999999999996</v>
        <stp/>
        <stp>47#5#1#5629#GBP10M.LIBOR#LTP</stp>
        <tr r="N38" s="23"/>
      </tp>
      <tp t="s">
        <v>SGDINRCOMP</v>
        <stp/>
        <stp>17#3#1#6041#SGDINRCOMP#S#Descr.</stp>
        <tr r="A26" s="23"/>
        <tr r="A9" s="23"/>
      </tp>
      <tp>
        <v>8653.9542999999994</v>
        <stp/>
        <stp>FWRC1#GBPINR#Month Wise Rates#0#BidPrice9</stp>
        <tr r="G6" s="22"/>
      </tp>
      <tp>
        <v>5776.9759999999997</v>
        <stp/>
        <stp>FWRC1#GBPINR#Month Wise Rates#0#BidPrice8</stp>
        <tr r="G5" s="22"/>
      </tp>
      <tp>
        <v>93.015000000000001</v>
        <stp/>
        <stp>FWRC1#GBPINR#Month Wise Rates#0#BidPrice0</stp>
        <tr r="G3" s="22"/>
      </tp>
      <tp>
        <v>2750.636</v>
        <stp/>
        <stp>FWRC1#GBPINR#Month Wise Rates#0#BidPrice7</stp>
        <tr r="G4" s="22"/>
      </tp>
      <tp t="s">
        <v>USDINRCOMP</v>
        <stp/>
        <stp>17#1#1#6069#USDINRCOMP#S#Descr.</stp>
        <tr r="A19" s="23"/>
        <tr r="A2" s="23"/>
      </tp>
      <tp>
        <v>8.2879999999999995E-2</v>
        <stp/>
        <stp>47#5#1#5629#USDON.LIBOR#LTP</stp>
        <tr r="B36" s="23"/>
      </tp>
      <tp>
        <v>39.75</v>
        <stp/>
        <stp>FWRC1#USDINR#Month End Rates#0#AskPrice5</stp>
        <tr r="E5" s="14"/>
      </tp>
      <tp>
        <v>61.75</v>
        <stp/>
        <stp>FWRC1#USDINR#Month End Rates#0#AskPrice6</stp>
        <tr r="F5" s="14"/>
      </tp>
      <tp>
        <v>84.75</v>
        <stp/>
        <stp>FWRC1#USDINR#Month End Rates#0#AskPrice7</stp>
        <tr r="G5" s="14"/>
      </tp>
      <tp>
        <v>74.63</v>
        <stp/>
        <stp>FWRC1#USDINR#Month End Rates#0#AskPrice0</stp>
        <tr r="B3" s="4"/>
      </tp>
      <tp>
        <v>4.25</v>
        <stp/>
        <stp>FWRC1#USDINR#Month End Rates#0#AskPrice2</stp>
        <tr r="C3" s="4"/>
      </tp>
      <tp>
        <v>1.25</v>
        <stp/>
        <stp>FWRC1#USDINR#Month End Rates#0#AskPrice3</stp>
        <tr r="E3" s="4"/>
      </tp>
      <tp>
        <v>107.5</v>
        <stp/>
        <stp>FWRC1#USDINR#Month End Rates#0#AskPrice8</stp>
        <tr r="H5" s="14"/>
      </tp>
      <tp>
        <v>134.25</v>
        <stp/>
        <stp>FWRC1#USDINR#Month End Rates#0#AskPrice9</stp>
        <tr r="I5" s="14"/>
      </tp>
      <tp>
        <v>0.36725999999999998</v>
        <stp/>
        <stp>47#5#1#5629#USD5M.LIBOR#LTP</stp>
        <tr r="F2" s="8"/>
        <tr r="I36" s="23"/>
      </tp>
      <tp>
        <v>0.31709999999999999</v>
        <stp/>
        <stp>47#5#1#5629#USD4M.LIBOR#LTP</stp>
        <tr r="H36" s="23"/>
        <tr r="E2" s="8"/>
      </tp>
      <tp>
        <v>0.46740999999999999</v>
        <stp/>
        <stp>47#5#1#5629#USD7M.LIBOR#LTP</stp>
        <tr r="K36" s="23"/>
      </tp>
      <tp>
        <v>0.36613000000000001</v>
        <stp/>
        <stp>47#5#1#5629#USD6M.LIBOR#LTP</stp>
        <tr r="J36" s="23"/>
        <tr r="G2" s="8"/>
      </tp>
      <tp>
        <v>0.16375000000000001</v>
        <stp/>
        <stp>47#5#1#5629#USD1M.LIBOR#LTP</stp>
        <tr r="B2" s="8"/>
        <tr r="E36" s="23"/>
      </tp>
      <tp>
        <v>0.30375000000000002</v>
        <stp/>
        <stp>47#5#1#5629#USD3M.LIBOR#LTP</stp>
        <tr r="D2" s="8"/>
        <tr r="G36" s="23"/>
      </tp>
      <tp>
        <v>0.23375000000000001</v>
        <stp/>
        <stp>47#5#1#5629#USD2M.LIBOR#LTP</stp>
        <tr r="C2" s="8"/>
        <tr r="F36" s="23"/>
      </tp>
      <tp>
        <v>0.55079999999999996</v>
        <stp/>
        <stp>47#5#1#5629#USD9M.LIBOR#LTP</stp>
        <tr r="H2" s="8"/>
        <tr r="M36" s="23"/>
      </tp>
      <tp>
        <v>0.51214999999999999</v>
        <stp/>
        <stp>47#5#1#5629#USD8M.LIBOR#LTP</stp>
        <tr r="L36" s="23"/>
      </tp>
      <tp>
        <v>5294.03</v>
        <stp/>
        <stp>FWRC1#GBPINR#Month End Rates#0#AskPrice5</stp>
        <tr r="E5" s="17"/>
      </tp>
      <tp>
        <v>2133.875</v>
        <stp/>
        <stp>FWRC1#GBPINR#Month End Rates#0#AskPrice4</stp>
        <tr r="D5" s="17"/>
      </tp>
      <tp>
        <v>11164.442499999999</v>
        <stp/>
        <stp>FWRC1#GBPINR#Month End Rates#0#AskPrice7</stp>
        <tr r="G5" s="17"/>
      </tp>
      <tp>
        <v>8089.6025</v>
        <stp/>
        <stp>FWRC1#GBPINR#Month End Rates#0#AskPrice6</stp>
        <tr r="F5" s="17"/>
      </tp>
      <tp>
        <v>93.924999999999997</v>
        <stp/>
        <stp>FWRC1#GBPINR#Month End Rates#0#AskPrice0</stp>
        <tr r="B3" s="6"/>
      </tp>
      <tp>
        <v>164.70070000000001</v>
        <stp/>
        <stp>FWRC1#GBPINR#Month End Rates#0#AskPrice3</stp>
        <tr r="E3" s="6"/>
      </tp>
      <tp>
        <v>553.59169999999995</v>
        <stp/>
        <stp>FWRC1#GBPINR#Month End Rates#0#AskPrice2</stp>
        <tr r="C5" s="17"/>
        <tr r="C3" s="6"/>
      </tp>
      <tp>
        <v>17928.2</v>
        <stp/>
        <stp>FWRC1#GBPINR#Month End Rates#0#AskPrice9</stp>
        <tr r="I5" s="17"/>
      </tp>
      <tp>
        <v>14140.48</v>
        <stp/>
        <stp>FWRC1#GBPINR#Month End Rates#0#AskPrice8</stp>
        <tr r="H5" s="17"/>
      </tp>
      <tp>
        <v>5.5594000000000001</v>
        <stp/>
        <stp>FWRC1#EURINR#Month End Rates#0#AskPrice2</stp>
        <tr r="C5" s="16"/>
        <tr r="C3" s="5"/>
      </tp>
      <tp>
        <v>1.6279999999999999</v>
        <stp/>
        <stp>FWRC1#EURINR#Month End Rates#0#AskPrice3</stp>
        <tr r="E3" s="5"/>
      </tp>
      <tp>
        <v>83.88</v>
        <stp/>
        <stp>FWRC1#EURINR#Month End Rates#0#AskPrice0</stp>
        <tr r="B3" s="5"/>
      </tp>
      <tp>
        <v>84.484999999999999</v>
        <stp/>
        <stp>FWRC1#EURINR#Month End Rates#0#AskPrice6</stp>
        <tr r="F5" s="16"/>
      </tp>
      <tp>
        <v>116.94750000000001</v>
        <stp/>
        <stp>FWRC1#EURINR#Month End Rates#0#AskPrice7</stp>
        <tr r="G5" s="16"/>
      </tp>
      <tp>
        <v>22.145</v>
        <stp/>
        <stp>FWRC1#EURINR#Month End Rates#0#AskPrice4</stp>
        <tr r="D5" s="16"/>
      </tp>
      <tp>
        <v>55.2575</v>
        <stp/>
        <stp>FWRC1#EURINR#Month End Rates#0#AskPrice5</stp>
        <tr r="E5" s="16"/>
      </tp>
      <tp>
        <v>148.51499999999999</v>
        <stp/>
        <stp>FWRC1#EURINR#Month End Rates#0#AskPrice8</stp>
        <tr r="H5" s="16"/>
      </tp>
      <tp>
        <v>188.595</v>
        <stp/>
        <stp>FWRC1#EURINR#Month End Rates#0#AskPrice9</stp>
        <tr r="I5" s="16"/>
      </tp>
      <tp>
        <v>8988.6550000000007</v>
        <stp/>
        <stp>FWRC1#JPYINR#Month End Rates#0#AskPrice7</stp>
        <tr r="G5" s="18"/>
      </tp>
      <tp>
        <v>6498.1875</v>
        <stp/>
        <stp>FWRC1#JPYINR#Month End Rates#0#AskPrice6</stp>
        <tr r="F5" s="18"/>
      </tp>
      <tp>
        <v>4199.9075000000003</v>
        <stp/>
        <stp>FWRC1#JPYINR#Month End Rates#0#AskPrice5</stp>
        <tr r="E5" s="18"/>
      </tp>
      <tp>
        <v>1687.0925</v>
        <stp/>
        <stp>FWRC1#JPYINR#Month End Rates#0#AskPrice4</stp>
        <tr r="D5" s="18"/>
      </tp>
      <tp>
        <v>126.666</v>
        <stp/>
        <stp>FWRC1#JPYINR#Month End Rates#0#AskPrice3</stp>
        <tr r="E3" s="7"/>
      </tp>
      <tp>
        <v>438.13909999999998</v>
        <stp/>
        <stp>FWRC1#JPYINR#Month End Rates#0#AskPrice2</stp>
        <tr r="C3" s="7"/>
        <tr r="C5" s="18"/>
      </tp>
      <tp>
        <v>69.87</v>
        <stp/>
        <stp>FWRC1#JPYINR#Month End Rates#0#AskPrice0</stp>
        <tr r="B3" s="7"/>
      </tp>
      <tp>
        <v>14830.932500000001</v>
        <stp/>
        <stp>FWRC1#JPYINR#Month End Rates#0#AskPrice9</stp>
        <tr r="I5" s="18"/>
      </tp>
      <tp>
        <v>11434.3825</v>
        <stp/>
        <stp>FWRC1#JPYINR#Month End Rates#0#AskPrice8</stp>
        <tr r="H5" s="18"/>
      </tp>
      <tp>
        <v>91.246600000000001</v>
        <stp/>
        <stp>FWRC1#EURINR#Month Wise Rates#0#BidPrice9</stp>
        <tr r="E6" s="22"/>
      </tp>
      <tp>
        <v>60.838500000000003</v>
        <stp/>
        <stp>FWRC1#EURINR#Month Wise Rates#0#BidPrice8</stp>
        <tr r="E5" s="22"/>
      </tp>
      <tp>
        <v>83.864999999999995</v>
        <stp/>
        <stp>FWRC1#EURINR#Month Wise Rates#0#BidPrice0</stp>
        <tr r="E3" s="22"/>
      </tp>
      <tp>
        <v>28.9711</v>
        <stp/>
        <stp>FWRC1#EURINR#Month Wise Rates#0#BidPrice7</stp>
        <tr r="E4" s="22"/>
      </tp>
      <tp>
        <v>69.459999999999994</v>
        <stp/>
        <stp>FWRC1#JPYINR#Month Wise Rates#0#AskPrice0</stp>
        <tr r="J3" s="22"/>
      </tp>
      <tp>
        <v>2390.0466999999999</v>
        <stp/>
        <stp>FWRC1#JPYINR#Month Wise Rates#0#AskPrice7</stp>
        <tr r="J4" s="22"/>
      </tp>
      <tp>
        <v>7194.4224000000004</v>
        <stp/>
        <stp>FWRC1#JPYINR#Month Wise Rates#0#AskPrice9</stp>
        <tr r="J6" s="22"/>
      </tp>
      <tp>
        <v>4810.8023999999996</v>
        <stp/>
        <stp>FWRC1#JPYINR#Month Wise Rates#0#AskPrice8</stp>
        <tr r="J5" s="22"/>
      </tp>
      <tp>
        <v>-0.52</v>
        <stp/>
        <stp>17#1#1#6069#USDINRCOMP#%Chg</stp>
        <tr r="D3" s="10"/>
      </tp>
      <tp>
        <v>0</v>
        <stp/>
        <stp>17#3#1#5949#EURINRCOMP#52WkHigh</stp>
        <tr r="J4" s="10"/>
        <tr r="I4" s="10"/>
      </tp>
      <tp>
        <v>-8.0299999999999994</v>
        <stp/>
        <stp>FWRC1#USDJPY#Month Wise Rates#0#AskPrice8</stp>
        <tr r="P5" s="22"/>
        <tr r="E5" s="21"/>
      </tp>
      <tp>
        <v>-13.69</v>
        <stp/>
        <stp>FWRC1#USDJPY#Month Wise Rates#0#AskPrice9</stp>
        <tr r="P6" s="22"/>
        <tr r="F5" s="21"/>
      </tp>
      <tp>
        <v>-4.12</v>
        <stp/>
        <stp>FWRC1#USDJPY#Month Wise Rates#0#AskPrice7</stp>
        <tr r="D5" s="21"/>
        <tr r="P4" s="22"/>
      </tp>
      <tp>
        <v>-0.03</v>
        <stp/>
        <stp>FWRC1#USDJPY#Month Wise Rates#0#AskPrice2</stp>
        <tr r="C5" s="21"/>
      </tp>
      <tp>
        <v>107.51600000000001</v>
        <stp/>
        <stp>FWRC1#USDJPY#Month Wise Rates#0#AskPrice0</stp>
        <tr r="P3" s="22"/>
      </tp>
      <tp>
        <v>0</v>
        <stp/>
        <stp>17#3#1#5978#JPYINRCOMP#52WkHigh</stp>
        <tr r="I6" s="10"/>
      </tp>
      <tp>
        <v>-13.94</v>
        <stp/>
        <stp>FWRC1#USDJPY#Month Wise Rates#0#BidPrice9</stp>
        <tr r="O6" s="22"/>
        <tr r="F4" s="21"/>
      </tp>
      <tp>
        <v>-8.32</v>
        <stp/>
        <stp>FWRC1#USDJPY#Month Wise Rates#0#BidPrice8</stp>
        <tr r="O5" s="22"/>
        <tr r="E4" s="21"/>
      </tp>
      <tp>
        <v>-4.22</v>
        <stp/>
        <stp>FWRC1#USDJPY#Month Wise Rates#0#BidPrice7</stp>
        <tr r="D4" s="21"/>
        <tr r="O4" s="22"/>
      </tp>
      <tp>
        <v>107.50700000000001</v>
        <stp/>
        <stp>FWRC1#USDJPY#Month Wise Rates#0#BidPrice0</stp>
        <tr r="O3" s="22"/>
      </tp>
      <tp>
        <v>-0.23</v>
        <stp/>
        <stp>FWRC1#USDJPY#Month Wise Rates#0#BidPrice2</stp>
        <tr r="C4" s="21"/>
      </tp>
      <tp>
        <v>82.75</v>
        <stp/>
        <stp>FWRC1#USDINR#Month End Rates#0#BidPrice7</stp>
        <tr r="G4" s="14"/>
      </tp>
      <tp>
        <v>59.75</v>
        <stp/>
        <stp>FWRC1#USDINR#Month End Rates#0#BidPrice6</stp>
        <tr r="F4" s="14"/>
      </tp>
      <tp>
        <v>37.75</v>
        <stp/>
        <stp>FWRC1#USDINR#Month End Rates#0#BidPrice5</stp>
        <tr r="E4" s="14"/>
      </tp>
      <tp>
        <v>15.75</v>
        <stp/>
        <stp>FWRC1#USDINR#Month End Rates#0#BidPrice4</stp>
        <tr r="D5" s="14"/>
        <tr r="D4" s="14"/>
      </tp>
      <tp>
        <v>0.25</v>
        <stp/>
        <stp>FWRC1#USDINR#Month End Rates#0#BidPrice3</stp>
        <tr r="E2" s="4"/>
      </tp>
      <tp>
        <v>1.25</v>
        <stp/>
        <stp>FWRC1#USDINR#Month End Rates#0#BidPrice2</stp>
        <tr r="C2" s="4"/>
        <tr r="C4" s="14"/>
        <tr r="C5" s="14"/>
      </tp>
      <tp>
        <v>74.62</v>
        <stp/>
        <stp>FWRC1#USDINR#Month End Rates#0#BidPrice0</stp>
        <tr r="B2" s="4"/>
      </tp>
      <tp>
        <v>132.25</v>
        <stp/>
        <stp>FWRC1#USDINR#Month End Rates#0#BidPrice9</stp>
        <tr r="I4" s="14"/>
      </tp>
      <tp>
        <v>105.5</v>
        <stp/>
        <stp>FWRC1#USDINR#Month End Rates#0#BidPrice8</stp>
        <tr r="H4" s="14"/>
      </tp>
      <tp>
        <v>7816.4750000000004</v>
        <stp/>
        <stp>FWRC1#GBPINR#Month End Rates#0#BidPrice6</stp>
        <tr r="F4" s="17"/>
      </tp>
      <tp>
        <v>10869.605</v>
        <stp/>
        <stp>FWRC1#GBPINR#Month End Rates#0#BidPrice7</stp>
        <tr r="G4" s="17"/>
      </tp>
      <tp>
        <v>1941.625</v>
        <stp/>
        <stp>FWRC1#GBPINR#Month End Rates#0#BidPrice4</stp>
        <tr r="D4" s="17"/>
      </tp>
      <tp>
        <v>5043.3924999999999</v>
        <stp/>
        <stp>FWRC1#GBPINR#Month End Rates#0#BidPrice5</stp>
        <tr r="E4" s="17"/>
      </tp>
      <tp>
        <v>166.1609</v>
        <stp/>
        <stp>FWRC1#GBPINR#Month End Rates#0#BidPrice2</stp>
        <tr r="C2" s="6"/>
        <tr r="C4" s="17"/>
      </tp>
      <tp>
        <v>32.575699999999998</v>
        <stp/>
        <stp>FWRC1#GBPINR#Month End Rates#0#BidPrice3</stp>
        <tr r="E2" s="6"/>
      </tp>
      <tp>
        <v>93.875</v>
        <stp/>
        <stp>FWRC1#GBPINR#Month End Rates#0#BidPrice0</stp>
        <tr r="B2" s="6"/>
      </tp>
      <tp>
        <v>13824.41</v>
        <stp/>
        <stp>FWRC1#GBPINR#Month End Rates#0#BidPrice8</stp>
        <tr r="H4" s="17"/>
      </tp>
      <tp>
        <v>17613.862499999999</v>
        <stp/>
        <stp>FWRC1#GBPINR#Month End Rates#0#BidPrice9</stp>
        <tr r="I4" s="17"/>
      </tp>
      <tp>
        <v>83.864999999999995</v>
        <stp/>
        <stp>FWRC1#EURINR#Month End Rates#0#BidPrice0</stp>
        <tr r="B2" s="5"/>
      </tp>
      <tp>
        <v>0.44440000000000002</v>
        <stp/>
        <stp>FWRC1#EURINR#Month End Rates#0#BidPrice3</stp>
        <tr r="E2" s="5"/>
      </tp>
      <tp>
        <v>2.1055000000000001</v>
        <stp/>
        <stp>FWRC1#EURINR#Month End Rates#0#BidPrice2</stp>
        <tr r="C4" s="16"/>
        <tr r="C2" s="5"/>
      </tp>
      <tp>
        <v>53.112499999999997</v>
        <stp/>
        <stp>FWRC1#EURINR#Month End Rates#0#BidPrice5</stp>
        <tr r="E4" s="16"/>
      </tp>
      <tp>
        <v>20.45</v>
        <stp/>
        <stp>FWRC1#EURINR#Month End Rates#0#BidPrice4</stp>
        <tr r="D4" s="16"/>
      </tp>
      <tp>
        <v>114.7675</v>
        <stp/>
        <stp>FWRC1#EURINR#Month End Rates#0#BidPrice7</stp>
        <tr r="G4" s="16"/>
      </tp>
      <tp>
        <v>82.417500000000004</v>
        <stp/>
        <stp>FWRC1#EURINR#Month End Rates#0#BidPrice6</stp>
        <tr r="F4" s="16"/>
      </tp>
      <tp>
        <v>185.89500000000001</v>
        <stp/>
        <stp>FWRC1#EURINR#Month End Rates#0#BidPrice9</stp>
        <tr r="I4" s="16"/>
      </tp>
      <tp>
        <v>145.9325</v>
        <stp/>
        <stp>FWRC1#EURINR#Month End Rates#0#BidPrice8</stp>
        <tr r="H4" s="16"/>
      </tp>
      <tp>
        <v>1550.6524999999999</v>
        <stp/>
        <stp>FWRC1#JPYINR#Month End Rates#0#BidPrice4</stp>
        <tr r="D4" s="18"/>
      </tp>
      <tp>
        <v>4020.4074999999998</v>
        <stp/>
        <stp>FWRC1#JPYINR#Month End Rates#0#BidPrice5</stp>
        <tr r="E4" s="18"/>
      </tp>
      <tp>
        <v>6314.4624999999996</v>
        <stp/>
        <stp>FWRC1#JPYINR#Month End Rates#0#BidPrice6</stp>
        <tr r="F4" s="18"/>
      </tp>
      <tp>
        <v>8725.6949999999997</v>
        <stp/>
        <stp>FWRC1#JPYINR#Month End Rates#0#BidPrice7</stp>
        <tr r="G4" s="18"/>
      </tp>
      <tp>
        <v>69.834999999999994</v>
        <stp/>
        <stp>FWRC1#JPYINR#Month End Rates#0#BidPrice0</stp>
        <tr r="B2" s="7"/>
      </tp>
      <tp>
        <v>139.53100000000001</v>
        <stp/>
        <stp>FWRC1#JPYINR#Month End Rates#0#BidPrice2</stp>
        <tr r="C4" s="18"/>
        <tr r="C2" s="7"/>
      </tp>
      <tp>
        <v>28.430700000000002</v>
        <stp/>
        <stp>FWRC1#JPYINR#Month End Rates#0#BidPrice3</stp>
        <tr r="E2" s="7"/>
      </tp>
      <tp>
        <v>11159.0425</v>
        <stp/>
        <stp>FWRC1#JPYINR#Month End Rates#0#BidPrice8</stp>
        <tr r="H4" s="18"/>
      </tp>
      <tp>
        <v>14554.115</v>
        <stp/>
        <stp>FWRC1#JPYINR#Month End Rates#0#BidPrice9</stp>
        <tr r="I4" s="18"/>
      </tp>
      <tp>
        <v>63.293700000000001</v>
        <stp/>
        <stp>FWRC1#EURINR#Month Wise Rates#0#AskPrice8</stp>
        <tr r="F5" s="22"/>
      </tp>
      <tp>
        <v>93.537400000000005</v>
        <stp/>
        <stp>FWRC1#EURINR#Month Wise Rates#0#AskPrice9</stp>
        <tr r="F6" s="22"/>
      </tp>
      <tp>
        <v>83.88</v>
        <stp/>
        <stp>FWRC1#EURINR#Month Wise Rates#0#AskPrice0</stp>
        <tr r="F3" s="22"/>
      </tp>
      <tp>
        <v>31.372399999999999</v>
        <stp/>
        <stp>FWRC1#EURINR#Month Wise Rates#0#AskPrice7</stp>
        <tr r="F4" s="22"/>
      </tp>
      <tp>
        <v>69.435000000000002</v>
        <stp/>
        <stp>FWRC1#JPYINR#Month Wise Rates#0#BidPrice0</stp>
        <tr r="I3" s="22"/>
      </tp>
      <tp>
        <v>2196.7568999999999</v>
        <stp/>
        <stp>FWRC1#JPYINR#Month Wise Rates#0#BidPrice7</stp>
        <tr r="I4" s="22"/>
      </tp>
      <tp>
        <v>4605.1927999999998</v>
        <stp/>
        <stp>FWRC1#JPYINR#Month Wise Rates#0#BidPrice8</stp>
        <tr r="I5" s="22"/>
      </tp>
      <tp>
        <v>6991.0114000000003</v>
        <stp/>
        <stp>FWRC1#JPYINR#Month Wise Rates#0#BidPrice9</stp>
        <tr r="I6" s="22"/>
      </tp>
      <tp>
        <v>6064.0695999999998</v>
        <stp/>
        <stp>FWRC1#GBPINR#Month Wise Rates#0#AskPrice8</stp>
        <tr r="H5" s="22"/>
      </tp>
      <tp>
        <v>8956.3441000000003</v>
        <stp/>
        <stp>FWRC1#GBPINR#Month Wise Rates#0#AskPrice9</stp>
        <tr r="H6" s="22"/>
      </tp>
      <tp>
        <v>93.045000000000002</v>
        <stp/>
        <stp>FWRC1#GBPINR#Month Wise Rates#0#AskPrice0</stp>
        <tr r="H3" s="22"/>
      </tp>
      <tp>
        <v>3022.9879000000001</v>
        <stp/>
        <stp>FWRC1#GBPINR#Month Wise Rates#0#AskPrice7</stp>
        <tr r="H4" s="22"/>
      </tp>
      <tp>
        <v>1.2478</v>
        <stp/>
        <stp>FWRC1#GBPUSD#Month Wise Rates#0#FwdOutrightBid18</stp>
        <tr r="O7" s="20"/>
      </tp>
      <tp>
        <v>1.2465999999999999</v>
        <stp/>
        <stp>FWRC1#GBPUSD#Month Wise Rates#0#FwdOutrightBid11</stp>
        <tr r="H7" s="20"/>
      </tp>
      <tp>
        <v>1.2464</v>
        <stp/>
        <stp>FWRC1#GBPUSD#Month Wise Rates#0#FwdOutrightBid10</stp>
        <tr r="G7" s="20"/>
      </tp>
      <tp>
        <v>1.2472000000000001</v>
        <stp/>
        <stp>FWRC1#GBPUSD#Month Wise Rates#0#FwdOutrightBid13</stp>
        <tr r="J7" s="20"/>
      </tp>
      <tp>
        <v>1.2472000000000001</v>
        <stp/>
        <stp>FWRC1#GBPUSD#Month Wise Rates#0#FwdOutrightBid12</stp>
        <tr r="I7" s="20"/>
      </tp>
      <tp>
        <v>1.2474000000000001</v>
        <stp/>
        <stp>FWRC1#GBPUSD#Month Wise Rates#0#FwdOutrightBid15</stp>
        <tr r="L7" s="20"/>
      </tp>
      <tp>
        <v>1.2473000000000001</v>
        <stp/>
        <stp>FWRC1#GBPUSD#Month Wise Rates#0#FwdOutrightBid14</stp>
        <tr r="K7" s="20"/>
      </tp>
      <tp>
        <v>1.2476</v>
        <stp/>
        <stp>FWRC1#GBPUSD#Month Wise Rates#0#FwdOutrightBid17</stp>
        <tr r="N7" s="20"/>
      </tp>
      <tp>
        <v>1.2475000000000001</v>
        <stp/>
        <stp>FWRC1#GBPUSD#Month Wise Rates#0#FwdOutrightBid16</stp>
        <tr r="M7" s="20"/>
      </tp>
      <tp>
        <v>1.1326000000000001</v>
        <stp/>
        <stp>FWRC1#EURUSD#Month Wise Rates#0#FwdOutrightBid18</stp>
        <tr r="O7" s="19"/>
      </tp>
      <tp>
        <v>1.1309</v>
        <stp/>
        <stp>FWRC1#EURUSD#Month Wise Rates#0#FwdOutrightBid16</stp>
        <tr r="M7" s="19"/>
      </tp>
      <tp>
        <v>1.1317999999999999</v>
        <stp/>
        <stp>FWRC1#EURUSD#Month Wise Rates#0#FwdOutrightBid17</stp>
        <tr r="N7" s="19"/>
      </tp>
      <tp>
        <v>1.1294</v>
        <stp/>
        <stp>FWRC1#EURUSD#Month Wise Rates#0#FwdOutrightBid14</stp>
        <tr r="K7" s="19"/>
      </tp>
      <tp>
        <v>1.1302000000000001</v>
        <stp/>
        <stp>FWRC1#EURUSD#Month Wise Rates#0#FwdOutrightBid15</stp>
        <tr r="L7" s="19"/>
      </tp>
      <tp>
        <v>1.1278999999999999</v>
        <stp/>
        <stp>FWRC1#EURUSD#Month Wise Rates#0#FwdOutrightBid12</stp>
        <tr r="I7" s="19"/>
      </tp>
      <tp>
        <v>1.1287</v>
        <stp/>
        <stp>FWRC1#EURUSD#Month Wise Rates#0#FwdOutrightBid13</stp>
        <tr r="J7" s="19"/>
      </tp>
      <tp>
        <v>1.1258999999999999</v>
        <stp/>
        <stp>FWRC1#EURUSD#Month Wise Rates#0#FwdOutrightBid10</stp>
        <tr r="G7" s="19"/>
      </tp>
      <tp>
        <v>1.1266</v>
        <stp/>
        <stp>FWRC1#EURUSD#Month Wise Rates#0#FwdOutrightBid11</stp>
        <tr r="H7" s="19"/>
      </tp>
      <tp>
        <v>-0.52600000000000002</v>
        <stp/>
        <stp>47#5#1#5629#EUR1W.LIBOR#LTP</stp>
        <tr r="C37" s="23"/>
      </tp>
      <tp>
        <v>4.471E-2</v>
        <stp/>
        <stp>47#5#1#5629#EUR2W.LIBOR#LTP</stp>
        <tr r="D37" s="23"/>
      </tp>
      <tp>
        <v>0</v>
        <stp/>
        <stp>17#3#1#6031#GBPINRCOMP#52WkHigh</stp>
        <tr r="I5" s="10"/>
      </tp>
      <tp>
        <v>0.11117</v>
        <stp/>
        <stp>47#5#1#5629#JPY1Y.LIBOR#LTP</stp>
        <tr r="P39" s="23"/>
        <tr r="I5" s="8"/>
      </tp>
      <tp>
        <v>6.2379999999999998E-2</v>
        <stp/>
        <stp>47#5#1#5629#GBP1W.LIBOR#LTP</stp>
        <tr r="D38" s="23"/>
        <tr r="C38" s="23"/>
      </tp>
      <tp>
        <v>77.483000000000004</v>
        <stp/>
        <stp>FWRC1#USDINR#Month Wise Rates#0#FwdOutrightBid18</stp>
        <tr r="O7" s="15"/>
      </tp>
      <tp>
        <v>76.985600000000005</v>
        <stp/>
        <stp>FWRC1#USDINR#Month Wise Rates#0#FwdOutrightBid16</stp>
        <tr r="M7" s="15"/>
      </tp>
      <tp>
        <v>77.226799999999997</v>
        <stp/>
        <stp>FWRC1#USDINR#Month Wise Rates#0#FwdOutrightBid17</stp>
        <tr r="N7" s="15"/>
      </tp>
      <tp>
        <v>76.4863</v>
        <stp/>
        <stp>FWRC1#USDINR#Month Wise Rates#0#FwdOutrightBid14</stp>
        <tr r="K7" s="15"/>
      </tp>
      <tp>
        <v>76.725499999999997</v>
        <stp/>
        <stp>FWRC1#USDINR#Month Wise Rates#0#FwdOutrightBid15</stp>
        <tr r="L7" s="15"/>
      </tp>
      <tp>
        <v>76.005099999999999</v>
        <stp/>
        <stp>FWRC1#USDINR#Month Wise Rates#0#FwdOutrightBid12</stp>
        <tr r="I7" s="15"/>
      </tp>
      <tp>
        <v>76.266099999999994</v>
        <stp/>
        <stp>FWRC1#USDINR#Month Wise Rates#0#FwdOutrightBid13</stp>
        <tr r="J7" s="15"/>
      </tp>
      <tp>
        <v>75.525300000000001</v>
        <stp/>
        <stp>FWRC1#USDINR#Month Wise Rates#0#FwdOutrightBid10</stp>
        <tr r="G7" s="15"/>
      </tp>
      <tp>
        <v>75.768699999999995</v>
        <stp/>
        <stp>FWRC1#USDINR#Month Wise Rates#0#FwdOutrightBid11</stp>
        <tr r="H7" s="15"/>
      </tp>
      <tp>
        <v>-0.56999999999999995</v>
        <stp/>
        <stp>17#3#1#5978#JPYINRCOMP#%Chg</stp>
        <tr r="D6" s="10"/>
      </tp>
      <tp>
        <v>0.38429000000000002</v>
        <stp/>
        <stp>47#5#1#5629#JPY10M.LIBOR#LTP</stp>
        <tr r="N39" s="23"/>
      </tp>
      <tp>
        <v>0.41143000000000002</v>
        <stp/>
        <stp>47#5#1#5629#JPY11M.LIBOR#LTP</stp>
        <tr r="O39" s="23"/>
      </tp>
      <tp>
        <v>0.53863000000000005</v>
        <stp/>
        <stp>47#5#1#5629#USD1Y.LIBOR#LTP</stp>
        <tr r="P36" s="23"/>
        <tr r="I2" s="8"/>
      </tp>
      <tp>
        <v>0.63939999999999997</v>
        <stp/>
        <stp>47#5#1#5629#USD11M.LIBOR#LTP</stp>
        <tr r="O36" s="23"/>
      </tp>
      <tp>
        <v>0.59025000000000005</v>
        <stp/>
        <stp>47#5#1#5629#USD10M.LIBOR#LTP</stp>
        <tr r="N36" s="23"/>
      </tp>
      <tp>
        <v>106.973</v>
        <stp/>
        <stp>FWRC1#USDJPY#Month Wise Rates#0#FwdOutrightBid15</stp>
        <tr r="L7" s="21"/>
      </tp>
      <tp>
        <v>107.0467</v>
        <stp/>
        <stp>FWRC1#USDJPY#Month Wise Rates#0#FwdOutrightBid14</stp>
        <tr r="K7" s="21"/>
      </tp>
      <tp>
        <v>106.8682</v>
        <stp/>
        <stp>FWRC1#USDJPY#Month Wise Rates#0#FwdOutrightBid17</stp>
        <tr r="N7" s="21"/>
      </tp>
      <tp>
        <v>106.9306</v>
        <stp/>
        <stp>FWRC1#USDJPY#Month Wise Rates#0#FwdOutrightBid16</stp>
        <tr r="M7" s="21"/>
      </tp>
      <tp>
        <v>107.2697</v>
        <stp/>
        <stp>FWRC1#USDJPY#Month Wise Rates#0#FwdOutrightBid11</stp>
        <tr r="H7" s="21"/>
      </tp>
      <tp>
        <v>107.312</v>
        <stp/>
        <stp>FWRC1#USDJPY#Month Wise Rates#0#FwdOutrightBid10</stp>
        <tr r="G7" s="21"/>
      </tp>
      <tp>
        <v>107.0912</v>
        <stp/>
        <stp>FWRC1#USDJPY#Month Wise Rates#0#FwdOutrightBid13</stp>
        <tr r="J7" s="21"/>
      </tp>
      <tp>
        <v>107.1418</v>
        <stp/>
        <stp>FWRC1#USDJPY#Month Wise Rates#0#FwdOutrightBid12</stp>
        <tr r="I7" s="21"/>
      </tp>
      <tp>
        <v>106.806</v>
        <stp/>
        <stp>FWRC1#USDJPY#Month Wise Rates#0#FwdOutrightBid18</stp>
        <tr r="O7" s="21"/>
      </tp>
      <tp t="s">
        <v>JPYINRCOMP</v>
        <stp/>
        <stp>17#3#1#5978#JPYINRCOMP#S#Descr.</stp>
        <tr r="A5" s="23"/>
        <tr r="A22" s="23"/>
      </tp>
      <tp t="s">
        <v>CHFINRCOMP</v>
        <stp/>
        <stp>17#3#1#6056#CHFINRCOMP#S#Descr.</stp>
        <tr r="A23" s="23"/>
        <tr r="A6" s="23"/>
      </tp>
      <tp>
        <v>0.35499999999999998</v>
        <stp/>
        <stp>47#5#1#5629#EUR11M.LIBOR#LTP</stp>
        <tr r="O37" s="23"/>
      </tp>
      <tp>
        <v>0.32429000000000002</v>
        <stp/>
        <stp>47#5#1#5629#EUR10M.LIBOR#LTP</stp>
        <tr r="N37" s="23"/>
      </tp>
      <tp>
        <v>0.56188000000000005</v>
        <stp/>
        <stp>47#5#1#5629#GBP5M.LIBOR#LTP</stp>
        <tr r="F4" s="8"/>
        <tr r="I38" s="23"/>
      </tp>
      <tp>
        <v>0.53</v>
        <stp/>
        <stp>47#5#1#5629#GBP4M.LIBOR#LTP</stp>
        <tr r="H38" s="23"/>
        <tr r="E4" s="8"/>
      </tp>
      <tp>
        <v>0.63688</v>
        <stp/>
        <stp>47#5#1#5629#GBP7M.LIBOR#LTP</stp>
        <tr r="K38" s="23"/>
      </tp>
      <tp>
        <v>0.29249999999999998</v>
        <stp/>
        <stp>47#5#1#5629#GBP6M.LIBOR#LTP</stp>
        <tr r="J38" s="23"/>
        <tr r="G4" s="8"/>
      </tp>
      <tp>
        <v>8.0250000000000002E-2</v>
        <stp/>
        <stp>47#5#1#5629#GBP1M.LIBOR#LTP</stp>
        <tr r="B4" s="8"/>
        <tr r="E38" s="23"/>
      </tp>
      <tp>
        <v>0.13775000000000001</v>
        <stp/>
        <stp>47#5#1#5629#GBP3M.LIBOR#LTP</stp>
        <tr r="G38" s="23"/>
        <tr r="D4" s="8"/>
      </tp>
      <tp>
        <v>0.11713</v>
        <stp/>
        <stp>47#5#1#5629#GBP2M.LIBOR#LTP</stp>
        <tr r="C4" s="8"/>
        <tr r="F38" s="23"/>
      </tp>
      <tp>
        <v>0.73624999999999996</v>
        <stp/>
        <stp>47#5#1#5629#GBP9M.LIBOR#LTP</stp>
        <tr r="M38" s="23"/>
        <tr r="H4" s="8"/>
      </tp>
      <tp>
        <v>0.69438</v>
        <stp/>
        <stp>47#5#1#5629#GBP8M.LIBOR#LTP</stp>
        <tr r="L38" s="23"/>
      </tp>
      <tp>
        <v>-0.92</v>
        <stp/>
        <stp>17#3#1#6031#GBPINRCOMP#%Chg</stp>
        <tr r="D5" s="10"/>
      </tp>
      <tp>
        <v>15.635999999999999</v>
        <stp/>
        <stp>FWRC1#EURUSD#Month Wise Rates#0#AskPrice8</stp>
        <tr r="L5" s="22"/>
        <tr r="E5" s="19"/>
      </tp>
      <tp>
        <v>23.24</v>
        <stp/>
        <stp>FWRC1#EURUSD#Month Wise Rates#0#AskPrice9</stp>
        <tr r="F5" s="19"/>
        <tr r="L6" s="22"/>
      </tp>
      <tp>
        <v>1.1232</v>
        <stp/>
        <stp>FWRC1#EURUSD#Month Wise Rates#0#AskPrice0</stp>
        <tr r="L3" s="22"/>
      </tp>
      <tp>
        <v>0.33200000000000002</v>
        <stp/>
        <stp>FWRC1#EURUSD#Month Wise Rates#0#AskPrice2</stp>
        <tr r="C5" s="19"/>
      </tp>
      <tp>
        <v>7.77</v>
        <stp/>
        <stp>FWRC1#EURUSD#Month Wise Rates#0#AskPrice7</stp>
        <tr r="D5" s="19"/>
        <tr r="L4" s="22"/>
      </tp>
      <tp>
        <v>-0.56499999999999995</v>
        <stp/>
        <stp>47#5#1#5629#EURON.LIBOR#LTP</stp>
        <tr r="B37" s="23"/>
      </tp>
      <tp>
        <v>0.17357</v>
        <stp/>
        <stp>47#5#1#5629#EUR5M.LIBOR#LTP</stp>
        <tr r="F3" s="8"/>
        <tr r="I37" s="23"/>
      </tp>
      <tp>
        <v>0.14713999999999999</v>
        <stp/>
        <stp>47#5#1#5629#EUR4M.LIBOR#LTP</stp>
        <tr r="H37" s="23"/>
        <tr r="E3" s="8"/>
      </tp>
      <tp>
        <v>0.22928999999999999</v>
        <stp/>
        <stp>47#5#1#5629#EUR7M.LIBOR#LTP</stp>
        <tr r="K37" s="23"/>
      </tp>
      <tp>
        <v>-0.33443000000000001</v>
        <stp/>
        <stp>47#5#1#5629#EUR6M.LIBOR#LTP</stp>
        <tr r="J37" s="23"/>
        <tr r="G3" s="8"/>
      </tp>
      <tp>
        <v>-0.49729000000000001</v>
        <stp/>
        <stp>47#5#1#5629#EUR1M.LIBOR#LTP</stp>
        <tr r="B3" s="8"/>
        <tr r="E37" s="23"/>
      </tp>
      <tp>
        <v>-0.39885999999999999</v>
        <stp/>
        <stp>47#5#1#5629#EUR3M.LIBOR#LTP</stp>
        <tr r="G37" s="23"/>
        <tr r="D3" s="8"/>
      </tp>
      <tp>
        <v>-0.44229000000000002</v>
        <stp/>
        <stp>47#5#1#5629#EUR2M.LIBOR#LTP</stp>
        <tr r="F37" s="23"/>
        <tr r="C3" s="8"/>
      </tp>
      <tp>
        <v>0.29357</v>
        <stp/>
        <stp>47#5#1#5629#EUR9M.LIBOR#LTP</stp>
        <tr r="H3" s="8"/>
        <tr r="M37" s="23"/>
      </tp>
      <tp>
        <v>0.26357000000000003</v>
        <stp/>
        <stp>47#5#1#5629#EUR8M.LIBOR#LTP</stp>
        <tr r="L37" s="23"/>
      </tp>
      <tp>
        <v>4.66</v>
        <stp/>
        <stp>FWRC1#GBPUSD#Month Wise Rates#0#AskPrice8</stp>
        <tr r="N5" s="22"/>
        <tr r="E5" s="20"/>
      </tp>
      <tp>
        <v>6.81</v>
        <stp/>
        <stp>FWRC1#GBPUSD#Month Wise Rates#0#AskPrice9</stp>
        <tr r="N6" s="22"/>
        <tr r="F5" s="20"/>
      </tp>
      <tp>
        <v>0.13600000000000001</v>
        <stp/>
        <stp>FWRC1#GBPUSD#Month Wise Rates#0#AskPrice2</stp>
        <tr r="C5" s="20"/>
      </tp>
      <tp>
        <v>1.2457</v>
        <stp/>
        <stp>FWRC1#GBPUSD#Month Wise Rates#0#AskPrice0</stp>
        <tr r="N3" s="22"/>
      </tp>
      <tp>
        <v>2.5099999999999998</v>
        <stp/>
        <stp>FWRC1#GBPUSD#Month Wise Rates#0#AskPrice7</stp>
        <tr r="N4" s="22"/>
        <tr r="D5" s="20"/>
      </tp>
      <tp>
        <v>64.508600000000001</v>
        <stp/>
        <stp>FWRC1#USDINR#Month Wise Rates#0#BidPrice9</stp>
        <tr r="F4" s="15"/>
        <tr r="C6" s="22"/>
      </tp>
      <tp>
        <v>43.616700000000002</v>
        <stp/>
        <stp>FWRC1#USDINR#Month Wise Rates#0#BidPrice8</stp>
        <tr r="E4" s="15"/>
        <tr r="C5" s="22"/>
      </tp>
      <tp>
        <v>20.008099999999999</v>
        <stp/>
        <stp>FWRC1#USDINR#Month Wise Rates#0#BidPrice7</stp>
        <tr r="D4" s="15"/>
        <tr r="C4" s="22"/>
      </tp>
      <tp>
        <v>74.62</v>
        <stp/>
        <stp>FWRC1#USDINR#Month Wise Rates#0#BidPrice0</stp>
        <tr r="C3" s="22"/>
      </tp>
      <tp>
        <v>0.25</v>
        <stp/>
        <stp>FWRC1#USDINR#Month Wise Rates#0#BidPrice2</stp>
        <tr r="C4" s="15"/>
      </tp>
      <tp t="s">
        <v>GBPINRCOMP</v>
        <stp/>
        <stp>17#3#1#6031#GBPINRCOMP#S#Descr.</stp>
        <tr r="A21" s="23"/>
        <tr r="A4" s="23"/>
      </tp>
      <tp>
        <v>5.4879999999999998E-2</v>
        <stp/>
        <stp>47#5#1#5629#GBPON.LIBOR#LTP</stp>
        <tr r="B38" s="23"/>
      </tp>
      <tp t="s">
        <v>AUDINRCOMP</v>
        <stp/>
        <stp>17#3#1#5903#AUDINRCOMP#S#Descr.</stp>
        <tr r="A8" s="23"/>
        <tr r="A25" s="23"/>
      </tp>
      <tp>
        <v>0.21571000000000001</v>
        <stp/>
        <stp>47#5#1#5629#JPY5M.LIBOR#LTP</stp>
        <tr r="F5" s="8"/>
        <tr r="I39" s="23"/>
      </tp>
      <tp>
        <v>0.28571000000000002</v>
        <stp/>
        <stp>47#5#1#5629#JPY7M.LIBOR#LTP</stp>
        <tr r="K39" s="23"/>
      </tp>
      <tp>
        <v>-2.3E-2</v>
        <stp/>
        <stp>47#5#1#5629#JPY6M.LIBOR#LTP</stp>
        <tr r="G5" s="8"/>
        <tr r="J39" s="23"/>
      </tp>
      <tp>
        <v>-7.7170000000000002E-2</v>
        <stp/>
        <stp>47#5#1#5629#JPY1M.LIBOR#LTP</stp>
        <tr r="E39" s="23"/>
        <tr r="B5" s="8"/>
      </tp>
      <tp>
        <v>-4.7E-2</v>
        <stp/>
        <stp>47#5#1#5629#JPY3M.LIBOR#LTP</stp>
        <tr r="D5" s="8"/>
        <tr r="G39" s="23"/>
      </tp>
      <tp>
        <v>-5.3330000000000002E-2</v>
        <stp/>
        <stp>47#5#1#5629#JPY2M.LIBOR#LTP</stp>
        <tr r="C5" s="8"/>
        <tr r="H39" s="23"/>
        <tr r="E5" s="8"/>
        <tr r="F39" s="23"/>
      </tp>
      <tp>
        <v>0.35428999999999999</v>
        <stp/>
        <stp>47#5#1#5629#JPY9M.LIBOR#LTP</stp>
        <tr r="M39" s="23"/>
        <tr r="H5" s="8"/>
      </tp>
      <tp>
        <v>0.32571</v>
        <stp/>
        <stp>47#5#1#5629#JPY8M.LIBOR#LTP</stp>
        <tr r="L39" s="23"/>
      </tp>
      <tp>
        <v>6.11</v>
        <stp/>
        <stp>FWRC1#GBPUSD#Month Wise Rates#0#BidPrice9</stp>
        <tr r="F4" s="20"/>
        <tr r="M6" s="22"/>
      </tp>
      <tp>
        <v>4.16</v>
        <stp/>
        <stp>FWRC1#GBPUSD#Month Wise Rates#0#BidPrice8</stp>
        <tr r="E4" s="20"/>
        <tr r="M5" s="22"/>
      </tp>
      <tp>
        <v>1.2456199999999999</v>
        <stp/>
        <stp>FWRC1#GBPUSD#Month Wise Rates#0#BidPrice0</stp>
        <tr r="M3" s="22"/>
      </tp>
      <tp>
        <v>3.5999999999999997E-2</v>
        <stp/>
        <stp>FWRC1#GBPUSD#Month Wise Rates#0#BidPrice2</stp>
        <tr r="C4" s="20"/>
      </tp>
      <tp>
        <v>2.21</v>
        <stp/>
        <stp>FWRC1#GBPUSD#Month Wise Rates#0#BidPrice7</stp>
        <tr r="D4" s="20"/>
        <tr r="M4" s="22"/>
      </tp>
      <tp>
        <v>45.616700000000002</v>
        <stp/>
        <stp>FWRC1#USDINR#Month Wise Rates#0#AskPrice8</stp>
        <tr r="E5" s="15"/>
        <tr r="D5" s="22"/>
      </tp>
      <tp>
        <v>66.508600000000001</v>
        <stp/>
        <stp>FWRC1#USDINR#Month Wise Rates#0#AskPrice9</stp>
        <tr r="F5" s="15"/>
        <tr r="D6" s="22"/>
      </tp>
      <tp>
        <v>22.008099999999999</v>
        <stp/>
        <stp>FWRC1#USDINR#Month Wise Rates#0#AskPrice7</stp>
        <tr r="D5" s="15"/>
        <tr r="D4" s="22"/>
      </tp>
      <tp>
        <v>1.25</v>
        <stp/>
        <stp>FWRC1#USDINR#Month Wise Rates#0#AskPrice2</stp>
        <tr r="C5" s="15"/>
      </tp>
      <tp>
        <v>74.63</v>
        <stp/>
        <stp>FWRC1#USDINR#Month Wise Rates#0#AskPrice0</stp>
        <tr r="D3" s="22"/>
      </tp>
      <tp>
        <v>-7.3999999999999996E-2</v>
        <stp/>
        <stp>47#5#1#5629#JPYSN.LIBOR#LTP</stp>
        <tr r="B39" s="23"/>
      </tp>
      <tp t="s">
        <v>CADINRCOMP</v>
        <stp/>
        <stp>17#3#1#5921#CADINRCOMP#S#Descr.</stp>
        <tr r="A7" s="23"/>
        <tr r="A24" s="23"/>
      </tp>
      <tp>
        <v>22.99</v>
        <stp/>
        <stp>FWRC1#EURUSD#Month Wise Rates#0#BidPrice9</stp>
        <tr r="F4" s="19"/>
        <tr r="K6" s="22"/>
      </tp>
      <tp>
        <v>15.603999999999999</v>
        <stp/>
        <stp>FWRC1#EURUSD#Month Wise Rates#0#BidPrice8</stp>
        <tr r="K5" s="22"/>
        <tr r="E4" s="19"/>
      </tp>
      <tp>
        <v>0.249</v>
        <stp/>
        <stp>FWRC1#EURUSD#Month Wise Rates#0#BidPrice2</stp>
        <tr r="C4" s="19"/>
      </tp>
      <tp>
        <v>1.1228</v>
        <stp/>
        <stp>FWRC1#EURUSD#Month Wise Rates#0#BidPrice0</stp>
        <tr r="K3" s="22"/>
      </tp>
      <tp>
        <v>7.57</v>
        <stp/>
        <stp>FWRC1#EURUSD#Month Wise Rates#0#BidPrice7</stp>
        <tr r="K4" s="22"/>
        <tr r="D4" s="19"/>
      </tp>
      <tp>
        <v>106.94759999999999</v>
        <stp/>
        <stp>FWRC1#USDJPY#Month Wise Rates#0#FwdOutrightAsk16</stp>
        <tr r="M8" s="21"/>
      </tp>
      <tp>
        <v>106.9432</v>
        <stp/>
        <stp>FWRC1#USDJPY#Month Wise Rates#0#FwdOutrightAsk17</stp>
        <tr r="N8" s="21"/>
      </tp>
      <tp>
        <v>107.08069999999999</v>
        <stp/>
        <stp>FWRC1#USDJPY#Month Wise Rates#0#FwdOutrightAsk14</stp>
        <tr r="K8" s="21"/>
      </tp>
      <tp>
        <v>107.02800000000001</v>
        <stp/>
        <stp>FWRC1#USDJPY#Month Wise Rates#0#FwdOutrightAsk15</stp>
        <tr r="L8" s="21"/>
      </tp>
      <tp>
        <v>107.1718</v>
        <stp/>
        <stp>FWRC1#USDJPY#Month Wise Rates#0#FwdOutrightAsk12</stp>
        <tr r="I8" s="21"/>
      </tp>
      <tp>
        <v>107.12520000000001</v>
        <stp/>
        <stp>FWRC1#USDJPY#Month Wise Rates#0#FwdOutrightAsk13</stp>
        <tr r="J8" s="21"/>
      </tp>
      <tp>
        <v>107.35299999999999</v>
        <stp/>
        <stp>FWRC1#USDJPY#Month Wise Rates#0#FwdOutrightAsk10</stp>
        <tr r="G8" s="21"/>
      </tp>
      <tp>
        <v>107.3147</v>
        <stp/>
        <stp>FWRC1#USDJPY#Month Wise Rates#0#FwdOutrightAsk11</stp>
        <tr r="H8" s="21"/>
      </tp>
      <tp>
        <v>106.866</v>
        <stp/>
        <stp>FWRC1#USDJPY#Month Wise Rates#0#FwdOutrightAsk18</stp>
        <tr r="O8" s="21"/>
      </tp>
      <tp>
        <v>0.10150000000000001</v>
        <stp/>
        <stp>47#5#1#5629#USD1W.LIBOR#LTP</stp>
        <tr r="C36" s="23"/>
      </tp>
      <tp>
        <v>0.17113</v>
        <stp/>
        <stp>47#5#1#5629#USD2W.LIBOR#LTP</stp>
        <tr r="D36" s="23"/>
      </tp>
      <tp t="s">
        <v>EURINRCOMP</v>
        <stp/>
        <stp>17#3#1#5949#EURINRCOMP#S#Descr.</stp>
        <tr r="A3" s="23"/>
        <tr r="A20" s="23"/>
      </tp>
      <tp>
        <v>76.905000000000001</v>
        <stp/>
        <stp>17#1#1#6069#USDINRCOMP#52WkHigh</stp>
        <tr r="I3" s="10"/>
      </tp>
      <tp>
        <v>77.513000000000005</v>
        <stp/>
        <stp>FWRC1#USDINR#Month Wise Rates#0#FwdOutrightAsk18</stp>
        <tr r="O8" s="15"/>
      </tp>
      <tp>
        <v>76.755499999999998</v>
        <stp/>
        <stp>FWRC1#USDINR#Month Wise Rates#0#FwdOutrightAsk15</stp>
        <tr r="L8" s="15"/>
      </tp>
      <tp>
        <v>76.516300000000001</v>
        <stp/>
        <stp>FWRC1#USDINR#Month Wise Rates#0#FwdOutrightAsk14</stp>
        <tr r="K8" s="15"/>
      </tp>
      <tp>
        <v>77.256799999999998</v>
        <stp/>
        <stp>FWRC1#USDINR#Month Wise Rates#0#FwdOutrightAsk17</stp>
        <tr r="N8" s="15"/>
      </tp>
      <tp>
        <v>77.015600000000006</v>
        <stp/>
        <stp>FWRC1#USDINR#Month Wise Rates#0#FwdOutrightAsk16</stp>
        <tr r="M8" s="15"/>
      </tp>
      <tp>
        <v>75.798699999999997</v>
        <stp/>
        <stp>FWRC1#USDINR#Month Wise Rates#0#FwdOutrightAsk11</stp>
        <tr r="H8" s="15"/>
      </tp>
      <tp>
        <v>75.555300000000003</v>
        <stp/>
        <stp>FWRC1#USDINR#Month Wise Rates#0#FwdOutrightAsk10</stp>
        <tr r="G8" s="15"/>
      </tp>
      <tp>
        <v>76.296099999999996</v>
        <stp/>
        <stp>FWRC1#USDINR#Month Wise Rates#0#FwdOutrightAsk13</stp>
        <tr r="J8" s="15"/>
      </tp>
      <tp>
        <v>76.0351</v>
        <stp/>
        <stp>FWRC1#USDINR#Month Wise Rates#0#FwdOutrightAsk12</stp>
        <tr r="I8" s="15"/>
      </tp>
      <tp>
        <v>-1</v>
        <stp/>
        <stp>17#3#1#5949#EURINRCOMP#%Chg</stp>
        <tr r="D4" s="10"/>
      </tp>
      <tp>
        <v>74.622500000000002</v>
        <stp/>
        <stp>FWRC1#USDINR#Month Wise Rates#0#FwdOutrightBid2</stp>
        <tr r="C7" s="15"/>
      </tp>
      <tp>
        <v>74.835099999999997</v>
        <stp/>
        <stp>FWRC1#USDINR#Month Wise Rates#0#FwdOutrightBid7</stp>
        <tr r="D7" s="15"/>
      </tp>
      <tp>
        <v>75.280100000000004</v>
        <stp/>
        <stp>FWRC1#USDINR#Month Wise Rates#0#FwdOutrightBid9</stp>
        <tr r="F7" s="15"/>
      </tp>
      <tp>
        <v>75.071200000000005</v>
        <stp/>
        <stp>FWRC1#USDINR#Month Wise Rates#0#FwdOutrightBid8</stp>
        <tr r="E7" s="15"/>
      </tp>
      <tp>
        <v>107.36960000000001</v>
        <stp/>
        <stp>FWRC1#USDJPY#Month Wise Rates#0#FwdOutrightBid9</stp>
        <tr r="F7" s="21"/>
      </tp>
      <tp>
        <v>107.4268</v>
        <stp/>
        <stp>FWRC1#USDJPY#Month Wise Rates#0#FwdOutrightBid8</stp>
        <tr r="E7" s="21"/>
      </tp>
      <tp>
        <v>107.45780000000001</v>
        <stp/>
        <stp>FWRC1#USDJPY#Month Wise Rates#0#FwdOutrightBid7</stp>
        <tr r="D7" s="21"/>
      </tp>
      <tp>
        <v>107.4973</v>
        <stp/>
        <stp>FWRC1#USDJPY#Month Wise Rates#0#FwdOutrightBid2</stp>
        <tr r="C7" s="21"/>
      </tp>
      <tp>
        <v>15.74</v>
        <stp/>
        <stp>FWRC1#GBPUSD#Month Wise Rates#0#BidPrice13</stp>
        <tr r="J4" s="20"/>
        <tr r="M10" s="22"/>
      </tp>
      <tp>
        <v>14.61</v>
        <stp/>
        <stp>FWRC1#GBPUSD#Month Wise Rates#0#BidPrice12</stp>
        <tr r="I4" s="20"/>
        <tr r="M9" s="22"/>
      </tp>
      <tp>
        <v>8.84</v>
        <stp/>
        <stp>FWRC1#GBPUSD#Month Wise Rates#0#BidPrice11</stp>
        <tr r="M8" s="22"/>
        <tr r="H4" s="20"/>
      </tp>
      <tp>
        <v>7.65</v>
        <stp/>
        <stp>FWRC1#GBPUSD#Month Wise Rates#0#BidPrice10</stp>
        <tr r="G4" s="20"/>
        <tr r="M7" s="22"/>
      </tp>
      <tp>
        <v>20.399999999999999</v>
        <stp/>
        <stp>FWRC1#GBPUSD#Month Wise Rates#0#BidPrice17</stp>
        <tr r="N4" s="20"/>
        <tr r="M14" s="22"/>
      </tp>
      <tp>
        <v>19.7</v>
        <stp/>
        <stp>FWRC1#GBPUSD#Month Wise Rates#0#BidPrice16</stp>
        <tr r="M13" s="22"/>
        <tr r="M4" s="20"/>
      </tp>
      <tp>
        <v>18.899999999999999</v>
        <stp/>
        <stp>FWRC1#GBPUSD#Month Wise Rates#0#BidPrice15</stp>
        <tr r="L4" s="20"/>
        <tr r="M12" s="22"/>
      </tp>
      <tp>
        <v>16.8</v>
        <stp/>
        <stp>FWRC1#GBPUSD#Month Wise Rates#0#BidPrice14</stp>
        <tr r="K4" s="20"/>
        <tr r="M11" s="22"/>
      </tp>
      <tp>
        <v>21.74</v>
        <stp/>
        <stp>FWRC1#GBPUSD#Month Wise Rates#0#BidPrice18</stp>
        <tr r="O4" s="20"/>
        <tr r="M15" s="22"/>
      </tp>
      <tp>
        <v>24.24</v>
        <stp/>
        <stp>FWRC1#GBPUSD#Month Wise Rates#0#AskPrice18</stp>
        <tr r="N15" s="22"/>
        <tr r="O5" s="20"/>
      </tp>
      <tp>
        <v>9.94</v>
        <stp/>
        <stp>FWRC1#GBPUSD#Month Wise Rates#0#AskPrice11</stp>
        <tr r="N8" s="22"/>
        <tr r="H5" s="20"/>
      </tp>
      <tp>
        <v>8.57</v>
        <stp/>
        <stp>FWRC1#GBPUSD#Month Wise Rates#0#AskPrice10</stp>
        <tr r="G5" s="20"/>
        <tr r="N7" s="22"/>
      </tp>
      <tp>
        <v>17.25</v>
        <stp/>
        <stp>FWRC1#GBPUSD#Month Wise Rates#0#AskPrice13</stp>
        <tr r="N10" s="22"/>
        <tr r="J5" s="20"/>
      </tp>
      <tp>
        <v>15.91</v>
        <stp/>
        <stp>FWRC1#GBPUSD#Month Wise Rates#0#AskPrice12</stp>
        <tr r="I5" s="20"/>
        <tr r="N9" s="22"/>
      </tp>
      <tp>
        <v>21.05</v>
        <stp/>
        <stp>FWRC1#GBPUSD#Month Wise Rates#0#AskPrice15</stp>
        <tr r="N12" s="22"/>
        <tr r="L5" s="20"/>
      </tp>
      <tp>
        <v>18.5</v>
        <stp/>
        <stp>FWRC1#GBPUSD#Month Wise Rates#0#AskPrice14</stp>
        <tr r="K5" s="20"/>
        <tr r="N11" s="22"/>
      </tp>
      <tp>
        <v>22.7</v>
        <stp/>
        <stp>FWRC1#GBPUSD#Month Wise Rates#0#AskPrice17</stp>
        <tr r="N14" s="22"/>
        <tr r="N5" s="20"/>
      </tp>
      <tp>
        <v>20.9</v>
        <stp/>
        <stp>FWRC1#GBPUSD#Month Wise Rates#0#AskPrice16</stp>
        <tr r="N13" s="22"/>
        <tr r="M5" s="20"/>
      </tp>
      <tp>
        <v>296.40370000000001</v>
        <stp/>
        <stp>FWRC1#EURINR#Month Wise Rates#0#AskPrice15</stp>
        <tr r="F12" s="22"/>
      </tp>
      <tp>
        <v>262.06889999999999</v>
        <stp/>
        <stp>FWRC1#EURINR#Month Wise Rates#0#AskPrice14</stp>
        <tr r="F11" s="22"/>
      </tp>
      <tp>
        <v>367.60160000000002</v>
        <stp/>
        <stp>FWRC1#EURINR#Month Wise Rates#0#AskPrice17</stp>
        <tr r="F14" s="22"/>
      </tp>
      <tp>
        <v>335.07940000000002</v>
        <stp/>
        <stp>FWRC1#EURINR#Month Wise Rates#0#AskPrice16</stp>
        <tr r="F13" s="22"/>
      </tp>
      <tp>
        <v>156.65219999999999</v>
        <stp/>
        <stp>FWRC1#EURINR#Month Wise Rates#0#AskPrice11</stp>
        <tr r="F8" s="22"/>
      </tp>
      <tp>
        <v>127.1177</v>
        <stp/>
        <stp>FWRC1#EURINR#Month Wise Rates#0#AskPrice10</stp>
        <tr r="F7" s="22"/>
      </tp>
      <tp>
        <v>232.90119999999999</v>
        <stp/>
        <stp>FWRC1#EURINR#Month Wise Rates#0#AskPrice13</stp>
        <tr r="F10" s="22"/>
      </tp>
      <tp>
        <v>196.05369999999999</v>
        <stp/>
        <stp>FWRC1#EURINR#Month Wise Rates#0#AskPrice12</stp>
        <tr r="F9" s="22"/>
      </tp>
      <tp>
        <v>402.16180000000003</v>
        <stp/>
        <stp>FWRC1#EURINR#Month Wise Rates#0#AskPrice18</stp>
        <tr r="F15" s="22"/>
      </tp>
      <tp>
        <v>397.61669999999998</v>
        <stp/>
        <stp>FWRC1#EURINR#Month Wise Rates#0#BidPrice18</stp>
        <tr r="E15" s="22"/>
      </tp>
      <tp>
        <v>361.05990000000003</v>
        <stp/>
        <stp>FWRC1#EURINR#Month Wise Rates#0#BidPrice17</stp>
        <tr r="E14" s="22"/>
      </tp>
      <tp>
        <v>328.93950000000001</v>
        <stp/>
        <stp>FWRC1#EURINR#Month Wise Rates#0#BidPrice16</stp>
        <tr r="E13" s="22"/>
      </tp>
      <tp>
        <v>292.2004</v>
        <stp/>
        <stp>FWRC1#EURINR#Month Wise Rates#0#BidPrice15</stp>
        <tr r="E12" s="22"/>
      </tp>
      <tp>
        <v>258.10539999999997</v>
        <stp/>
        <stp>FWRC1#EURINR#Month Wise Rates#0#BidPrice14</stp>
        <tr r="E11" s="22"/>
      </tp>
      <tp>
        <v>227.96109999999999</v>
        <stp/>
        <stp>FWRC1#EURINR#Month Wise Rates#0#BidPrice13</stp>
        <tr r="E10" s="22"/>
      </tp>
      <tp>
        <v>193.24610000000001</v>
        <stp/>
        <stp>FWRC1#EURINR#Month Wise Rates#0#BidPrice12</stp>
        <tr r="E9" s="22"/>
      </tp>
      <tp>
        <v>153.92840000000001</v>
        <stp/>
        <stp>FWRC1#EURINR#Month Wise Rates#0#BidPrice11</stp>
        <tr r="E8" s="22"/>
      </tp>
      <tp>
        <v>124.74679999999999</v>
        <stp/>
        <stp>FWRC1#EURINR#Month Wise Rates#0#BidPrice10</stp>
        <tr r="E7" s="22"/>
      </tp>
      <tp>
        <v>79.917500000000004</v>
        <stp/>
        <stp>17#3#1#6056#CHFINRCOMP#Open</stp>
        <tr r="B6" s="23"/>
      </tp>
      <tp>
        <v>70.287499999999994</v>
        <stp/>
        <stp>17#3#1#5978#JPYINRCOMP#Open</stp>
        <tr r="E6" s="10"/>
        <tr r="B5" s="23"/>
      </tp>
      <tp t="s">
        <v>NOV-2020</v>
        <stp/>
        <stp>FWRC1#JPYINR#Month End Rates#0#S#Desc.8</stp>
        <tr r="H1" s="18"/>
      </tp>
      <tp t="s">
        <v>DEC-2020</v>
        <stp/>
        <stp>FWRC1#JPYINR#Month End Rates#0#S#Desc.9</stp>
        <tr r="I1" s="18"/>
      </tp>
      <tp t="s">
        <v>JUL-2020</v>
        <stp/>
        <stp>FWRC1#JPYINR#Month End Rates#0#S#Desc.4</stp>
        <tr r="D1" s="18"/>
      </tp>
      <tp t="s">
        <v>AUG-2020</v>
        <stp/>
        <stp>FWRC1#JPYINR#Month End Rates#0#S#Desc.5</stp>
        <tr r="E1" s="18"/>
      </tp>
      <tp t="s">
        <v>SEP-2020</v>
        <stp/>
        <stp>FWRC1#JPYINR#Month End Rates#0#S#Desc.6</stp>
        <tr r="F1" s="18"/>
      </tp>
      <tp t="s">
        <v>OCT-2020</v>
        <stp/>
        <stp>FWRC1#JPYINR#Month End Rates#0#S#Desc.7</stp>
        <tr r="G1" s="18"/>
      </tp>
      <tp t="s">
        <v>CASH/SPOT</v>
        <stp/>
        <stp>FWRC1#JPYINR#Month End Rates#0#S#Desc.2</stp>
        <tr r="C1" s="18"/>
      </tp>
      <tp>
        <v>37.75</v>
        <stp/>
        <stp>FWRC1#USDINR#Month End Rates#0#Close5</stp>
        <tr r="D19" s="23"/>
      </tp>
      <tp>
        <v>15.75</v>
        <stp/>
        <stp>FWRC1#USDINR#Month End Rates#0#Close4</stp>
        <tr r="C19" s="23"/>
      </tp>
      <tp>
        <v>82.75</v>
        <stp/>
        <stp>FWRC1#USDINR#Month End Rates#0#Close7</stp>
        <tr r="F19" s="23"/>
      </tp>
      <tp>
        <v>59.75</v>
        <stp/>
        <stp>FWRC1#USDINR#Month End Rates#0#Close6</stp>
        <tr r="E19" s="23"/>
      </tp>
      <tp>
        <v>74.62</v>
        <stp/>
        <stp>FWRC1#USDINR#Month End Rates#0#Close0</stp>
        <tr r="B19" s="23"/>
        <tr r="I19" s="23"/>
        <tr r="L19" s="23"/>
        <tr r="M19" s="23"/>
        <tr r="E19" s="23"/>
        <tr r="K19" s="23"/>
        <tr r="C19" s="23"/>
        <tr r="N19" s="23"/>
        <tr r="D19" s="23"/>
        <tr r="H19" s="23"/>
        <tr r="G19" s="23"/>
        <tr r="F19" s="23"/>
        <tr r="J19" s="23"/>
      </tp>
      <tp>
        <v>132.25</v>
        <stp/>
        <stp>FWRC1#USDINR#Month End Rates#0#Close9</stp>
        <tr r="H19" s="23"/>
      </tp>
      <tp>
        <v>105.5</v>
        <stp/>
        <stp>FWRC1#USDINR#Month End Rates#0#Close8</stp>
        <tr r="G19" s="23"/>
      </tp>
      <tp>
        <v>286.3</v>
        <stp/>
        <stp>FWRC1#USDINR#Month Wise Rates#0#BidPrice18</stp>
        <tr r="C15" s="22"/>
        <tr r="O4" s="15"/>
      </tp>
      <tp>
        <v>260.68329999999997</v>
        <stp/>
        <stp>FWRC1#USDINR#Month Wise Rates#0#BidPrice17</stp>
        <tr r="C14" s="22"/>
        <tr r="N4" s="15"/>
      </tp>
      <tp>
        <v>236.5565</v>
        <stp/>
        <stp>FWRC1#USDINR#Month Wise Rates#0#BidPrice16</stp>
        <tr r="C13" s="22"/>
        <tr r="M4" s="15"/>
      </tp>
      <tp>
        <v>209.05</v>
        <stp/>
        <stp>FWRC1#USDINR#Month Wise Rates#0#BidPrice15</stp>
        <tr r="L4" s="15"/>
        <tr r="C12" s="22"/>
      </tp>
      <tp>
        <v>185.12880000000001</v>
        <stp/>
        <stp>FWRC1#USDINR#Month Wise Rates#0#BidPrice14</stp>
        <tr r="C11" s="22"/>
        <tr r="K4" s="15"/>
      </tp>
      <tp>
        <v>163.1071</v>
        <stp/>
        <stp>FWRC1#USDINR#Month Wise Rates#0#BidPrice13</stp>
        <tr r="C10" s="22"/>
        <tr r="J4" s="15"/>
      </tp>
      <tp>
        <v>137.0086</v>
        <stp/>
        <stp>FWRC1#USDINR#Month Wise Rates#0#BidPrice12</stp>
        <tr r="C9" s="22"/>
        <tr r="I4" s="15"/>
      </tp>
      <tp>
        <v>113.3676</v>
        <stp/>
        <stp>FWRC1#USDINR#Month Wise Rates#0#BidPrice11</stp>
        <tr r="C8" s="22"/>
        <tr r="H4" s="15"/>
      </tp>
      <tp>
        <v>89.025899999999993</v>
        <stp/>
        <stp>FWRC1#USDINR#Month Wise Rates#0#BidPrice10</stp>
        <tr r="C7" s="22"/>
        <tr r="G4" s="15"/>
      </tp>
      <tp>
        <v>211.05</v>
        <stp/>
        <stp>FWRC1#USDINR#Month Wise Rates#0#AskPrice15</stp>
        <tr r="L5" s="15"/>
        <tr r="D12" s="22"/>
      </tp>
      <tp>
        <v>187.12880000000001</v>
        <stp/>
        <stp>FWRC1#USDINR#Month Wise Rates#0#AskPrice14</stp>
        <tr r="D11" s="22"/>
        <tr r="K5" s="15"/>
      </tp>
      <tp>
        <v>262.68329999999997</v>
        <stp/>
        <stp>FWRC1#USDINR#Month Wise Rates#0#AskPrice17</stp>
        <tr r="D14" s="22"/>
        <tr r="N5" s="15"/>
      </tp>
      <tp>
        <v>238.5565</v>
        <stp/>
        <stp>FWRC1#USDINR#Month Wise Rates#0#AskPrice16</stp>
        <tr r="D13" s="22"/>
        <tr r="M5" s="15"/>
      </tp>
      <tp>
        <v>115.3676</v>
        <stp/>
        <stp>FWRC1#USDINR#Month Wise Rates#0#AskPrice11</stp>
        <tr r="D8" s="22"/>
        <tr r="H5" s="15"/>
      </tp>
      <tp>
        <v>91.025899999999993</v>
        <stp/>
        <stp>FWRC1#USDINR#Month Wise Rates#0#AskPrice10</stp>
        <tr r="G5" s="15"/>
        <tr r="D7" s="22"/>
      </tp>
      <tp>
        <v>165.1071</v>
        <stp/>
        <stp>FWRC1#USDINR#Month Wise Rates#0#AskPrice13</stp>
        <tr r="D10" s="22"/>
        <tr r="J5" s="15"/>
      </tp>
      <tp>
        <v>139.0086</v>
        <stp/>
        <stp>FWRC1#USDINR#Month Wise Rates#0#AskPrice12</stp>
        <tr r="D9" s="22"/>
        <tr r="I5" s="15"/>
      </tp>
      <tp>
        <v>288.3</v>
        <stp/>
        <stp>FWRC1#USDINR#Month Wise Rates#0#AskPrice18</stp>
        <tr r="O5" s="15"/>
        <tr r="D15" s="22"/>
      </tp>
      <tp>
        <v>31228.9516</v>
        <stp/>
        <stp>FWRC1#JPYINR#Month Wise Rates#0#BidPrice18</stp>
        <tr r="I15" s="22"/>
      </tp>
      <tp>
        <v>28313.0769</v>
        <stp/>
        <stp>FWRC1#JPYINR#Month Wise Rates#0#BidPrice17</stp>
        <tr r="I14" s="22"/>
      </tp>
      <tp>
        <v>25825.818500000001</v>
        <stp/>
        <stp>FWRC1#JPYINR#Month Wise Rates#0#BidPrice16</stp>
        <tr r="I13" s="22"/>
      </tp>
      <tp>
        <v>22917.219700000001</v>
        <stp/>
        <stp>FWRC1#JPYINR#Month Wise Rates#0#BidPrice15</stp>
        <tr r="I12" s="22"/>
      </tp>
      <tp>
        <v>20174.89</v>
        <stp/>
        <stp>FWRC1#JPYINR#Month Wise Rates#0#BidPrice14</stp>
        <tr r="I11" s="22"/>
      </tp>
      <tp>
        <v>17821.740600000001</v>
        <stp/>
        <stp>FWRC1#JPYINR#Month Wise Rates#0#BidPrice13</stp>
        <tr r="I10" s="22"/>
      </tp>
      <tp>
        <v>15129.7004</v>
        <stp/>
        <stp>FWRC1#JPYINR#Month Wise Rates#0#BidPrice12</stp>
        <tr r="I9" s="22"/>
      </tp>
      <tp>
        <v>11770.497799999999</v>
        <stp/>
        <stp>FWRC1#JPYINR#Month Wise Rates#0#BidPrice11</stp>
        <tr r="I8" s="22"/>
      </tp>
      <tp>
        <v>9484.4505000000008</v>
        <stp/>
        <stp>FWRC1#JPYINR#Month Wise Rates#0#BidPrice10</stp>
        <tr r="I7" s="22"/>
      </tp>
      <tp>
        <v>23211.252100000002</v>
        <stp/>
        <stp>FWRC1#JPYINR#Month Wise Rates#0#AskPrice15</stp>
        <tr r="J12" s="22"/>
      </tp>
      <tp>
        <v>20501.016599999999</v>
        <stp/>
        <stp>FWRC1#JPYINR#Month Wise Rates#0#AskPrice14</stp>
        <tr r="J11" s="22"/>
      </tp>
      <tp>
        <v>28740.1093</v>
        <stp/>
        <stp>FWRC1#JPYINR#Month Wise Rates#0#AskPrice17</stp>
        <tr r="J14" s="22"/>
      </tp>
      <tp>
        <v>26121.1839</v>
        <stp/>
        <stp>FWRC1#JPYINR#Month Wise Rates#0#AskPrice16</stp>
        <tr r="J13" s="22"/>
      </tp>
      <tp>
        <v>12060.9239</v>
        <stp/>
        <stp>FWRC1#JPYINR#Month Wise Rates#0#AskPrice11</stp>
        <tr r="J8" s="22"/>
      </tp>
      <tp>
        <v>9770.2764999999999</v>
        <stp/>
        <stp>FWRC1#JPYINR#Month Wise Rates#0#AskPrice10</stp>
        <tr r="J7" s="22"/>
      </tp>
      <tp>
        <v>18146.6738</v>
        <stp/>
        <stp>FWRC1#JPYINR#Month Wise Rates#0#AskPrice13</stp>
        <tr r="J10" s="22"/>
      </tp>
      <tp>
        <v>15417.4674</v>
        <stp/>
        <stp>FWRC1#JPYINR#Month Wise Rates#0#AskPrice12</stp>
        <tr r="J9" s="22"/>
      </tp>
      <tp>
        <v>31555.4764</v>
        <stp/>
        <stp>FWRC1#JPYINR#Month Wise Rates#0#AskPrice18</stp>
        <tr r="J15" s="22"/>
      </tp>
      <tp>
        <v>94.19</v>
        <stp/>
        <stp>17#3#1#6031#GBPINRCOMP#Open</stp>
        <tr r="E5" s="10"/>
        <tr r="B4" s="23"/>
      </tp>
      <tp>
        <v>52.36</v>
        <stp/>
        <stp>17#3#1#5903#AUDINRCOMP#Open</stp>
        <tr r="B8" s="23"/>
      </tp>
      <tp>
        <v>0.86129999999999995</v>
        <stp/>
        <stp>FWRC1#EURUSD#Month Wise Rates#0#Bid%18</stp>
        <tr r="O10" s="19"/>
      </tp>
      <tp>
        <v>0.89270000000000005</v>
        <stp/>
        <stp>FWRC1#EURUSD#Month Wise Rates#0#Bid%12</stp>
        <tr r="I10" s="19"/>
      </tp>
      <tp>
        <v>0.87350000000000005</v>
        <stp/>
        <stp>FWRC1#EURUSD#Month Wise Rates#0#Bid%13</stp>
        <tr r="J10" s="19"/>
      </tp>
      <tp>
        <v>0.81899999999999995</v>
        <stp/>
        <stp>FWRC1#EURUSD#Month Wise Rates#0#Bid%10</stp>
        <tr r="G10" s="19"/>
      </tp>
      <tp>
        <v>0.79469999999999996</v>
        <stp/>
        <stp>FWRC1#EURUSD#Month Wise Rates#0#Bid%11</stp>
        <tr r="H10" s="19"/>
      </tp>
      <tp>
        <v>0.85319999999999996</v>
        <stp/>
        <stp>FWRC1#EURUSD#Month Wise Rates#0#Bid%16</stp>
        <tr r="M10" s="19"/>
      </tp>
      <tp>
        <v>0.85970000000000002</v>
        <stp/>
        <stp>FWRC1#EURUSD#Month Wise Rates#0#Bid%17</stp>
        <tr r="N10" s="19"/>
      </tp>
      <tp>
        <v>0.86299999999999999</v>
        <stp/>
        <stp>FWRC1#EURUSD#Month Wise Rates#0#Bid%14</stp>
        <tr r="K10" s="19"/>
      </tp>
      <tp>
        <v>0.86929999999999996</v>
        <stp/>
        <stp>FWRC1#EURUSD#Month Wise Rates#0#Bid%15</stp>
        <tr r="L10" s="19"/>
      </tp>
      <tp>
        <v>0.83040000000000003</v>
        <stp/>
        <stp>FWRC1#EURUSD#Month Wise Rates#0#Ask%10</stp>
        <tr r="G11" s="19"/>
      </tp>
      <tp>
        <v>0.80759999999999998</v>
        <stp/>
        <stp>FWRC1#EURUSD#Month Wise Rates#0#Ask%11</stp>
        <tr r="H11" s="19"/>
      </tp>
      <tp>
        <v>0.90700000000000003</v>
        <stp/>
        <stp>FWRC1#EURUSD#Month Wise Rates#0#Ask%12</stp>
        <tr r="I11" s="19"/>
      </tp>
      <tp>
        <v>0.92620000000000002</v>
        <stp/>
        <stp>FWRC1#EURUSD#Month Wise Rates#0#Ask%13</stp>
        <tr r="J11" s="19"/>
      </tp>
      <tp>
        <v>0.89219999999999999</v>
        <stp/>
        <stp>FWRC1#EURUSD#Month Wise Rates#0#Ask%14</stp>
        <tr r="K11" s="19"/>
      </tp>
      <tp>
        <v>0.8992</v>
        <stp/>
        <stp>FWRC1#EURUSD#Month Wise Rates#0#Ask%15</stp>
        <tr r="L11" s="19"/>
      </tp>
      <tp>
        <v>0.90669999999999995</v>
        <stp/>
        <stp>FWRC1#EURUSD#Month Wise Rates#0#Ask%16</stp>
        <tr r="M11" s="19"/>
      </tp>
      <tp>
        <v>0.91310000000000002</v>
        <stp/>
        <stp>FWRC1#EURUSD#Month Wise Rates#0#Ask%17</stp>
        <tr r="N11" s="19"/>
      </tp>
      <tp>
        <v>0.88719999999999999</v>
        <stp/>
        <stp>FWRC1#EURUSD#Month Wise Rates#0#Ask%18</stp>
        <tr r="O11" s="19"/>
      </tp>
      <tp>
        <v>55.712499999999999</v>
        <stp/>
        <stp>17#3#1#5921#CADINRCOMP#Open</stp>
        <tr r="B7" s="23"/>
      </tp>
      <tp>
        <v>54.225000000000001</v>
        <stp/>
        <stp>17#3#1#6041#SGDINRCOMP#High</stp>
        <tr r="C9" s="23"/>
      </tp>
      <tp>
        <v>93.875</v>
        <stp/>
        <stp>17#3#1#6031#GBPINRCOMP#Close</stp>
        <tr r="H5" s="10"/>
      </tp>
      <tp>
        <v>1.1245000000000001</v>
        <stp/>
        <stp>FWRC1#EURUSD#Month Wise Rates#0#FwdOutrightAsk8</stp>
        <tr r="E8" s="19"/>
      </tp>
      <tp>
        <v>1.1253</v>
        <stp/>
        <stp>FWRC1#EURUSD#Month Wise Rates#0#FwdOutrightAsk9</stp>
        <tr r="F8" s="19"/>
      </tp>
      <tp>
        <v>1.1238999999999999</v>
        <stp/>
        <stp>FWRC1#EURUSD#Month Wise Rates#0#FwdOutrightAsk7</stp>
        <tr r="D8" s="19"/>
      </tp>
      <tp>
        <v>1.1231</v>
        <stp/>
        <stp>FWRC1#EURUSD#Month Wise Rates#0#FwdOutrightAsk2</stp>
        <tr r="C8" s="19"/>
      </tp>
      <tp>
        <v>74.995000000000005</v>
        <stp/>
        <stp>17#1#1#6069#USDINRCOMP#High</stp>
        <tr r="C2" s="23"/>
        <tr r="F3" s="10"/>
      </tp>
      <tp>
        <v>84.907499999999999</v>
        <stp/>
        <stp>17#3#1#5949#EURINRCOMP#Open</stp>
        <tr r="E4" s="10"/>
        <tr r="B3" s="23"/>
      </tp>
      <tp>
        <v>58.33</v>
        <stp/>
        <stp>FWRC1#EURUSD#Month Wise Rates#0#Close13</stp>
        <tr r="I27" s="23"/>
      </tp>
      <tp>
        <v>50.54</v>
        <stp/>
        <stp>FWRC1#EURUSD#Month Wise Rates#0#Close12</stp>
        <tr r="H27" s="23"/>
      </tp>
      <tp>
        <v>37.659999999999997</v>
        <stp/>
        <stp>FWRC1#EURUSD#Month Wise Rates#0#Close11</stp>
        <tr r="G27" s="23"/>
      </tp>
      <tp>
        <v>30.99</v>
        <stp/>
        <stp>FWRC1#EURUSD#Month Wise Rates#0#Close10</stp>
        <tr r="F27" s="23"/>
      </tp>
      <tp>
        <v>88.88</v>
        <stp/>
        <stp>FWRC1#EURUSD#Month Wise Rates#0#Close17</stp>
        <tr r="M27" s="23"/>
      </tp>
      <tp>
        <v>79.8</v>
        <stp/>
        <stp>FWRC1#EURUSD#Month Wise Rates#0#Close16</stp>
        <tr r="L27" s="23"/>
      </tp>
      <tp>
        <v>73.3</v>
        <stp/>
        <stp>FWRC1#EURUSD#Month Wise Rates#0#Close15</stp>
        <tr r="K27" s="23"/>
      </tp>
      <tp>
        <v>65.05</v>
        <stp/>
        <stp>FWRC1#EURUSD#Month Wise Rates#0#Close14</stp>
        <tr r="J27" s="23"/>
      </tp>
      <tp>
        <v>96.72</v>
        <stp/>
        <stp>FWRC1#EURUSD#Month Wise Rates#0#Close18</stp>
        <tr r="N27" s="23"/>
      </tp>
      <tp t="s">
        <v>CASH/SPOT</v>
        <stp/>
        <stp>FWRC1#GBPINR#Month End Rates#0#S#Desc.2</stp>
        <tr r="C1" s="17"/>
      </tp>
      <tp t="s">
        <v>AUG-2020</v>
        <stp/>
        <stp>FWRC1#GBPINR#Month End Rates#0#S#Desc.5</stp>
        <tr r="E1" s="17"/>
      </tp>
      <tp t="s">
        <v>JUL-2020</v>
        <stp/>
        <stp>FWRC1#GBPINR#Month End Rates#0#S#Desc.4</stp>
        <tr r="D1" s="17"/>
      </tp>
      <tp t="s">
        <v>OCT-2020</v>
        <stp/>
        <stp>FWRC1#GBPINR#Month End Rates#0#S#Desc.7</stp>
        <tr r="G1" s="17"/>
      </tp>
      <tp t="s">
        <v>SEP-2020</v>
        <stp/>
        <stp>FWRC1#GBPINR#Month End Rates#0#S#Desc.6</stp>
        <tr r="F1" s="17"/>
      </tp>
      <tp t="s">
        <v>DEC-2020</v>
        <stp/>
        <stp>FWRC1#GBPINR#Month End Rates#0#S#Desc.9</stp>
        <tr r="I1" s="17"/>
      </tp>
      <tp t="s">
        <v>NOV-2020</v>
        <stp/>
        <stp>FWRC1#GBPINR#Month End Rates#0#S#Desc.8</stp>
        <tr r="H1" s="17"/>
      </tp>
      <tp>
        <v>1.2463</v>
        <stp/>
        <stp>FWRC1#GBPUSD#Month Wise Rates#0#FwdOutrightAsk8</stp>
        <tr r="E8" s="20"/>
      </tp>
      <tp>
        <v>1.2464999999999999</v>
        <stp/>
        <stp>FWRC1#GBPUSD#Month Wise Rates#0#FwdOutrightAsk9</stp>
        <tr r="F8" s="20"/>
      </tp>
      <tp>
        <v>1.2463</v>
        <stp/>
        <stp>FWRC1#GBPUSD#Month Wise Rates#0#FwdOutrightAsk7</stp>
        <tr r="D8" s="20"/>
      </tp>
      <tp>
        <v>1.2457</v>
        <stp/>
        <stp>FWRC1#GBPUSD#Month Wise Rates#0#FwdOutrightAsk2</stp>
        <tr r="C8" s="20"/>
      </tp>
      <tp>
        <v>-69.400000000000006</v>
        <stp/>
        <stp>FWRC1#USDJPY#Month Wise Rates#0#BidPrice18</stp>
        <tr r="O15" s="22"/>
        <tr r="O4" s="21"/>
      </tp>
      <tp>
        <v>-45.73</v>
        <stp/>
        <stp>FWRC1#USDJPY#Month Wise Rates#0#BidPrice14</stp>
        <tr r="O11" s="22"/>
        <tr r="K4" s="21"/>
      </tp>
      <tp>
        <v>-52.7</v>
        <stp/>
        <stp>FWRC1#USDJPY#Month Wise Rates#0#BidPrice15</stp>
        <tr r="L4" s="21"/>
        <tr r="O12" s="22"/>
      </tp>
      <tp>
        <v>-57.94</v>
        <stp/>
        <stp>FWRC1#USDJPY#Month Wise Rates#0#BidPrice16</stp>
        <tr r="O13" s="22"/>
        <tr r="M4" s="21"/>
      </tp>
      <tp>
        <v>-63.18</v>
        <stp/>
        <stp>FWRC1#USDJPY#Month Wise Rates#0#BidPrice17</stp>
        <tr r="N4" s="21"/>
        <tr r="O14" s="22"/>
      </tp>
      <tp>
        <v>-18.5</v>
        <stp/>
        <stp>FWRC1#USDJPY#Month Wise Rates#0#BidPrice10</stp>
        <tr r="O7" s="22"/>
        <tr r="G4" s="21"/>
      </tp>
      <tp>
        <v>-22.63</v>
        <stp/>
        <stp>FWRC1#USDJPY#Month Wise Rates#0#BidPrice11</stp>
        <tr r="H4" s="21"/>
        <tr r="O8" s="22"/>
      </tp>
      <tp>
        <v>-36.22</v>
        <stp/>
        <stp>FWRC1#USDJPY#Month Wise Rates#0#BidPrice12</stp>
        <tr r="O9" s="22"/>
        <tr r="I4" s="21"/>
      </tp>
      <tp>
        <v>-41.28</v>
        <stp/>
        <stp>FWRC1#USDJPY#Month Wise Rates#0#BidPrice13</stp>
        <tr r="J4" s="21"/>
        <tr r="O10" s="22"/>
      </tp>
      <tp>
        <v>-56.44</v>
        <stp/>
        <stp>FWRC1#USDJPY#Month Wise Rates#0#AskPrice16</stp>
        <tr r="M5" s="21"/>
        <tr r="P13" s="22"/>
      </tp>
      <tp>
        <v>-59.68</v>
        <stp/>
        <stp>FWRC1#USDJPY#Month Wise Rates#0#AskPrice17</stp>
        <tr r="N5" s="21"/>
        <tr r="P14" s="22"/>
      </tp>
      <tp>
        <v>-43.73</v>
        <stp/>
        <stp>FWRC1#USDJPY#Month Wise Rates#0#AskPrice14</stp>
        <tr r="K5" s="21"/>
        <tr r="P11" s="22"/>
      </tp>
      <tp>
        <v>-51.2</v>
        <stp/>
        <stp>FWRC1#USDJPY#Month Wise Rates#0#AskPrice15</stp>
        <tr r="L5" s="21"/>
        <tr r="P12" s="22"/>
      </tp>
      <tp>
        <v>-34.72</v>
        <stp/>
        <stp>FWRC1#USDJPY#Month Wise Rates#0#AskPrice12</stp>
        <tr r="P9" s="22"/>
        <tr r="I5" s="21"/>
      </tp>
      <tp>
        <v>-39.28</v>
        <stp/>
        <stp>FWRC1#USDJPY#Month Wise Rates#0#AskPrice13</stp>
        <tr r="J5" s="21"/>
        <tr r="P10" s="22"/>
      </tp>
      <tp>
        <v>-17</v>
        <stp/>
        <stp>FWRC1#USDJPY#Month Wise Rates#0#AskPrice10</stp>
        <tr r="P7" s="22"/>
        <tr r="G5" s="21"/>
      </tp>
      <tp>
        <v>-21.13</v>
        <stp/>
        <stp>FWRC1#USDJPY#Month Wise Rates#0#AskPrice11</stp>
        <tr r="P8" s="22"/>
        <tr r="H5" s="21"/>
      </tp>
      <tp>
        <v>-67.400000000000006</v>
        <stp/>
        <stp>FWRC1#USDJPY#Month Wise Rates#0#AskPrice18</stp>
        <tr r="P15" s="22"/>
        <tr r="O5" s="21"/>
      </tp>
      <tp>
        <v>8.84</v>
        <stp/>
        <stp>FWRC1#GBPUSD#Month Wise Rates#0#Close11</stp>
        <tr r="G28" s="23"/>
      </tp>
      <tp>
        <v>7.65</v>
        <stp/>
        <stp>FWRC1#GBPUSD#Month Wise Rates#0#Close10</stp>
        <tr r="F28" s="23"/>
      </tp>
      <tp>
        <v>15.74</v>
        <stp/>
        <stp>FWRC1#GBPUSD#Month Wise Rates#0#Close13</stp>
        <tr r="I28" s="23"/>
      </tp>
      <tp>
        <v>14.61</v>
        <stp/>
        <stp>FWRC1#GBPUSD#Month Wise Rates#0#Close12</stp>
        <tr r="H28" s="23"/>
      </tp>
      <tp>
        <v>18.899999999999999</v>
        <stp/>
        <stp>FWRC1#GBPUSD#Month Wise Rates#0#Close15</stp>
        <tr r="K28" s="23"/>
      </tp>
      <tp>
        <v>16.8</v>
        <stp/>
        <stp>FWRC1#GBPUSD#Month Wise Rates#0#Close14</stp>
        <tr r="J28" s="23"/>
      </tp>
      <tp>
        <v>20.399999999999999</v>
        <stp/>
        <stp>FWRC1#GBPUSD#Month Wise Rates#0#Close17</stp>
        <tr r="M28" s="23"/>
      </tp>
      <tp>
        <v>19.7</v>
        <stp/>
        <stp>FWRC1#GBPUSD#Month Wise Rates#0#Close16</stp>
        <tr r="L28" s="23"/>
      </tp>
      <tp>
        <v>21.74</v>
        <stp/>
        <stp>FWRC1#GBPUSD#Month Wise Rates#0#Close18</stp>
        <tr r="N28" s="23"/>
      </tp>
      <tp t="s">
        <v>30-Jun-2021</v>
        <stp/>
        <stp>FWRC1#USDINR#Month End Rates#0#S#MonthEndDate15</stp>
        <tr r="O2" s="14"/>
      </tp>
      <tp t="s">
        <v>31-May-2021</v>
        <stp/>
        <stp>FWRC1#USDINR#Month End Rates#0#S#MonthEndDate14</stp>
        <tr r="N2" s="14"/>
      </tp>
      <tp t="s">
        <v>26-Feb-2021</v>
        <stp/>
        <stp>FWRC1#USDINR#Month End Rates#0#S#MonthEndDate11</stp>
        <tr r="K2" s="14"/>
      </tp>
      <tp t="s">
        <v>29-Jan-2021</v>
        <stp/>
        <stp>FWRC1#USDINR#Month End Rates#0#S#MonthEndDate10</stp>
        <tr r="J2" s="14"/>
      </tp>
      <tp t="s">
        <v>30-Apr-2021</v>
        <stp/>
        <stp>FWRC1#USDINR#Month End Rates#0#S#MonthEndDate13</stp>
        <tr r="M2" s="14"/>
      </tp>
      <tp t="s">
        <v>31-Mar-2021</v>
        <stp/>
        <stp>FWRC1#USDINR#Month End Rates#0#S#MonthEndDate12</stp>
        <tr r="L2" s="14"/>
      </tp>
      <tp t="s">
        <v>CASH/SPOT</v>
        <stp/>
        <stp>FWRC1#EURINR#Month End Rates#0#S#Desc.2</stp>
        <tr r="C1" s="16"/>
      </tp>
      <tp t="s">
        <v>OCT-2020</v>
        <stp/>
        <stp>FWRC1#EURINR#Month End Rates#0#S#Desc.7</stp>
        <tr r="G1" s="16"/>
      </tp>
      <tp t="s">
        <v>SEP-2020</v>
        <stp/>
        <stp>FWRC1#EURINR#Month End Rates#0#S#Desc.6</stp>
        <tr r="F1" s="16"/>
      </tp>
      <tp t="s">
        <v>AUG-2020</v>
        <stp/>
        <stp>FWRC1#EURINR#Month End Rates#0#S#Desc.5</stp>
        <tr r="E1" s="16"/>
      </tp>
      <tp t="s">
        <v>JUL-2020</v>
        <stp/>
        <stp>FWRC1#EURINR#Month End Rates#0#S#Desc.4</stp>
        <tr r="D1" s="16"/>
      </tp>
      <tp t="s">
        <v>DEC-2020</v>
        <stp/>
        <stp>FWRC1#EURINR#Month End Rates#0#S#Desc.9</stp>
        <tr r="I1" s="16"/>
      </tp>
      <tp t="s">
        <v>NOV-2020</v>
        <stp/>
        <stp>FWRC1#EURINR#Month End Rates#0#S#Desc.8</stp>
        <tr r="H1" s="16"/>
      </tp>
      <tp>
        <v>52.42</v>
        <stp/>
        <stp>17#3#1#5903#AUDINRCOMP#High</stp>
        <tr r="C8" s="23"/>
      </tp>
      <tp>
        <v>-0.627</v>
        <stp/>
        <stp>FWRC1#USDJPY#Month Wise Rates#0#Ask%18</stp>
        <tr r="O11" s="21"/>
      </tp>
      <tp>
        <v>-0.60309999999999997</v>
        <stp/>
        <stp>FWRC1#USDJPY#Month Wise Rates#0#Ask%17</stp>
        <tr r="N11" s="21"/>
      </tp>
      <tp>
        <v>-0.63029999999999997</v>
        <stp/>
        <stp>FWRC1#USDJPY#Month Wise Rates#0#Ask%16</stp>
        <tr r="M11" s="21"/>
      </tp>
      <tp>
        <v>-0.63449999999999995</v>
        <stp/>
        <stp>FWRC1#USDJPY#Month Wise Rates#0#Ask%15</stp>
        <tr r="L11" s="21"/>
      </tp>
      <tp>
        <v>-0.60599999999999998</v>
        <stp/>
        <stp>FWRC1#USDJPY#Month Wise Rates#0#Ask%14</stp>
        <tr r="K11" s="21"/>
      </tp>
      <tp>
        <v>-0.61460000000000004</v>
        <stp/>
        <stp>FWRC1#USDJPY#Month Wise Rates#0#Ask%13</stp>
        <tr r="J11" s="21"/>
      </tp>
      <tp>
        <v>-0.64070000000000005</v>
        <stp/>
        <stp>FWRC1#USDJPY#Month Wise Rates#0#Ask%12</stp>
        <tr r="I11" s="21"/>
      </tp>
      <tp>
        <v>-0.46589999999999998</v>
        <stp/>
        <stp>FWRC1#USDJPY#Month Wise Rates#0#Ask%11</stp>
        <tr r="H11" s="21"/>
      </tp>
      <tp>
        <v>-0.46929999999999999</v>
        <stp/>
        <stp>FWRC1#USDJPY#Month Wise Rates#0#Ask%10</stp>
        <tr r="G11" s="21"/>
      </tp>
      <tp>
        <v>-0.65280000000000005</v>
        <stp/>
        <stp>FWRC1#USDJPY#Month Wise Rates#0#Bid%15</stp>
        <tr r="L10" s="21"/>
      </tp>
      <tp>
        <v>-0.63360000000000005</v>
        <stp/>
        <stp>FWRC1#USDJPY#Month Wise Rates#0#Bid%14</stp>
        <tr r="K10" s="21"/>
      </tp>
      <tp>
        <v>-0.63819999999999999</v>
        <stp/>
        <stp>FWRC1#USDJPY#Month Wise Rates#0#Bid%17</stp>
        <tr r="N10" s="21"/>
      </tp>
      <tp>
        <v>-0.64710000000000001</v>
        <stp/>
        <stp>FWRC1#USDJPY#Month Wise Rates#0#Bid%16</stp>
        <tr r="M10" s="21"/>
      </tp>
      <tp>
        <v>-0.49880000000000002</v>
        <stp/>
        <stp>FWRC1#USDJPY#Month Wise Rates#0#Bid%11</stp>
        <tr r="H10" s="21"/>
      </tp>
      <tp>
        <v>-0.51060000000000005</v>
        <stp/>
        <stp>FWRC1#USDJPY#Month Wise Rates#0#Bid%10</stp>
        <tr r="G10" s="21"/>
      </tp>
      <tp>
        <v>-0.64580000000000004</v>
        <stp/>
        <stp>FWRC1#USDJPY#Month Wise Rates#0#Bid%13</stp>
        <tr r="J10" s="21"/>
      </tp>
      <tp>
        <v>-0.66820000000000002</v>
        <stp/>
        <stp>FWRC1#USDJPY#Month Wise Rates#0#Bid%12</stp>
        <tr r="I10" s="21"/>
      </tp>
      <tp>
        <v>-0.64529999999999998</v>
        <stp/>
        <stp>FWRC1#USDJPY#Month Wise Rates#0#Bid%18</stp>
        <tr r="O10" s="21"/>
      </tp>
      <tp>
        <v>54.182499999999997</v>
        <stp/>
        <stp>17#3#1#6041#SGDINRCOMP#Open</stp>
        <tr r="B9" s="23"/>
      </tp>
      <tp>
        <v>55.774999999999999</v>
        <stp/>
        <stp>17#3#1#5921#CADINRCOMP#High</stp>
        <tr r="C7" s="23"/>
      </tp>
      <tp>
        <v>37505.058400000002</v>
        <stp/>
        <stp>FWRC1#GBPINR#Month Wise Rates#0#BidPrice18</stp>
        <tr r="G15" s="22"/>
      </tp>
      <tp>
        <v>34095.056199999999</v>
        <stp/>
        <stp>FWRC1#GBPINR#Month Wise Rates#0#BidPrice17</stp>
        <tr r="G14" s="22"/>
      </tp>
      <tp>
        <v>31088.540799999999</v>
        <stp/>
        <stp>FWRC1#GBPINR#Month Wise Rates#0#BidPrice16</stp>
        <tr r="G13" s="22"/>
      </tp>
      <tp>
        <v>27659.846600000001</v>
        <stp/>
        <stp>FWRC1#GBPINR#Month Wise Rates#0#BidPrice15</stp>
        <tr r="G12" s="22"/>
      </tp>
      <tp>
        <v>24380.373899999999</v>
        <stp/>
        <stp>FWRC1#GBPINR#Month Wise Rates#0#BidPrice14</stp>
        <tr r="G11" s="22"/>
      </tp>
      <tp>
        <v>21544.0753</v>
        <stp/>
        <stp>FWRC1#GBPINR#Month Wise Rates#0#BidPrice13</stp>
        <tr r="G10" s="22"/>
      </tp>
      <tp>
        <v>18310.4548</v>
        <stp/>
        <stp>FWRC1#GBPINR#Month Wise Rates#0#BidPrice12</stp>
        <tr r="G9" s="22"/>
      </tp>
      <tp>
        <v>14581.911400000001</v>
        <stp/>
        <stp>FWRC1#GBPINR#Month Wise Rates#0#BidPrice11</stp>
        <tr r="G8" s="22"/>
      </tp>
      <tp>
        <v>11814.787700000001</v>
        <stp/>
        <stp>FWRC1#GBPINR#Month Wise Rates#0#BidPrice10</stp>
        <tr r="G7" s="22"/>
      </tp>
      <tp>
        <v>28076.666099999999</v>
        <stp/>
        <stp>FWRC1#GBPINR#Month Wise Rates#0#AskPrice15</stp>
        <tr r="H12" s="22"/>
      </tp>
      <tp>
        <v>24761.550599999999</v>
        <stp/>
        <stp>FWRC1#GBPINR#Month Wise Rates#0#AskPrice14</stp>
        <tr r="H11" s="22"/>
      </tp>
      <tp>
        <v>34528.956200000001</v>
        <stp/>
        <stp>FWRC1#GBPINR#Month Wise Rates#0#AskPrice17</stp>
        <tr r="H14" s="22"/>
      </tp>
      <tp>
        <v>31505.133000000002</v>
        <stp/>
        <stp>FWRC1#GBPINR#Month Wise Rates#0#AskPrice16</stp>
        <tr r="H13" s="22"/>
      </tp>
      <tp>
        <v>14915.2997</v>
        <stp/>
        <stp>FWRC1#GBPINR#Month Wise Rates#0#AskPrice11</stp>
        <tr r="H8" s="22"/>
      </tp>
      <tp>
        <v>12135.263999999999</v>
        <stp/>
        <stp>FWRC1#GBPINR#Month Wise Rates#0#AskPrice10</stp>
        <tr r="H7" s="22"/>
      </tp>
      <tp>
        <v>21910.281500000001</v>
        <stp/>
        <stp>FWRC1#GBPINR#Month Wise Rates#0#AskPrice13</stp>
        <tr r="H10" s="22"/>
      </tp>
      <tp>
        <v>18637.224399999999</v>
        <stp/>
        <stp>FWRC1#GBPINR#Month Wise Rates#0#AskPrice12</stp>
        <tr r="H9" s="22"/>
      </tp>
      <tp>
        <v>37955.747499999998</v>
        <stp/>
        <stp>FWRC1#GBPINR#Month Wise Rates#0#AskPrice18</stp>
        <tr r="H15" s="22"/>
      </tp>
      <tp>
        <v>1.2461</v>
        <stp/>
        <stp>FWRC1#GBPUSD#Month Wise Rates#0#FwdOutrightBid8</stp>
        <tr r="E7" s="20"/>
      </tp>
      <tp>
        <v>1.2464</v>
        <stp/>
        <stp>FWRC1#GBPUSD#Month Wise Rates#0#FwdOutrightBid9</stp>
        <tr r="F7" s="20"/>
      </tp>
      <tp>
        <v>1.2457</v>
        <stp/>
        <stp>FWRC1#GBPUSD#Month Wise Rates#0#FwdOutrightBid7</stp>
        <tr r="D7" s="20"/>
      </tp>
      <tp>
        <v>1.2456</v>
        <stp/>
        <stp>FWRC1#GBPUSD#Month Wise Rates#0#FwdOutrightBid2</stp>
        <tr r="C7" s="20"/>
      </tp>
      <tp>
        <v>83.864999999999995</v>
        <stp/>
        <stp>FWRC1#EURINR#Month End Rates#0#Close0</stp>
        <tr r="B20" s="23"/>
        <tr r="K20" s="23"/>
        <tr r="J20" s="23"/>
        <tr r="I20" s="23"/>
        <tr r="L20" s="23"/>
        <tr r="F20" s="23"/>
        <tr r="H20" s="23"/>
        <tr r="N20" s="23"/>
        <tr r="G20" s="23"/>
        <tr r="E20" s="23"/>
        <tr r="M20" s="23"/>
        <tr r="C20" s="23"/>
        <tr r="D20" s="23"/>
      </tp>
      <tp>
        <v>114.7675</v>
        <stp/>
        <stp>FWRC1#EURINR#Month End Rates#0#Close7</stp>
        <tr r="F20" s="23"/>
      </tp>
      <tp>
        <v>82.417500000000004</v>
        <stp/>
        <stp>FWRC1#EURINR#Month End Rates#0#Close6</stp>
        <tr r="E20" s="23"/>
      </tp>
      <tp>
        <v>53.112499999999997</v>
        <stp/>
        <stp>FWRC1#EURINR#Month End Rates#0#Close5</stp>
        <tr r="D20" s="23"/>
      </tp>
      <tp>
        <v>20.45</v>
        <stp/>
        <stp>FWRC1#EURINR#Month End Rates#0#Close4</stp>
        <tr r="C20" s="23"/>
      </tp>
      <tp>
        <v>185.89500000000001</v>
        <stp/>
        <stp>FWRC1#EURINR#Month End Rates#0#Close9</stp>
        <tr r="H20" s="23"/>
      </tp>
      <tp>
        <v>145.9325</v>
        <stp/>
        <stp>FWRC1#EURINR#Month End Rates#0#Close8</stp>
        <tr r="G20" s="23"/>
      </tp>
      <tp>
        <v>99.62</v>
        <stp/>
        <stp>FWRC1#EURUSD#Month Wise Rates#0#AskPrice18</stp>
        <tr r="L15" s="22"/>
        <tr r="O5" s="19"/>
      </tp>
      <tp>
        <v>38.26</v>
        <stp/>
        <stp>FWRC1#EURUSD#Month Wise Rates#0#AskPrice11</stp>
        <tr r="H5" s="19"/>
        <tr r="L8" s="22"/>
      </tp>
      <tp>
        <v>31.42</v>
        <stp/>
        <stp>FWRC1#EURUSD#Month Wise Rates#0#AskPrice10</stp>
        <tr r="G5" s="19"/>
        <tr r="L7" s="22"/>
      </tp>
      <tp>
        <v>61.83</v>
        <stp/>
        <stp>FWRC1#EURUSD#Month Wise Rates#0#AskPrice13</stp>
        <tr r="L10" s="22"/>
        <tr r="J5" s="19"/>
      </tp>
      <tp>
        <v>51.34</v>
        <stp/>
        <stp>FWRC1#EURUSD#Month Wise Rates#0#AskPrice12</stp>
        <tr r="I5" s="19"/>
        <tr r="L9" s="22"/>
      </tp>
      <tp>
        <v>75.8</v>
        <stp/>
        <stp>FWRC1#EURUSD#Month Wise Rates#0#AskPrice15</stp>
        <tr r="L5" s="19"/>
        <tr r="L12" s="22"/>
      </tp>
      <tp>
        <v>67.25</v>
        <stp/>
        <stp>FWRC1#EURUSD#Month Wise Rates#0#AskPrice14</stp>
        <tr r="L11" s="22"/>
        <tr r="K5" s="19"/>
      </tp>
      <tp>
        <v>94.38</v>
        <stp/>
        <stp>FWRC1#EURUSD#Month Wise Rates#0#AskPrice17</stp>
        <tr r="L14" s="22"/>
        <tr r="N5" s="19"/>
      </tp>
      <tp>
        <v>84.8</v>
        <stp/>
        <stp>FWRC1#EURUSD#Month Wise Rates#0#AskPrice16</stp>
        <tr r="L13" s="22"/>
        <tr r="M5" s="19"/>
      </tp>
      <tp>
        <v>58.33</v>
        <stp/>
        <stp>FWRC1#EURUSD#Month Wise Rates#0#BidPrice13</stp>
        <tr r="K10" s="22"/>
        <tr r="J4" s="19"/>
      </tp>
      <tp>
        <v>50.54</v>
        <stp/>
        <stp>FWRC1#EURUSD#Month Wise Rates#0#BidPrice12</stp>
        <tr r="I4" s="19"/>
        <tr r="K9" s="22"/>
      </tp>
      <tp>
        <v>37.659999999999997</v>
        <stp/>
        <stp>FWRC1#EURUSD#Month Wise Rates#0#BidPrice11</stp>
        <tr r="H4" s="19"/>
        <tr r="K8" s="22"/>
      </tp>
      <tp>
        <v>30.99</v>
        <stp/>
        <stp>FWRC1#EURUSD#Month Wise Rates#0#BidPrice10</stp>
        <tr r="K7" s="22"/>
        <tr r="G4" s="19"/>
      </tp>
      <tp>
        <v>88.88</v>
        <stp/>
        <stp>FWRC1#EURUSD#Month Wise Rates#0#BidPrice17</stp>
        <tr r="K14" s="22"/>
        <tr r="N4" s="19"/>
      </tp>
      <tp>
        <v>79.8</v>
        <stp/>
        <stp>FWRC1#EURUSD#Month Wise Rates#0#BidPrice16</stp>
        <tr r="M4" s="19"/>
        <tr r="K13" s="22"/>
      </tp>
      <tp>
        <v>73.3</v>
        <stp/>
        <stp>FWRC1#EURUSD#Month Wise Rates#0#BidPrice15</stp>
        <tr r="K12" s="22"/>
        <tr r="L4" s="19"/>
      </tp>
      <tp>
        <v>65.05</v>
        <stp/>
        <stp>FWRC1#EURUSD#Month Wise Rates#0#BidPrice14</stp>
        <tr r="K4" s="19"/>
        <tr r="K11" s="22"/>
      </tp>
      <tp>
        <v>96.72</v>
        <stp/>
        <stp>FWRC1#EURUSD#Month Wise Rates#0#BidPrice18</stp>
        <tr r="O4" s="19"/>
        <tr r="K15" s="22"/>
      </tp>
      <tp>
        <v>74.650000000000006</v>
        <stp/>
        <stp>17#1#1#6069#USDINRCOMP#Open</stp>
        <tr r="E3" s="10"/>
        <tr r="B2" s="23"/>
      </tp>
      <tp>
        <v>84.984999999999999</v>
        <stp/>
        <stp>17#3#1#5949#EURINRCOMP#High</stp>
        <tr r="C3" s="23"/>
        <tr r="F4" s="10"/>
      </tp>
      <tp>
        <v>1.1245000000000001</v>
        <stp/>
        <stp>FWRC1#EURUSD#Month Wise Rates#0#FwdOutrightBid8</stp>
        <tr r="E7" s="19"/>
      </tp>
      <tp>
        <v>1.1252</v>
        <stp/>
        <stp>FWRC1#EURUSD#Month Wise Rates#0#FwdOutrightBid9</stp>
        <tr r="F7" s="19"/>
      </tp>
      <tp>
        <v>1.1235999999999999</v>
        <stp/>
        <stp>FWRC1#EURUSD#Month Wise Rates#0#FwdOutrightBid7</stp>
        <tr r="D7" s="19"/>
      </tp>
      <tp>
        <v>1.1228</v>
        <stp/>
        <stp>FWRC1#EURUSD#Month Wise Rates#0#FwdOutrightBid2</stp>
        <tr r="C7" s="19"/>
      </tp>
      <tp>
        <v>93.875</v>
        <stp/>
        <stp>FWRC1#GBPINR#Month End Rates#0#Close0</stp>
        <tr r="B21" s="23"/>
        <tr r="H21" s="23"/>
        <tr r="C21" s="23"/>
        <tr r="D21" s="23"/>
        <tr r="J21" s="23"/>
        <tr r="N21" s="23"/>
        <tr r="K21" s="23"/>
        <tr r="L21" s="23"/>
        <tr r="F21" s="23"/>
        <tr r="E21" s="23"/>
        <tr r="I21" s="23"/>
        <tr r="G21" s="23"/>
        <tr r="M21" s="23"/>
      </tp>
      <tp>
        <v>5043.3924999999999</v>
        <stp/>
        <stp>FWRC1#GBPINR#Month End Rates#0#Close5</stp>
        <tr r="D21" s="23"/>
      </tp>
      <tp>
        <v>1941.625</v>
        <stp/>
        <stp>FWRC1#GBPINR#Month End Rates#0#Close4</stp>
        <tr r="C21" s="23"/>
      </tp>
      <tp>
        <v>10869.605</v>
        <stp/>
        <stp>FWRC1#GBPINR#Month End Rates#0#Close7</stp>
        <tr r="F21" s="23"/>
      </tp>
      <tp>
        <v>7816.4750000000004</v>
        <stp/>
        <stp>FWRC1#GBPINR#Month End Rates#0#Close6</stp>
        <tr r="E21" s="23"/>
      </tp>
      <tp>
        <v>17613.862499999999</v>
        <stp/>
        <stp>FWRC1#GBPINR#Month End Rates#0#Close9</stp>
        <tr r="H21" s="23"/>
      </tp>
      <tp>
        <v>13824.41</v>
        <stp/>
        <stp>FWRC1#GBPINR#Month End Rates#0#Close8</stp>
        <tr r="G21" s="23"/>
      </tp>
      <tp t="s">
        <v>31-Mar-2021</v>
        <stp/>
        <stp>FWRC1#JPYINR#Month End Rates#0#S#PillarDate12</stp>
        <tr r="L2" s="18"/>
      </tp>
      <tp t="s">
        <v>30-Apr-2021</v>
        <stp/>
        <stp>FWRC1#JPYINR#Month End Rates#0#S#PillarDate13</stp>
        <tr r="M2" s="18"/>
      </tp>
      <tp t="s">
        <v>29-Jan-2021</v>
        <stp/>
        <stp>FWRC1#JPYINR#Month End Rates#0#S#PillarDate10</stp>
        <tr r="J2" s="18"/>
      </tp>
      <tp t="s">
        <v>26-Feb-2021</v>
        <stp/>
        <stp>FWRC1#JPYINR#Month End Rates#0#S#PillarDate11</stp>
        <tr r="K2" s="18"/>
      </tp>
      <tp t="s">
        <v>31-May-2021</v>
        <stp/>
        <stp>FWRC1#JPYINR#Month End Rates#0#S#PillarDate14</stp>
        <tr r="N2" s="18"/>
      </tp>
      <tp t="s">
        <v>30-Jun-2021</v>
        <stp/>
        <stp>FWRC1#JPYINR#Month End Rates#0#S#PillarDate15</stp>
        <tr r="O2" s="18"/>
      </tp>
      <tp>
        <v>75.010000000000005</v>
        <stp/>
        <stp>17#1#1#6069#USDINRCOMP#Close</stp>
        <tr r="H3" s="10"/>
      </tp>
      <tp>
        <v>39357.803800000002</v>
        <stp/>
        <stp>FWRC1#CHFINR#Month Wise Rates#0#Close18</stp>
        <tr r="N23" s="23"/>
      </tp>
      <tp>
        <v>12451.4115</v>
        <stp/>
        <stp>FWRC1#CHFINR#Month Wise Rates#0#Close10</stp>
        <tr r="F23" s="23"/>
      </tp>
      <tp>
        <v>15388.503000000001</v>
        <stp/>
        <stp>FWRC1#CHFINR#Month Wise Rates#0#Close11</stp>
        <tr r="G23" s="23"/>
      </tp>
      <tp>
        <v>19271.301299999999</v>
        <stp/>
        <stp>FWRC1#CHFINR#Month Wise Rates#0#Close12</stp>
        <tr r="H23" s="23"/>
      </tp>
      <tp>
        <v>22513.753700000001</v>
        <stp/>
        <stp>FWRC1#CHFINR#Month Wise Rates#0#Close13</stp>
        <tr r="I23" s="23"/>
      </tp>
      <tp>
        <v>25491.404900000001</v>
        <stp/>
        <stp>FWRC1#CHFINR#Month Wise Rates#0#Close14</stp>
        <tr r="J23" s="23"/>
      </tp>
      <tp>
        <v>29080.200400000002</v>
        <stp/>
        <stp>FWRC1#CHFINR#Month Wise Rates#0#Close15</stp>
        <tr r="K23" s="23"/>
      </tp>
      <tp>
        <v>32047.1895</v>
        <stp/>
        <stp>FWRC1#CHFINR#Month Wise Rates#0#Close16</stp>
        <tr r="L23" s="23"/>
      </tp>
      <tp>
        <v>35305.832000000002</v>
        <stp/>
        <stp>FWRC1#CHFINR#Month Wise Rates#0#Close17</stp>
        <tr r="M23" s="23"/>
      </tp>
      <tp t="s">
        <v>30-Jun-2021</v>
        <stp/>
        <stp>FWRC1#EURINR#Month End Rates#0#S#MonthEndDate15</stp>
        <tr r="O2" s="16"/>
      </tp>
      <tp t="s">
        <v>31-May-2021</v>
        <stp/>
        <stp>FWRC1#EURINR#Month End Rates#0#S#MonthEndDate14</stp>
        <tr r="N2" s="16"/>
      </tp>
      <tp t="s">
        <v>26-Feb-2021</v>
        <stp/>
        <stp>FWRC1#EURINR#Month End Rates#0#S#MonthEndDate11</stp>
        <tr r="K2" s="16"/>
      </tp>
      <tp t="s">
        <v>29-Jan-2021</v>
        <stp/>
        <stp>FWRC1#EURINR#Month End Rates#0#S#MonthEndDate10</stp>
        <tr r="J2" s="16"/>
      </tp>
      <tp t="s">
        <v>30-Apr-2021</v>
        <stp/>
        <stp>FWRC1#EURINR#Month End Rates#0#S#MonthEndDate13</stp>
        <tr r="M2" s="16"/>
      </tp>
      <tp t="s">
        <v>31-Mar-2021</v>
        <stp/>
        <stp>FWRC1#EURINR#Month End Rates#0#S#MonthEndDate12</stp>
        <tr r="L2" s="16"/>
      </tp>
      <tp t="s">
        <v>CASH/SPOT</v>
        <stp/>
        <stp>FWRC1#USDINR#Month End Rates#0#S#Desc.2</stp>
        <tr r="C1" s="14"/>
      </tp>
      <tp t="s">
        <v>OCT-2020</v>
        <stp/>
        <stp>FWRC1#USDINR#Month End Rates#0#S#Desc.7</stp>
        <tr r="G1" s="14"/>
      </tp>
      <tp t="s">
        <v>SEP-2020</v>
        <stp/>
        <stp>FWRC1#USDINR#Month End Rates#0#S#Desc.6</stp>
        <tr r="F1" s="14"/>
      </tp>
      <tp t="s">
        <v>AUG-2020</v>
        <stp/>
        <stp>FWRC1#USDINR#Month End Rates#0#S#Desc.5</stp>
        <tr r="E1" s="14"/>
      </tp>
      <tp t="s">
        <v>JUL-2020</v>
        <stp/>
        <stp>FWRC1#USDINR#Month End Rates#0#S#Desc.4</stp>
        <tr r="D1" s="14"/>
      </tp>
      <tp t="s">
        <v>DEC-2020</v>
        <stp/>
        <stp>FWRC1#USDINR#Month End Rates#0#S#Desc.9</stp>
        <tr r="I1" s="14"/>
      </tp>
      <tp t="s">
        <v>NOV-2020</v>
        <stp/>
        <stp>FWRC1#USDINR#Month End Rates#0#S#Desc.8</stp>
        <tr r="H1" s="14"/>
      </tp>
      <tp>
        <v>3.8635999999999999</v>
        <stp/>
        <stp>FWRC1#USDINR#Month Wise Rates#0#Ask%18</stp>
        <tr r="O11" s="15"/>
      </tp>
      <tp>
        <v>3.7353000000000001</v>
        <stp/>
        <stp>FWRC1#USDINR#Month Wise Rates#0#Ask%14</stp>
        <tr r="K11" s="15"/>
      </tp>
      <tp>
        <v>3.7669000000000001</v>
        <stp/>
        <stp>FWRC1#USDINR#Month Wise Rates#0#Ask%15</stp>
        <tr r="L11" s="15"/>
      </tp>
      <tp>
        <v>3.8384</v>
        <stp/>
        <stp>FWRC1#USDINR#Month Wise Rates#0#Ask%16</stp>
        <tr r="M11" s="15"/>
      </tp>
      <tp>
        <v>3.8241000000000001</v>
        <stp/>
        <stp>FWRC1#USDINR#Month Wise Rates#0#Ask%17</stp>
        <tr r="N11" s="15"/>
      </tp>
      <tp>
        <v>3.6192000000000002</v>
        <stp/>
        <stp>FWRC1#USDINR#Month Wise Rates#0#Ask%10</stp>
        <tr r="G11" s="15"/>
      </tp>
      <tp>
        <v>3.6636000000000002</v>
        <stp/>
        <stp>FWRC1#USDINR#Month Wise Rates#0#Ask%11</stp>
        <tr r="H11" s="15"/>
      </tp>
      <tp>
        <v>3.6947000000000001</v>
        <stp/>
        <stp>FWRC1#USDINR#Month Wise Rates#0#Ask%12</stp>
        <tr r="I11" s="15"/>
      </tp>
      <tp>
        <v>3.7210000000000001</v>
        <stp/>
        <stp>FWRC1#USDINR#Month Wise Rates#0#Ask%13</stp>
        <tr r="J11" s="15"/>
      </tp>
      <tp>
        <v>3.8058000000000001</v>
        <stp/>
        <stp>FWRC1#USDINR#Month Wise Rates#0#Bid%16</stp>
        <tr r="M10" s="15"/>
      </tp>
      <tp>
        <v>3.7945000000000002</v>
        <stp/>
        <stp>FWRC1#USDINR#Month Wise Rates#0#Bid%17</stp>
        <tr r="N10" s="15"/>
      </tp>
      <tp>
        <v>3.6949000000000001</v>
        <stp/>
        <stp>FWRC1#USDINR#Month Wise Rates#0#Bid%14</stp>
        <tr r="K10" s="15"/>
      </tp>
      <tp>
        <v>3.7307000000000001</v>
        <stp/>
        <stp>FWRC1#USDINR#Month Wise Rates#0#Bid%15</stp>
        <tr r="L10" s="15"/>
      </tp>
      <tp>
        <v>3.641</v>
        <stp/>
        <stp>FWRC1#USDINR#Month Wise Rates#0#Bid%12</stp>
        <tr r="I10" s="15"/>
      </tp>
      <tp>
        <v>3.6753999999999998</v>
        <stp/>
        <stp>FWRC1#USDINR#Month Wise Rates#0#Bid%13</stp>
        <tr r="J10" s="15"/>
      </tp>
      <tp>
        <v>3.5392000000000001</v>
        <stp/>
        <stp>FWRC1#USDINR#Month Wise Rates#0#Bid%10</stp>
        <tr r="G10" s="15"/>
      </tp>
      <tp>
        <v>3.5996999999999999</v>
        <stp/>
        <stp>FWRC1#USDINR#Month Wise Rates#0#Bid%11</stp>
        <tr r="H10" s="15"/>
      </tp>
      <tp>
        <v>3.8363</v>
        <stp/>
        <stp>FWRC1#USDINR#Month Wise Rates#0#Bid%18</stp>
        <tr r="O10" s="15"/>
      </tp>
      <tp>
        <v>69.834999999999994</v>
        <stp/>
        <stp>17#3#1#5978#JPYINRCOMP#Close</stp>
        <tr r="H6" s="10"/>
      </tp>
      <tp>
        <v>11159.0425</v>
        <stp/>
        <stp>FWRC1#JPYINR#Month End Rates#0#Close8</stp>
        <tr r="G22" s="23"/>
      </tp>
      <tp>
        <v>14554.115</v>
        <stp/>
        <stp>FWRC1#JPYINR#Month End Rates#0#Close9</stp>
        <tr r="H22" s="23"/>
      </tp>
      <tp>
        <v>69.834999999999994</v>
        <stp/>
        <stp>FWRC1#JPYINR#Month End Rates#0#Close0</stp>
        <tr r="K22" s="23"/>
        <tr r="D22" s="23"/>
        <tr r="B22" s="23"/>
        <tr r="C22" s="23"/>
        <tr r="F22" s="23"/>
        <tr r="J22" s="23"/>
        <tr r="M22" s="23"/>
        <tr r="E22" s="23"/>
        <tr r="H22" s="23"/>
        <tr r="L22" s="23"/>
        <tr r="G22" s="23"/>
        <tr r="I22" s="23"/>
        <tr r="N22" s="23"/>
      </tp>
      <tp>
        <v>1550.6524999999999</v>
        <stp/>
        <stp>FWRC1#JPYINR#Month End Rates#0#Close4</stp>
        <tr r="C22" s="23"/>
      </tp>
      <tp>
        <v>4020.4074999999998</v>
        <stp/>
        <stp>FWRC1#JPYINR#Month End Rates#0#Close5</stp>
        <tr r="D22" s="23"/>
      </tp>
      <tp>
        <v>6314.4624999999996</v>
        <stp/>
        <stp>FWRC1#JPYINR#Month End Rates#0#Close6</stp>
        <tr r="E22" s="23"/>
      </tp>
      <tp>
        <v>8725.6949999999997</v>
        <stp/>
        <stp>FWRC1#JPYINR#Month End Rates#0#Close7</stp>
        <tr r="F22" s="23"/>
      </tp>
      <tp t="s">
        <v>30-Apr-2021</v>
        <stp/>
        <stp>FWRC1#GBPINR#Month End Rates#0#S#PillarDate13</stp>
        <tr r="M2" s="17"/>
      </tp>
      <tp t="s">
        <v>31-Mar-2021</v>
        <stp/>
        <stp>FWRC1#GBPINR#Month End Rates#0#S#PillarDate12</stp>
        <tr r="L2" s="17"/>
      </tp>
      <tp t="s">
        <v>26-Feb-2021</v>
        <stp/>
        <stp>FWRC1#GBPINR#Month End Rates#0#S#PillarDate11</stp>
        <tr r="K2" s="17"/>
      </tp>
      <tp t="s">
        <v>29-Jan-2021</v>
        <stp/>
        <stp>FWRC1#GBPINR#Month End Rates#0#S#PillarDate10</stp>
        <tr r="J2" s="17"/>
      </tp>
      <tp t="s">
        <v>30-Jun-2021</v>
        <stp/>
        <stp>FWRC1#GBPINR#Month End Rates#0#S#PillarDate15</stp>
        <tr r="O2" s="17"/>
      </tp>
      <tp t="s">
        <v>31-May-2021</v>
        <stp/>
        <stp>FWRC1#GBPINR#Month End Rates#0#S#PillarDate14</stp>
        <tr r="N2" s="17"/>
      </tp>
      <tp>
        <v>107.3771</v>
        <stp/>
        <stp>FWRC1#USDJPY#Month Wise Rates#0#FwdOutrightAsk9</stp>
        <tr r="F8" s="21"/>
      </tp>
      <tp>
        <v>107.4697</v>
        <stp/>
        <stp>FWRC1#USDJPY#Month Wise Rates#0#FwdOutrightAsk8</stp>
        <tr r="E8" s="21"/>
      </tp>
      <tp>
        <v>107.4988</v>
        <stp/>
        <stp>FWRC1#USDJPY#Month Wise Rates#0#FwdOutrightAsk7</stp>
        <tr r="D8" s="21"/>
      </tp>
      <tp>
        <v>107.5253</v>
        <stp/>
        <stp>FWRC1#USDJPY#Month Wise Rates#0#FwdOutrightAsk2</stp>
        <tr r="C8" s="21"/>
      </tp>
      <tp>
        <v>74.642499999999998</v>
        <stp/>
        <stp>FWRC1#USDINR#Month Wise Rates#0#FwdOutrightAsk2</stp>
        <tr r="C8" s="15"/>
      </tp>
      <tp>
        <v>74.865099999999998</v>
        <stp/>
        <stp>FWRC1#USDINR#Month Wise Rates#0#FwdOutrightAsk7</stp>
        <tr r="D8" s="15"/>
      </tp>
      <tp>
        <v>75.310100000000006</v>
        <stp/>
        <stp>FWRC1#USDINR#Month Wise Rates#0#FwdOutrightAsk9</stp>
        <tr r="F8" s="15"/>
      </tp>
      <tp>
        <v>75.101200000000006</v>
        <stp/>
        <stp>FWRC1#USDINR#Month Wise Rates#0#FwdOutrightAsk8</stp>
        <tr r="E8" s="15"/>
      </tp>
      <tp>
        <v>79.987499999999997</v>
        <stp/>
        <stp>17#3#1#6056#CHFINRCOMP#High</stp>
        <tr r="C6" s="23"/>
      </tp>
      <tp>
        <v>70.367500000000007</v>
        <stp/>
        <stp>17#3#1#5978#JPYINRCOMP#High</stp>
        <tr r="C5" s="23"/>
        <tr r="F6" s="10"/>
      </tp>
      <tp>
        <v>-18.5</v>
        <stp/>
        <stp>FWRC1#USDJPY#Month Wise Rates#0#Close10</stp>
        <tr r="F29" s="23"/>
      </tp>
      <tp>
        <v>-22.63</v>
        <stp/>
        <stp>FWRC1#USDJPY#Month Wise Rates#0#Close11</stp>
        <tr r="G29" s="23"/>
      </tp>
      <tp>
        <v>-36.22</v>
        <stp/>
        <stp>FWRC1#USDJPY#Month Wise Rates#0#Close12</stp>
        <tr r="H29" s="23"/>
      </tp>
      <tp>
        <v>-41.28</v>
        <stp/>
        <stp>FWRC1#USDJPY#Month Wise Rates#0#Close13</stp>
        <tr r="I29" s="23"/>
      </tp>
      <tp>
        <v>-45.73</v>
        <stp/>
        <stp>FWRC1#USDJPY#Month Wise Rates#0#Close14</stp>
        <tr r="J29" s="23"/>
      </tp>
      <tp>
        <v>-52.7</v>
        <stp/>
        <stp>FWRC1#USDJPY#Month Wise Rates#0#Close15</stp>
        <tr r="K29" s="23"/>
      </tp>
      <tp>
        <v>-57.94</v>
        <stp/>
        <stp>FWRC1#USDJPY#Month Wise Rates#0#Close16</stp>
        <tr r="L29" s="23"/>
      </tp>
      <tp>
        <v>-63.18</v>
        <stp/>
        <stp>FWRC1#USDJPY#Month Wise Rates#0#Close17</stp>
        <tr r="M29" s="23"/>
      </tp>
      <tp>
        <v>-69.400000000000006</v>
        <stp/>
        <stp>FWRC1#USDJPY#Month Wise Rates#0#Close18</stp>
        <tr r="N29" s="23"/>
      </tp>
      <tp>
        <v>20910.506600000001</v>
        <stp/>
        <stp>FWRC1#SGDINR#Month Wise Rates#0#Close18</stp>
        <tr r="N26" s="23"/>
      </tp>
      <tp>
        <v>6585.0703999999996</v>
        <stp/>
        <stp>FWRC1#SGDINR#Month Wise Rates#0#Close10</stp>
        <tr r="F26" s="23"/>
      </tp>
      <tp>
        <v>8118.3787000000002</v>
        <stp/>
        <stp>FWRC1#SGDINR#Month Wise Rates#0#Close11</stp>
        <tr r="G26" s="23"/>
      </tp>
      <tp>
        <v>10116.6976</v>
        <stp/>
        <stp>FWRC1#SGDINR#Month Wise Rates#0#Close12</stp>
        <tr r="H26" s="23"/>
      </tp>
      <tp>
        <v>11945.332</v>
        <stp/>
        <stp>FWRC1#SGDINR#Month Wise Rates#0#Close13</stp>
        <tr r="I26" s="23"/>
      </tp>
      <tp>
        <v>13536.809800000001</v>
        <stp/>
        <stp>FWRC1#SGDINR#Month Wise Rates#0#Close14</stp>
        <tr r="J26" s="23"/>
      </tp>
      <tp>
        <v>15316.3871</v>
        <stp/>
        <stp>FWRC1#SGDINR#Month Wise Rates#0#Close15</stp>
        <tr r="K26" s="23"/>
      </tp>
      <tp>
        <v>17321.529699999999</v>
        <stp/>
        <stp>FWRC1#SGDINR#Month Wise Rates#0#Close16</stp>
        <tr r="L26" s="23"/>
      </tp>
      <tp>
        <v>19033.1767</v>
        <stp/>
        <stp>FWRC1#SGDINR#Month Wise Rates#0#Close17</stp>
        <tr r="M26" s="23"/>
      </tp>
      <tp>
        <v>21166.364399999999</v>
        <stp/>
        <stp>FWRC1#CADINR#Month Wise Rates#0#Close18</stp>
        <tr r="N24" s="23"/>
      </tp>
      <tp>
        <v>19668.940399999999</v>
        <stp/>
        <stp>FWRC1#AUDINR#Month Wise Rates#0#Close18</stp>
        <tr r="N25" s="23"/>
      </tp>
      <tp>
        <v>9627.8358000000007</v>
        <stp/>
        <stp>FWRC1#AUDINR#Month Wise Rates#0#Close12</stp>
        <tr r="H25" s="23"/>
      </tp>
      <tp>
        <v>6739.7209000000003</v>
        <stp/>
        <stp>FWRC1#CADINR#Month Wise Rates#0#Close10</stp>
        <tr r="F24" s="23"/>
      </tp>
      <tp>
        <v>11336.5221</v>
        <stp/>
        <stp>FWRC1#AUDINR#Month Wise Rates#0#Close13</stp>
        <tr r="I25" s="23"/>
      </tp>
      <tp>
        <v>8302.1219000000001</v>
        <stp/>
        <stp>FWRC1#CADINR#Month Wise Rates#0#Close11</stp>
        <tr r="G24" s="23"/>
      </tp>
      <tp>
        <v>6339.6487999999999</v>
        <stp/>
        <stp>FWRC1#AUDINR#Month Wise Rates#0#Close10</stp>
        <tr r="F25" s="23"/>
      </tp>
      <tp>
        <v>10420.652599999999</v>
        <stp/>
        <stp>FWRC1#CADINR#Month Wise Rates#0#Close12</stp>
        <tr r="H24" s="23"/>
      </tp>
      <tp>
        <v>7809.3230000000003</v>
        <stp/>
        <stp>FWRC1#AUDINR#Month Wise Rates#0#Close11</stp>
        <tr r="G25" s="23"/>
      </tp>
      <tp>
        <v>12190.4638</v>
        <stp/>
        <stp>FWRC1#CADINR#Month Wise Rates#0#Close13</stp>
        <tr r="I24" s="23"/>
      </tp>
      <tp>
        <v>16341.621800000001</v>
        <stp/>
        <stp>FWRC1#AUDINR#Month Wise Rates#0#Close16</stp>
        <tr r="L25" s="23"/>
      </tp>
      <tp>
        <v>13687.306</v>
        <stp/>
        <stp>FWRC1#CADINR#Month Wise Rates#0#Close14</stp>
        <tr r="J24" s="23"/>
      </tp>
      <tp>
        <v>17900.612099999998</v>
        <stp/>
        <stp>FWRC1#AUDINR#Month Wise Rates#0#Close17</stp>
        <tr r="M25" s="23"/>
      </tp>
      <tp>
        <v>15622.653899999999</v>
        <stp/>
        <stp>FWRC1#CADINR#Month Wise Rates#0#Close15</stp>
        <tr r="K24" s="23"/>
      </tp>
      <tp>
        <v>12815.708199999999</v>
        <stp/>
        <stp>FWRC1#AUDINR#Month Wise Rates#0#Close14</stp>
        <tr r="J25" s="23"/>
      </tp>
      <tp>
        <v>17576.961800000001</v>
        <stp/>
        <stp>FWRC1#CADINR#Month Wise Rates#0#Close16</stp>
        <tr r="L24" s="23"/>
      </tp>
      <tp>
        <v>14504.632100000001</v>
        <stp/>
        <stp>FWRC1#AUDINR#Month Wise Rates#0#Close15</stp>
        <tr r="K25" s="23"/>
      </tp>
      <tp>
        <v>19287.039700000001</v>
        <stp/>
        <stp>FWRC1#CADINR#Month Wise Rates#0#Close17</stp>
        <tr r="M24" s="23"/>
      </tp>
      <tp>
        <v>-4.09</v>
        <stp/>
        <stp>FWRC1#USDCAD#Month Wise Rates#0#Close11</stp>
        <tr r="G31" s="23"/>
      </tp>
      <tp>
        <v>-106.76</v>
        <stp/>
        <stp>FWRC1#USDCHF#Month Wise Rates#0#Close18</stp>
        <tr r="N30" s="23"/>
      </tp>
      <tp>
        <v>-3.79</v>
        <stp/>
        <stp>FWRC1#USDCAD#Month Wise Rates#0#Close10</stp>
        <tr r="F31" s="23"/>
      </tp>
      <tp>
        <v>-7.37</v>
        <stp/>
        <stp>FWRC1#USDCAD#Month Wise Rates#0#Close13</stp>
        <tr r="I31" s="23"/>
      </tp>
      <tp>
        <v>-7.04</v>
        <stp/>
        <stp>FWRC1#USDCAD#Month Wise Rates#0#Close12</stp>
        <tr r="H31" s="23"/>
      </tp>
      <tp>
        <v>-6.48</v>
        <stp/>
        <stp>FWRC1#USDCAD#Month Wise Rates#0#Close15</stp>
        <tr r="K31" s="23"/>
      </tp>
      <tp>
        <v>-6.21</v>
        <stp/>
        <stp>FWRC1#USDCAD#Month Wise Rates#0#Close14</stp>
        <tr r="J31" s="23"/>
      </tp>
      <tp>
        <v>-4.2</v>
        <stp/>
        <stp>FWRC1#USDCAD#Month Wise Rates#0#Close17</stp>
        <tr r="M31" s="23"/>
      </tp>
      <tp>
        <v>-5.36</v>
        <stp/>
        <stp>FWRC1#USDCAD#Month Wise Rates#0#Close16</stp>
        <tr r="L31" s="23"/>
      </tp>
      <tp>
        <v>-35.130000000000003</v>
        <stp/>
        <stp>FWRC1#USDCHF#Month Wise Rates#0#Close10</stp>
        <tr r="F30" s="23"/>
      </tp>
      <tp>
        <v>-6</v>
        <stp/>
        <stp>FWRC1#USDCAD#Month Wise Rates#0#Close18</stp>
        <tr r="N31" s="23"/>
      </tp>
      <tp>
        <v>-43.08</v>
        <stp/>
        <stp>FWRC1#USDCHF#Month Wise Rates#0#Close11</stp>
        <tr r="G30" s="23"/>
      </tp>
      <tp>
        <v>-56.12</v>
        <stp/>
        <stp>FWRC1#USDCHF#Month Wise Rates#0#Close12</stp>
        <tr r="H30" s="23"/>
      </tp>
      <tp>
        <v>-64.56</v>
        <stp/>
        <stp>FWRC1#USDCHF#Month Wise Rates#0#Close13</stp>
        <tr r="I30" s="23"/>
      </tp>
      <tp>
        <v>-73.569999999999993</v>
        <stp/>
        <stp>FWRC1#USDCHF#Month Wise Rates#0#Close14</stp>
        <tr r="J30" s="23"/>
      </tp>
      <tp>
        <v>-82.8</v>
        <stp/>
        <stp>FWRC1#USDCHF#Month Wise Rates#0#Close15</stp>
        <tr r="K30" s="23"/>
      </tp>
      <tp>
        <v>-90.64</v>
        <stp/>
        <stp>FWRC1#USDCHF#Month Wise Rates#0#Close16</stp>
        <tr r="L30" s="23"/>
      </tp>
      <tp>
        <v>-98.69</v>
        <stp/>
        <stp>FWRC1#USDCHF#Month Wise Rates#0#Close17</stp>
        <tr r="M30" s="23"/>
      </tp>
      <tp>
        <v>-2.64</v>
        <stp/>
        <stp>FWRC1#AUDUSD#Month Wise Rates#0#Close17</stp>
        <tr r="M32" s="23"/>
      </tp>
      <tp>
        <v>-1.67</v>
        <stp/>
        <stp>FWRC1#AUDUSD#Month Wise Rates#0#Close16</stp>
        <tr r="L32" s="23"/>
      </tp>
      <tp>
        <v>-0.83</v>
        <stp/>
        <stp>FWRC1#AUDUSD#Month Wise Rates#0#Close15</stp>
        <tr r="K32" s="23"/>
      </tp>
      <tp>
        <v>-0.49</v>
        <stp/>
        <stp>FWRC1#AUDUSD#Month Wise Rates#0#Close14</stp>
        <tr r="J32" s="23"/>
      </tp>
      <tp>
        <v>0.21</v>
        <stp/>
        <stp>FWRC1#AUDUSD#Month Wise Rates#0#Close13</stp>
        <tr r="I32" s="23"/>
      </tp>
      <tp>
        <v>0.77</v>
        <stp/>
        <stp>FWRC1#AUDUSD#Month Wise Rates#0#Close12</stp>
        <tr r="H32" s="23"/>
      </tp>
      <tp>
        <v>0.98</v>
        <stp/>
        <stp>FWRC1#AUDUSD#Month Wise Rates#0#Close11</stp>
        <tr r="G32" s="23"/>
      </tp>
      <tp>
        <v>1.17</v>
        <stp/>
        <stp>FWRC1#AUDUSD#Month Wise Rates#0#Close10</stp>
        <tr r="F32" s="23"/>
      </tp>
      <tp>
        <v>-3.23</v>
        <stp/>
        <stp>FWRC1#AUDUSD#Month Wise Rates#0#Close18</stp>
        <tr r="N32" s="23"/>
      </tp>
      <tp>
        <v>84.71</v>
        <stp/>
        <stp>17#3#1#5949#EURINRCOMP#Close</stp>
        <tr r="H4" s="10"/>
      </tp>
      <tp>
        <v>0.20419999999999999</v>
        <stp/>
        <stp>FWRC1#GBPUSD#Month Wise Rates#0#Ask%10</stp>
        <tr r="G11" s="20"/>
      </tp>
      <tp>
        <v>0.18909999999999999</v>
        <stp/>
        <stp>FWRC1#GBPUSD#Month Wise Rates#0#Ask%11</stp>
        <tr r="H11" s="20"/>
      </tp>
      <tp>
        <v>0.25330000000000003</v>
        <stp/>
        <stp>FWRC1#GBPUSD#Month Wise Rates#0#Ask%12</stp>
        <tr r="I11" s="20"/>
      </tp>
      <tp>
        <v>0.2329</v>
        <stp/>
        <stp>FWRC1#GBPUSD#Month Wise Rates#0#Ask%13</stp>
        <tr r="J11" s="20"/>
      </tp>
      <tp>
        <v>0.2213</v>
        <stp/>
        <stp>FWRC1#GBPUSD#Month Wise Rates#0#Ask%14</stp>
        <tr r="K11" s="20"/>
      </tp>
      <tp>
        <v>0.22509999999999999</v>
        <stp/>
        <stp>FWRC1#GBPUSD#Month Wise Rates#0#Ask%15</stp>
        <tr r="L11" s="20"/>
      </tp>
      <tp>
        <v>0.20150000000000001</v>
        <stp/>
        <stp>FWRC1#GBPUSD#Month Wise Rates#0#Ask%16</stp>
        <tr r="M11" s="20"/>
      </tp>
      <tp>
        <v>0.19800000000000001</v>
        <stp/>
        <stp>FWRC1#GBPUSD#Month Wise Rates#0#Ask%17</stp>
        <tr r="N11" s="20"/>
      </tp>
      <tp>
        <v>0.1946</v>
        <stp/>
        <stp>FWRC1#GBPUSD#Month Wise Rates#0#Ask%18</stp>
        <tr r="O11" s="20"/>
      </tp>
      <tp>
        <v>0.17449999999999999</v>
        <stp/>
        <stp>FWRC1#GBPUSD#Month Wise Rates#0#Bid%18</stp>
        <tr r="O10" s="20"/>
      </tp>
      <tp>
        <v>0.2326</v>
        <stp/>
        <stp>FWRC1#GBPUSD#Month Wise Rates#0#Bid%12</stp>
        <tr r="I10" s="20"/>
      </tp>
      <tp>
        <v>0.21249999999999999</v>
        <stp/>
        <stp>FWRC1#GBPUSD#Month Wise Rates#0#Bid%13</stp>
        <tr r="J10" s="20"/>
      </tp>
      <tp>
        <v>0.1822</v>
        <stp/>
        <stp>FWRC1#GBPUSD#Month Wise Rates#0#Bid%10</stp>
        <tr r="G10" s="20"/>
      </tp>
      <tp>
        <v>0.16819999999999999</v>
        <stp/>
        <stp>FWRC1#GBPUSD#Month Wise Rates#0#Bid%11</stp>
        <tr r="H10" s="20"/>
      </tp>
      <tp>
        <v>0.1898</v>
        <stp/>
        <stp>FWRC1#GBPUSD#Month Wise Rates#0#Bid%16</stp>
        <tr r="M10" s="20"/>
      </tp>
      <tp>
        <v>0.17780000000000001</v>
        <stp/>
        <stp>FWRC1#GBPUSD#Month Wise Rates#0#Bid%17</stp>
        <tr r="N10" s="20"/>
      </tp>
      <tp>
        <v>0.2009</v>
        <stp/>
        <stp>FWRC1#GBPUSD#Month Wise Rates#0#Bid%14</stp>
        <tr r="K10" s="20"/>
      </tp>
      <tp>
        <v>0.2021</v>
        <stp/>
        <stp>FWRC1#GBPUSD#Month Wise Rates#0#Bid%15</stp>
        <tr r="L10" s="20"/>
      </tp>
      <tp>
        <v>94.29</v>
        <stp/>
        <stp>17#3#1#6031#GBPINRCOMP#High</stp>
        <tr r="F5" s="10"/>
        <tr r="C4" s="2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workbookViewId="0">
      <selection activeCell="G22" sqref="G22"/>
    </sheetView>
  </sheetViews>
  <sheetFormatPr defaultColWidth="8.85546875" defaultRowHeight="15" x14ac:dyDescent="0.25"/>
  <cols>
    <col min="1" max="1" width="12" bestFit="1" customWidth="1"/>
    <col min="4" max="4" width="9.5703125" bestFit="1" customWidth="1"/>
    <col min="8" max="8" width="8.7109375" bestFit="1" customWidth="1"/>
  </cols>
  <sheetData>
    <row r="1" spans="1:7" x14ac:dyDescent="0.25">
      <c r="A1" s="107" t="s">
        <v>13</v>
      </c>
      <c r="B1" s="107" t="s">
        <v>32</v>
      </c>
      <c r="C1" s="107" t="s">
        <v>31</v>
      </c>
      <c r="D1" s="107" t="s">
        <v>30</v>
      </c>
      <c r="E1" s="107" t="s">
        <v>29</v>
      </c>
      <c r="F1" s="107" t="s">
        <v>28</v>
      </c>
    </row>
    <row r="2" spans="1:7" x14ac:dyDescent="0.25">
      <c r="A2" s="107" t="s">
        <v>51</v>
      </c>
      <c r="B2" s="105">
        <f t="array" ref="B2">RTD("tickerplantrtdserver",,"FWRC1#USDINR#Month End Rates#0#BidPrice0")</f>
        <v>74.62</v>
      </c>
      <c r="C2" s="106">
        <f t="array" ref="C2">RTD("tickerplantrtdserver",,"FWRC1#USDINR#Month End Rates#0#BidPrice2")</f>
        <v>1.25</v>
      </c>
      <c r="D2" s="105">
        <f t="array" ref="D2">RTD("tickerplantrtdserver",,"FWRC1#USDINR#Month End Rates#0#FwdOutrightBid1")</f>
        <v>74.592500000000001</v>
      </c>
      <c r="E2" s="106">
        <f t="array" ref="E2">RTD("tickerplantrtdserver",,"FWRC1#USDINR#Month End Rates#0#BidPrice3")</f>
        <v>0.25</v>
      </c>
      <c r="F2" s="105">
        <f t="array" ref="F2">RTD("tickerplantrtdserver",,"FWRC1#USDINR#Month End Rates#0#FwdOutrightBid3")</f>
        <v>74.622500000000002</v>
      </c>
    </row>
    <row r="3" spans="1:7" ht="15.75" customHeight="1" x14ac:dyDescent="0.25">
      <c r="A3" s="107" t="s">
        <v>52</v>
      </c>
      <c r="B3" s="105">
        <f t="array" ref="B3">RTD("tickerplantrtdserver",,"FWRC1#USDINR#Month End Rates#0#AskPrice0")</f>
        <v>74.63</v>
      </c>
      <c r="C3" s="106">
        <f t="array" ref="C3">RTD("tickerplantrtdserver",,"FWRC1#USDINR#Month End Rates#0#AskPrice2")</f>
        <v>4.25</v>
      </c>
      <c r="D3" s="105">
        <f t="array" ref="D3">RTD("tickerplantrtdserver",,"FWRC1#USDINR#Month End Rates#0#FwdOutrightAsk1")</f>
        <v>74.632499999999993</v>
      </c>
      <c r="E3" s="106">
        <f t="array" ref="E3">RTD("tickerplantrtdserver",,"FWRC1#USDINR#Month End Rates#0#AskPrice3")</f>
        <v>1.25</v>
      </c>
      <c r="F3" s="105">
        <f t="array" ref="F3">RTD("tickerplantrtdserver",,"FWRC1#USDINR#Month End Rates#0#FwdOutrightAsk3")</f>
        <v>74.642499999999998</v>
      </c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workbookViewId="0"/>
  </sheetViews>
  <sheetFormatPr defaultColWidth="8.85546875" defaultRowHeight="15" x14ac:dyDescent="0.25"/>
  <cols>
    <col min="1" max="1" width="12" bestFit="1" customWidth="1"/>
  </cols>
  <sheetData>
    <row r="1" spans="1:7" x14ac:dyDescent="0.25">
      <c r="A1" s="107" t="s">
        <v>12</v>
      </c>
      <c r="B1" s="107" t="s">
        <v>32</v>
      </c>
      <c r="C1" s="107" t="s">
        <v>31</v>
      </c>
      <c r="D1" s="107" t="s">
        <v>30</v>
      </c>
      <c r="E1" s="107" t="s">
        <v>29</v>
      </c>
      <c r="F1" s="107" t="s">
        <v>28</v>
      </c>
      <c r="G1" s="2"/>
    </row>
    <row r="2" spans="1:7" ht="15.95" customHeight="1" x14ac:dyDescent="0.25">
      <c r="A2" s="107" t="s">
        <v>51</v>
      </c>
      <c r="B2" s="105">
        <f t="array" ref="B2">RTD("tickerplantrtdserver",,"FWRC1#EURINR#Month End Rates#0#BidPrice0")</f>
        <v>83.864999999999995</v>
      </c>
      <c r="C2" s="106">
        <f t="array" ref="C2">RTD("tickerplantrtdserver",,"FWRC1#EURINR#Month End Rates#0#BidPrice2")</f>
        <v>2.1055000000000001</v>
      </c>
      <c r="D2" s="105">
        <f t="array" ref="D2">RTD("tickerplantrtdserver",,"FWRC1#EURINR#Month End Rates#0#FwdOutrightBid1")</f>
        <v>84.654399999999995</v>
      </c>
      <c r="E2" s="106">
        <f t="array" ref="E2">RTD("tickerplantrtdserver",,"FWRC1#EURINR#Month End Rates#0#BidPrice3")</f>
        <v>0.44440000000000002</v>
      </c>
      <c r="F2" s="105">
        <f t="array" ref="F2">RTD("tickerplantrtdserver",,"FWRC1#EURINR#Month End Rates#0#FwdOutrightBid3")</f>
        <v>84.693700000000007</v>
      </c>
      <c r="G2" s="2"/>
    </row>
    <row r="3" spans="1:7" ht="15.75" customHeight="1" x14ac:dyDescent="0.25">
      <c r="A3" s="107" t="s">
        <v>52</v>
      </c>
      <c r="B3" s="105">
        <f t="array" ref="B3">RTD("tickerplantrtdserver",,"FWRC1#EURINR#Month End Rates#0#AskPrice0")</f>
        <v>83.88</v>
      </c>
      <c r="C3" s="106">
        <f t="array" ref="C3">RTD("tickerplantrtdserver",,"FWRC1#EURINR#Month End Rates#0#AskPrice2")</f>
        <v>5.5594000000000001</v>
      </c>
      <c r="D3" s="105">
        <f t="array" ref="D3">RTD("tickerplantrtdserver",,"FWRC1#EURINR#Month End Rates#0#FwdOutrightAsk1")</f>
        <v>84.706400000000002</v>
      </c>
      <c r="E3" s="106">
        <f t="array" ref="E3">RTD("tickerplantrtdserver",,"FWRC1#EURINR#Month End Rates#0#AskPrice3")</f>
        <v>1.6279999999999999</v>
      </c>
      <c r="F3" s="105">
        <f t="array" ref="F3">RTD("tickerplantrtdserver",,"FWRC1#EURINR#Month End Rates#0#FwdOutrightAsk3")</f>
        <v>84.723100000000002</v>
      </c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"/>
  <sheetViews>
    <sheetView workbookViewId="0"/>
  </sheetViews>
  <sheetFormatPr defaultColWidth="8.85546875" defaultRowHeight="15" x14ac:dyDescent="0.25"/>
  <cols>
    <col min="1" max="1" width="12" bestFit="1" customWidth="1"/>
  </cols>
  <sheetData>
    <row r="1" spans="1:7" x14ac:dyDescent="0.25">
      <c r="A1" s="107" t="s">
        <v>11</v>
      </c>
      <c r="B1" s="107" t="s">
        <v>32</v>
      </c>
      <c r="C1" s="107" t="s">
        <v>31</v>
      </c>
      <c r="D1" s="107" t="s">
        <v>30</v>
      </c>
      <c r="E1" s="107" t="s">
        <v>29</v>
      </c>
      <c r="F1" s="107" t="s">
        <v>28</v>
      </c>
      <c r="G1" s="2"/>
    </row>
    <row r="2" spans="1:7" ht="15.95" customHeight="1" x14ac:dyDescent="0.25">
      <c r="A2" s="107" t="s">
        <v>51</v>
      </c>
      <c r="B2" s="105">
        <f t="array" ref="B2">RTD("tickerplantrtdserver",,"FWRC1#GBPINR#Month End Rates#0#BidPrice0")</f>
        <v>93.875</v>
      </c>
      <c r="C2" s="106">
        <f>RTD("tickerplantrtdserver",,"FWRC1#GBPINR#Month End Rates#0#BidPrice2")/100</f>
        <v>1.6616089999999999</v>
      </c>
      <c r="D2" s="104">
        <f t="array" ref="D2">RTD("tickerplantrtdserver",,"FWRC1#GBPINR#Month End Rates#0#FwdOutrightBid1")</f>
        <v>93.819599999999994</v>
      </c>
      <c r="E2" s="106">
        <f>RTD("tickerplantrtdserver",,"FWRC1#GBPINR#Month End Rates#0#BidPrice3")/100</f>
        <v>0.32575699999999996</v>
      </c>
      <c r="F2" s="105">
        <f t="array" ref="F2">RTD("tickerplantrtdserver",,"FWRC1#GBPINR#Month End Rates#0#FwdOutrightBid3")</f>
        <v>93.858500000000006</v>
      </c>
      <c r="G2" s="2"/>
    </row>
    <row r="3" spans="1:7" ht="15.75" customHeight="1" x14ac:dyDescent="0.25">
      <c r="A3" s="107" t="s">
        <v>52</v>
      </c>
      <c r="B3" s="105">
        <f t="array" ref="B3">RTD("tickerplantrtdserver",,"FWRC1#GBPINR#Month End Rates#0#AskPrice0")</f>
        <v>93.924999999999997</v>
      </c>
      <c r="C3" s="106">
        <f>RTD("tickerplantrtdserver",,"FWRC1#GBPINR#Month End Rates#0#AskPrice2")/100</f>
        <v>5.5359169999999995</v>
      </c>
      <c r="D3" s="104">
        <f t="array" ref="D3">RTD("tickerplantrtdserver",,"FWRC1#GBPINR#Month End Rates#0#FwdOutrightAsk1")</f>
        <v>93.9084</v>
      </c>
      <c r="E3" s="106">
        <f>RTD("tickerplantrtdserver",,"FWRC1#GBPINR#Month End Rates#0#AskPrice3")/100</f>
        <v>1.6470070000000001</v>
      </c>
      <c r="F3" s="105">
        <f t="array" ref="F3">RTD("tickerplantrtdserver",,"FWRC1#GBPINR#Month End Rates#0#FwdOutrightAsk3")</f>
        <v>93.921700000000001</v>
      </c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5"/>
  <sheetViews>
    <sheetView workbookViewId="0"/>
  </sheetViews>
  <sheetFormatPr defaultColWidth="8.85546875" defaultRowHeight="15" x14ac:dyDescent="0.25"/>
  <cols>
    <col min="1" max="1" width="12" bestFit="1" customWidth="1"/>
    <col min="8" max="8" width="8.7109375" bestFit="1" customWidth="1"/>
  </cols>
  <sheetData>
    <row r="1" spans="1:7" x14ac:dyDescent="0.25">
      <c r="A1" s="107" t="s">
        <v>10</v>
      </c>
      <c r="B1" s="107" t="s">
        <v>32</v>
      </c>
      <c r="C1" s="107" t="s">
        <v>31</v>
      </c>
      <c r="D1" s="107" t="s">
        <v>30</v>
      </c>
      <c r="E1" s="107" t="s">
        <v>29</v>
      </c>
      <c r="F1" s="107" t="s">
        <v>28</v>
      </c>
      <c r="G1" s="2"/>
    </row>
    <row r="2" spans="1:7" ht="15.95" customHeight="1" x14ac:dyDescent="0.25">
      <c r="A2" s="107" t="s">
        <v>51</v>
      </c>
      <c r="B2" s="105">
        <f t="array" ref="B2">RTD("tickerplantrtdserver",,"FWRC1#JPYINR#Month End Rates#0#BidPrice0")</f>
        <v>69.834999999999994</v>
      </c>
      <c r="C2" s="106">
        <f>RTD("tickerplantrtdserver",,"FWRC1#JPYINR#Month End Rates#0#BidPrice2")/100</f>
        <v>1.3953100000000001</v>
      </c>
      <c r="D2" s="105">
        <f t="array" ref="D2">RTD("tickerplantrtdserver",,"FWRC1#JPYINR#Month End Rates#0#FwdOutrightBid1")</f>
        <v>69.791200000000003</v>
      </c>
      <c r="E2" s="106">
        <f>RTD("tickerplantrtdserver",,"FWRC1#JPYINR#Month End Rates#0#BidPrice3")/100</f>
        <v>0.28430700000000003</v>
      </c>
      <c r="F2" s="105">
        <f t="array" ref="F2">RTD("tickerplantrtdserver",,"FWRC1#JPYINR#Month End Rates#0#FwdOutrightBid3")</f>
        <v>69.822299999999998</v>
      </c>
      <c r="G2" s="2"/>
    </row>
    <row r="3" spans="1:7" ht="15.75" customHeight="1" x14ac:dyDescent="0.25">
      <c r="A3" s="107" t="s">
        <v>52</v>
      </c>
      <c r="B3" s="105">
        <f t="array" ref="B3">RTD("tickerplantrtdserver",,"FWRC1#JPYINR#Month End Rates#0#AskPrice0")</f>
        <v>69.87</v>
      </c>
      <c r="C3" s="106">
        <f>RTD("tickerplantrtdserver",,"FWRC1#JPYINR#Month End Rates#0#AskPrice2")/100</f>
        <v>4.3813909999999998</v>
      </c>
      <c r="D3" s="105">
        <f t="array" ref="D3">RTD("tickerplantrtdserver",,"FWRC1#JPYINR#Month End Rates#0#FwdOutrightAsk1")</f>
        <v>69.855999999999995</v>
      </c>
      <c r="E3" s="106">
        <f>RTD("tickerplantrtdserver",,"FWRC1#JPYINR#Month End Rates#0#AskPrice3")/100</f>
        <v>1.2666599999999999</v>
      </c>
      <c r="F3" s="105">
        <f t="array" ref="F3">RTD("tickerplantrtdserver",,"FWRC1#JPYINR#Month End Rates#0#FwdOutrightAsk3")</f>
        <v>69.867199999999997</v>
      </c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43"/>
  <sheetViews>
    <sheetView workbookViewId="0"/>
  </sheetViews>
  <sheetFormatPr defaultColWidth="8.85546875" defaultRowHeight="15" x14ac:dyDescent="0.25"/>
  <cols>
    <col min="8" max="16" width="9.7109375" style="2" customWidth="1"/>
    <col min="17" max="17" width="8.7109375" bestFit="1" customWidth="1"/>
  </cols>
  <sheetData>
    <row r="1" spans="1:9" x14ac:dyDescent="0.25">
      <c r="A1" s="24"/>
      <c r="B1" s="19" t="s">
        <v>36</v>
      </c>
      <c r="C1" s="19" t="s">
        <v>37</v>
      </c>
      <c r="D1" s="19" t="s">
        <v>35</v>
      </c>
      <c r="E1" s="19" t="s">
        <v>38</v>
      </c>
      <c r="F1" s="19" t="s">
        <v>39</v>
      </c>
      <c r="G1" s="19" t="s">
        <v>34</v>
      </c>
      <c r="H1" s="22" t="s">
        <v>40</v>
      </c>
      <c r="I1" s="18" t="s">
        <v>33</v>
      </c>
    </row>
    <row r="2" spans="1:9" ht="15.75" customHeight="1" x14ac:dyDescent="0.25">
      <c r="A2" s="25" t="s">
        <v>27</v>
      </c>
      <c r="B2" s="42">
        <f>RTD("tickerplantrtdserver",,"47#5#1#5629#USD1M.LIBOR#LTP")</f>
        <v>0.16375000000000001</v>
      </c>
      <c r="C2" s="42">
        <f>RTD("tickerplantrtdserver",,"47#5#1#5629#USD2M.LIBOR#LTP")</f>
        <v>0.23375000000000001</v>
      </c>
      <c r="D2" s="42">
        <f>RTD("tickerplantrtdserver",,"47#5#1#5629#USD3M.LIBOR#LTP")</f>
        <v>0.30375000000000002</v>
      </c>
      <c r="E2" s="42">
        <f>RTD("tickerplantrtdserver",,"47#5#1#5629#USD4M.LIBOR#LTP")</f>
        <v>0.31709999999999999</v>
      </c>
      <c r="F2" s="42">
        <f>RTD("tickerplantrtdserver",,"47#5#1#5629#USD5M.LIBOR#LTP")</f>
        <v>0.36725999999999998</v>
      </c>
      <c r="G2" s="42">
        <f>RTD("tickerplantrtdserver",,"47#5#1#5629#USD6M.LIBOR#LTP")</f>
        <v>0.36613000000000001</v>
      </c>
      <c r="H2" s="44">
        <f>RTD("tickerplantrtdserver",,"47#5#1#5629#USD9M.LIBOR#LTP")</f>
        <v>0.55079999999999996</v>
      </c>
      <c r="I2" s="45">
        <f>RTD("tickerplantrtdserver",,"47#5#1#5629#USD1Y.LIBOR#LTP")</f>
        <v>0.53863000000000005</v>
      </c>
    </row>
    <row r="3" spans="1:9" x14ac:dyDescent="0.25">
      <c r="A3" s="25" t="s">
        <v>25</v>
      </c>
      <c r="B3" s="42">
        <f>RTD("tickerplantrtdserver",,"47#5#1#5629#EUR1M.LIBOR#LTP")</f>
        <v>-0.49729000000000001</v>
      </c>
      <c r="C3" s="42">
        <f>RTD("tickerplantrtdserver",,"47#5#1#5629#EUR2M.LIBOR#LTP")</f>
        <v>-0.44229000000000002</v>
      </c>
      <c r="D3" s="42">
        <f>RTD("tickerplantrtdserver",,"47#5#1#5629#EUR3M.LIBOR#LTP")</f>
        <v>-0.39885999999999999</v>
      </c>
      <c r="E3" s="42">
        <f>RTD("tickerplantrtdserver",,"47#5#1#5629#EUR4M.LIBOR#LTP")</f>
        <v>0.14713999999999999</v>
      </c>
      <c r="F3" s="42">
        <f>RTD("tickerplantrtdserver",,"47#5#1#5629#EUR5M.LIBOR#LTP")</f>
        <v>0.17357</v>
      </c>
      <c r="G3" s="42">
        <f>RTD("tickerplantrtdserver",,"47#5#1#5629#EUR6M.LIBOR#LTP")</f>
        <v>-0.33443000000000001</v>
      </c>
      <c r="H3" s="44">
        <f>RTD("tickerplantrtdserver",,"47#5#1#5629#EUR9M.LIBOR#LTP")</f>
        <v>0.29357</v>
      </c>
      <c r="I3" s="45">
        <f>RTD("tickerplantrtdserver",,"47#5#1#5629#EUR1Y.LIBOR#LTP")</f>
        <v>-0.23557</v>
      </c>
    </row>
    <row r="4" spans="1:9" x14ac:dyDescent="0.25">
      <c r="A4" s="25" t="s">
        <v>23</v>
      </c>
      <c r="B4" s="42">
        <f>RTD("tickerplantrtdserver",,"47#5#1#5629#GBP1M.LIBOR#LTP")</f>
        <v>8.0250000000000002E-2</v>
      </c>
      <c r="C4" s="42">
        <f>RTD("tickerplantrtdserver",,"47#5#1#5629#GBP2M.LIBOR#LTP")</f>
        <v>0.11713</v>
      </c>
      <c r="D4" s="42">
        <f>RTD("tickerplantrtdserver",,"47#5#1#5629#GBP3M.LIBOR#LTP")</f>
        <v>0.13775000000000001</v>
      </c>
      <c r="E4" s="42">
        <f>RTD("tickerplantrtdserver",,"47#5#1#5629#GBP4M.LIBOR#LTP")</f>
        <v>0.53</v>
      </c>
      <c r="F4" s="42">
        <f>RTD("tickerplantrtdserver",,"47#5#1#5629#GBP5M.LIBOR#LTP")</f>
        <v>0.56188000000000005</v>
      </c>
      <c r="G4" s="42">
        <f>RTD("tickerplantrtdserver",,"47#5#1#5629#GBP6M.LIBOR#LTP")</f>
        <v>0.29249999999999998</v>
      </c>
      <c r="H4" s="44">
        <f>RTD("tickerplantrtdserver",,"47#5#1#5629#GBP9M.LIBOR#LTP")</f>
        <v>0.73624999999999996</v>
      </c>
      <c r="I4" s="45">
        <f>RTD("tickerplantrtdserver",,"47#5#1#5629#GBP1Y.LIBOR#LTP")</f>
        <v>0.42649999999999999</v>
      </c>
    </row>
    <row r="5" spans="1:9" ht="15.75" thickBot="1" x14ac:dyDescent="0.3">
      <c r="A5" s="26" t="s">
        <v>22</v>
      </c>
      <c r="B5" s="16">
        <f>RTD("tickerplantrtdserver",,"47#5#1#5629#JPY1M.LIBOR#LTP")</f>
        <v>-7.7170000000000002E-2</v>
      </c>
      <c r="C5" s="16">
        <f>RTD("tickerplantrtdserver",,"47#5#1#5629#JPY2M.LIBOR#LTP")</f>
        <v>-5.3330000000000002E-2</v>
      </c>
      <c r="D5" s="16">
        <f>RTD("tickerplantrtdserver",,"47#5#1#5629#JPY3M.LIBOR#LTP")</f>
        <v>-4.7E-2</v>
      </c>
      <c r="E5" s="16">
        <f>RTD("tickerplantrtdserver",,"47#5#1#5629#JPY2M.LIBOR#LTP")</f>
        <v>-5.3330000000000002E-2</v>
      </c>
      <c r="F5" s="16">
        <f>RTD("tickerplantrtdserver",,"47#5#1#5629#JPY5M.LIBOR#LTP")</f>
        <v>0.21571000000000001</v>
      </c>
      <c r="G5" s="16">
        <f>RTD("tickerplantrtdserver",,"47#5#1#5629#JPY6M.LIBOR#LTP")</f>
        <v>-2.3E-2</v>
      </c>
      <c r="H5" s="46">
        <f>RTD("tickerplantrtdserver",,"47#5#1#5629#JPY9M.LIBOR#LTP")</f>
        <v>0.35428999999999999</v>
      </c>
      <c r="I5" s="47">
        <f>RTD("tickerplantrtdserver",,"47#5#1#5629#JPY1Y.LIBOR#LTP")</f>
        <v>0.11117</v>
      </c>
    </row>
    <row r="10" spans="1:9" s="14" customFormat="1" x14ac:dyDescent="0.25"/>
    <row r="11" spans="1:9" s="14" customFormat="1" ht="15.75" customHeight="1" x14ac:dyDescent="0.25"/>
    <row r="12" spans="1:9" s="14" customFormat="1" x14ac:dyDescent="0.25"/>
    <row r="22" spans="17:29" s="2" customFormat="1" x14ac:dyDescent="0.25"/>
    <row r="23" spans="17:29" x14ac:dyDescent="0.25"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7:29" x14ac:dyDescent="0.25"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7:29" x14ac:dyDescent="0.25"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30" spans="17:29" x14ac:dyDescent="0.25"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7:29" x14ac:dyDescent="0.25"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7:29" x14ac:dyDescent="0.25"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7:29" x14ac:dyDescent="0.25"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7:29" x14ac:dyDescent="0.25"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7:29" x14ac:dyDescent="0.25"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7:29" x14ac:dyDescent="0.25"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7:29" x14ac:dyDescent="0.25"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7:29" x14ac:dyDescent="0.25"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7:29" x14ac:dyDescent="0.25"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7:29" x14ac:dyDescent="0.25"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14"/>
    </row>
    <row r="41" spans="17:29" x14ac:dyDescent="0.25">
      <c r="Q41" s="14"/>
      <c r="R41" s="20"/>
      <c r="S41" s="20"/>
      <c r="T41" s="20"/>
      <c r="U41" s="20"/>
      <c r="V41" s="20"/>
      <c r="W41" s="20"/>
      <c r="X41" s="20"/>
      <c r="Y41" s="20"/>
      <c r="Z41" s="20"/>
      <c r="AA41" s="14"/>
      <c r="AB41" s="14"/>
    </row>
    <row r="42" spans="17:29" x14ac:dyDescent="0.25">
      <c r="Q42" s="14"/>
      <c r="R42" s="20"/>
      <c r="S42" s="20"/>
      <c r="T42" s="20"/>
      <c r="U42" s="20"/>
      <c r="V42" s="20"/>
      <c r="W42" s="20"/>
      <c r="X42" s="20"/>
      <c r="Y42" s="20"/>
      <c r="Z42" s="20"/>
      <c r="AA42" s="14"/>
      <c r="AB42" s="14"/>
    </row>
    <row r="43" spans="17:29" x14ac:dyDescent="0.25">
      <c r="R43" s="2"/>
      <c r="S43" s="2"/>
      <c r="T43" s="2"/>
      <c r="U43" s="2"/>
      <c r="V43" s="2"/>
      <c r="W43" s="2"/>
      <c r="X43" s="2"/>
      <c r="Y43" s="2"/>
      <c r="Z4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14"/>
  <sheetViews>
    <sheetView workbookViewId="0">
      <selection activeCell="H13" sqref="H13"/>
    </sheetView>
  </sheetViews>
  <sheetFormatPr defaultColWidth="8.85546875" defaultRowHeight="15" x14ac:dyDescent="0.25"/>
  <cols>
    <col min="1" max="1" width="12.7109375" bestFit="1" customWidth="1"/>
    <col min="8" max="8" width="9.7109375" bestFit="1" customWidth="1"/>
    <col min="9" max="9" width="9" customWidth="1"/>
    <col min="10" max="10" width="8.7109375" customWidth="1"/>
    <col min="11" max="11" width="7.7109375" bestFit="1" customWidth="1"/>
  </cols>
  <sheetData>
    <row r="1" spans="1:12" s="14" customFormat="1" x14ac:dyDescent="0.25">
      <c r="A1" s="155" t="s">
        <v>41</v>
      </c>
      <c r="B1" s="151" t="s">
        <v>49</v>
      </c>
      <c r="C1" s="151" t="s">
        <v>50</v>
      </c>
      <c r="D1" s="151" t="s">
        <v>21</v>
      </c>
      <c r="E1" s="151" t="s">
        <v>20</v>
      </c>
      <c r="F1" s="151" t="s">
        <v>19</v>
      </c>
      <c r="G1" s="151" t="s">
        <v>18</v>
      </c>
      <c r="H1" s="151" t="s">
        <v>17</v>
      </c>
      <c r="I1" s="151" t="s">
        <v>16</v>
      </c>
      <c r="J1" s="153" t="s">
        <v>15</v>
      </c>
    </row>
    <row r="2" spans="1:12" s="14" customFormat="1" ht="15.75" customHeight="1" x14ac:dyDescent="0.25">
      <c r="A2" s="156"/>
      <c r="B2" s="152"/>
      <c r="C2" s="152"/>
      <c r="D2" s="152"/>
      <c r="E2" s="152"/>
      <c r="F2" s="152"/>
      <c r="G2" s="152"/>
      <c r="H2" s="152"/>
      <c r="I2" s="152"/>
      <c r="J2" s="154"/>
      <c r="K2" s="30"/>
    </row>
    <row r="3" spans="1:12" s="14" customFormat="1" x14ac:dyDescent="0.25">
      <c r="A3" s="7" t="s">
        <v>13</v>
      </c>
      <c r="B3" s="5">
        <f>RTD("tickerplantrtdserver",,"17#1#1#6069#USDINRCOMP#Bid")</f>
        <v>74.62</v>
      </c>
      <c r="C3" s="5">
        <f>RTD("tickerplantrtdserver",,"17#1#1#6069#USDINRCOMP#Ask")</f>
        <v>74.63</v>
      </c>
      <c r="D3" s="17">
        <f>RTD("tickerplantrtdserver",,"17#1#1#6069#USDINRCOMP#%Chg")</f>
        <v>-0.52</v>
      </c>
      <c r="E3" s="5">
        <f>RTD("tickerplantrtdserver",,"17#1#1#6069#USDINRCOMP#Open")</f>
        <v>74.650000000000006</v>
      </c>
      <c r="F3" s="5">
        <f>RTD("tickerplantrtdserver",,"17#1#1#6069#USDINRCOMP#High")</f>
        <v>74.995000000000005</v>
      </c>
      <c r="G3" s="5">
        <f>RTD("tickerplantrtdserver",,"17#1#1#6069#USDINRCOMP#Low")</f>
        <v>74.612499999999997</v>
      </c>
      <c r="H3" s="9">
        <f>RTD("tickerplantrtdserver",,"17#1#1#6069#USDINRCOMP#Close")</f>
        <v>75.010000000000005</v>
      </c>
      <c r="I3" s="9">
        <f>RTD("tickerplantrtdserver",,"17#1#1#6069#USDINRCOMP#52WkHigh")</f>
        <v>76.905000000000001</v>
      </c>
      <c r="J3" s="48">
        <f>RTD("tickerplantrtdserver",,"17#1#1#6069#USDINRCOMP#52WkLow")</f>
        <v>68.290000000000006</v>
      </c>
      <c r="K3" s="15"/>
    </row>
    <row r="4" spans="1:12" s="14" customFormat="1" x14ac:dyDescent="0.25">
      <c r="A4" s="7" t="s">
        <v>12</v>
      </c>
      <c r="B4" s="5">
        <f>RTD("tickerplantrtdserver",,"17#3#1#5949#EURINRCOMP#Bid")</f>
        <v>83.864999999999995</v>
      </c>
      <c r="C4" s="5">
        <f>RTD("tickerplantrtdserver",,"17#3#1#5949#EURINRCOMP#Ask")</f>
        <v>83.88</v>
      </c>
      <c r="D4" s="17">
        <f>RTD("tickerplantrtdserver",,"17#3#1#5949#EURINRCOMP#%Chg")</f>
        <v>-1</v>
      </c>
      <c r="E4" s="5">
        <f>RTD("tickerplantrtdserver",,"17#3#1#5949#EURINRCOMP#Open")</f>
        <v>84.907499999999999</v>
      </c>
      <c r="F4" s="5">
        <f>RTD("tickerplantrtdserver",,"17#3#1#5949#EURINRCOMP#High")</f>
        <v>84.984999999999999</v>
      </c>
      <c r="G4" s="9">
        <f>RTD("tickerplantrtdserver",,"17#3#1#5949#EURINRCOMP#Low")</f>
        <v>83.82</v>
      </c>
      <c r="H4" s="9">
        <f>RTD("tickerplantrtdserver",,"17#3#1#5949#EURINRCOMP#Close")</f>
        <v>84.71</v>
      </c>
      <c r="I4" s="9">
        <f>RTD("tickerplantrtdserver",,"17#3#1#5949#EURINRCOMP#52WkHigh")</f>
        <v>0</v>
      </c>
      <c r="J4" s="27">
        <f>RTD("tickerplantrtdserver",,"17#3#1#5949#EURINRCOMP#52WkHigh")</f>
        <v>0</v>
      </c>
      <c r="K4" s="20"/>
    </row>
    <row r="5" spans="1:12" s="14" customFormat="1" x14ac:dyDescent="0.25">
      <c r="A5" s="7" t="s">
        <v>11</v>
      </c>
      <c r="B5" s="5">
        <f>RTD("tickerplantrtdserver",,"17#3#1#6031#GBPINRCOMP#Bid")</f>
        <v>93.015000000000001</v>
      </c>
      <c r="C5" s="5">
        <f>RTD("tickerplantrtdserver",,"17#3#1#6031#GBPINRCOMP#Ask")</f>
        <v>93.045000000000002</v>
      </c>
      <c r="D5" s="17">
        <f>RTD("tickerplantrtdserver",,"17#3#1#6031#GBPINRCOMP#%Chg")</f>
        <v>-0.92</v>
      </c>
      <c r="E5" s="5">
        <f>RTD("tickerplantrtdserver",,"17#3#1#6031#GBPINRCOMP#Open")</f>
        <v>94.19</v>
      </c>
      <c r="F5" s="5">
        <f>RTD("tickerplantrtdserver",,"17#3#1#6031#GBPINRCOMP#High")</f>
        <v>94.29</v>
      </c>
      <c r="G5" s="9">
        <f>RTD("tickerplantrtdserver",,"17#3#1#6031#GBPINRCOMP#Low")</f>
        <v>92.954999999999998</v>
      </c>
      <c r="H5" s="5">
        <f>RTD("tickerplantrtdserver",,"17#3#1#6031#GBPINRCOMP#Close")</f>
        <v>93.875</v>
      </c>
      <c r="I5" s="5">
        <f>RTD("tickerplantrtdserver",,"17#3#1#6031#GBPINRCOMP#52WkHigh")</f>
        <v>0</v>
      </c>
      <c r="J5" s="27">
        <f>RTD("tickerplantrtdserver",,"17#3#1#6031#GBPINRCOMP#52WkLow")</f>
        <v>0</v>
      </c>
      <c r="K5" s="20"/>
    </row>
    <row r="6" spans="1:12" s="14" customFormat="1" x14ac:dyDescent="0.25">
      <c r="A6" s="28" t="s">
        <v>10</v>
      </c>
      <c r="B6" s="5">
        <f>RTD("tickerplantrtdserver",,"17#3#1#5978#JPYINRCOMP#Bid")</f>
        <v>69.435000000000002</v>
      </c>
      <c r="C6" s="5">
        <f>RTD("tickerplantrtdserver",,"17#3#1#5978#JPYINRCOMP#Ask")</f>
        <v>69.459999999999994</v>
      </c>
      <c r="D6" s="4">
        <f>RTD("tickerplantrtdserver",,"17#3#1#5978#JPYINRCOMP#%Chg")</f>
        <v>-0.56999999999999995</v>
      </c>
      <c r="E6" s="5">
        <f>RTD("tickerplantrtdserver",,"17#3#1#5978#JPYINRCOMP#Open")</f>
        <v>70.287499999999994</v>
      </c>
      <c r="F6" s="5">
        <f>RTD("tickerplantrtdserver",,"17#3#1#5978#JPYINRCOMP#High")</f>
        <v>70.367500000000007</v>
      </c>
      <c r="G6" s="49">
        <f>RTD("tickerplantrtdserver",,"17#3#1#5978#JPYINRCOMP#Low")</f>
        <v>69.392499999999998</v>
      </c>
      <c r="H6" s="5">
        <f>RTD("tickerplantrtdserver",,"17#3#1#5978#JPYINRCOMP#Close")</f>
        <v>69.834999999999994</v>
      </c>
      <c r="I6" s="5">
        <f>RTD("tickerplantrtdserver",,"17#3#1#5978#JPYINRCOMP#52WkHigh")</f>
        <v>0</v>
      </c>
      <c r="J6" s="27">
        <f>RTD("tickerplantrtdserver",,"17#3#1#5978#JPYINRCOMP#52WkLow")</f>
        <v>0</v>
      </c>
      <c r="K6" s="20"/>
    </row>
    <row r="7" spans="1:12" s="14" customFormat="1" x14ac:dyDescent="0.25">
      <c r="A7" s="28" t="s">
        <v>9</v>
      </c>
      <c r="B7" s="5">
        <f>RTD("tickerplantrtdserver",,"12#2#1#5949#SEURUSD#Bid")</f>
        <v>1.1228</v>
      </c>
      <c r="C7" s="5">
        <f>RTD("tickerplantrtdserver",,"12#2#1#5949#SEURUSD#Ask")</f>
        <v>1.1232</v>
      </c>
      <c r="D7" s="17">
        <f>RTD("tickerplantrtdserver",,"12#2#1#5949#SEURUSD#%Chg")</f>
        <v>-0.08</v>
      </c>
      <c r="E7" s="5">
        <f>RTD("tickerplantrtdserver",,"12#2#1#5949#SEURUSD#Open")</f>
        <v>1.1235900000000001</v>
      </c>
      <c r="F7" s="5">
        <f>RTD("tickerplantrtdserver",,"12#2#1#5949#SEURUSD#High")</f>
        <v>1.1249199999999999</v>
      </c>
      <c r="G7" s="49">
        <f>RTD("tickerplantrtdserver",,"12#2#1#5949#SEURUSD#Low")</f>
        <v>1.1217999999999999</v>
      </c>
      <c r="H7" s="5">
        <f>RTD("tickerplantrtdserver",,"12#2#1#5949#SEURUSD#Close")</f>
        <v>1.1237200000000001</v>
      </c>
      <c r="I7" s="5">
        <f>RTD("tickerplantrtdserver",,"12#2#1#5949#SEURUSD#52WkHigh")</f>
        <v>1.1496</v>
      </c>
      <c r="J7" s="27">
        <f>RTD("tickerplantrtdserver",,"12#2#1#5949#SEURUSD#52WkLow")</f>
        <v>1.0634999999999999</v>
      </c>
      <c r="K7" s="20"/>
    </row>
    <row r="8" spans="1:12" s="14" customFormat="1" x14ac:dyDescent="0.25">
      <c r="A8" s="28" t="s">
        <v>8</v>
      </c>
      <c r="B8" s="5">
        <f>RTD("tickerplantrtdserver",,"12#2#1#6031#SGBPUSD#Bid")</f>
        <v>1.2456199999999999</v>
      </c>
      <c r="C8" s="5">
        <f>RTD("tickerplantrtdserver",,"12#2#1#6031#SGBPUSD#Ask")</f>
        <v>1.2457</v>
      </c>
      <c r="D8" s="17">
        <f>RTD("tickerplantrtdserver",,"12#2#1#6031#SGBPUSD#%Chg")</f>
        <v>-0.06</v>
      </c>
      <c r="E8" s="5">
        <f>RTD("tickerplantrtdserver",,"12#2#1#6031#SGBPUSD#Open")</f>
        <v>1.2463</v>
      </c>
      <c r="F8" s="5">
        <f>RTD("tickerplantrtdserver",,"12#2#1#6031#SGBPUSD#High")</f>
        <v>1.24865</v>
      </c>
      <c r="G8" s="49">
        <f>RTD("tickerplantrtdserver",,"12#2#1#6031#SGBPUSD#Low")</f>
        <v>1.24369</v>
      </c>
      <c r="H8" s="5">
        <f>RTD("tickerplantrtdserver",,"12#2#1#6031#SGBPUSD#Close")</f>
        <v>1.2463299999999999</v>
      </c>
      <c r="I8" s="5">
        <f>RTD("tickerplantrtdserver",,"12#2#1#6031#SGBPUSD#52WkHigh")</f>
        <v>1.3514900000000001</v>
      </c>
      <c r="J8" s="27">
        <f>RTD("tickerplantrtdserver",,"12#2#1#6031#SGBPUSD#52WkLow")</f>
        <v>1.1407799999999999</v>
      </c>
    </row>
    <row r="9" spans="1:12" ht="15.75" thickBot="1" x14ac:dyDescent="0.3">
      <c r="A9" s="6" t="s">
        <v>7</v>
      </c>
      <c r="B9" s="50">
        <f>RTD("tickerplantrtdserver",,"12#2#1#6069#SUSDJPY#Bid")</f>
        <v>107.50700000000001</v>
      </c>
      <c r="C9" s="50">
        <f>RTD("tickerplantrtdserver",,"12#2#1#6069#SUSDJPY#Ask")</f>
        <v>107.51600000000001</v>
      </c>
      <c r="D9" s="50">
        <f>RTD("tickerplantrtdserver",,"12#2#1#6069#SUSDJPY#%Chg")</f>
        <v>-0.01</v>
      </c>
      <c r="E9" s="50">
        <f>RTD("tickerplantrtdserver",,"12#2#1#6069#SUSDJPY#Open")</f>
        <v>107.52200000000001</v>
      </c>
      <c r="F9" s="50">
        <f>RTD("tickerplantrtdserver",,"12#2#1#6069#SUSDJPY#High")</f>
        <v>107.569</v>
      </c>
      <c r="G9" s="51">
        <f>RTD("tickerplantrtdserver",,"12#2#1#6069#SUSDJPY#Low")</f>
        <v>107.4</v>
      </c>
      <c r="H9" s="50">
        <f>RTD("tickerplantrtdserver",,"12#2#1#6069#SUSDJPY#Close")</f>
        <v>107.52200000000001</v>
      </c>
      <c r="I9" s="50">
        <f>RTD("tickerplantrtdserver",,"12#2#1#6069#SUSDJPY#52WkHigh")</f>
        <v>112.22799999999999</v>
      </c>
      <c r="J9" s="52">
        <f>RTD("tickerplantrtdserver",,"12#2#1#6069#SUSDJPY#52WkLow")</f>
        <v>101.178</v>
      </c>
    </row>
    <row r="10" spans="1:12" ht="15.9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s="14" customFormat="1" x14ac:dyDescent="0.25"/>
    <row r="12" spans="1:12" s="14" customFormat="1" ht="15.75" customHeight="1" x14ac:dyDescent="0.25"/>
    <row r="13" spans="1:12" s="14" customFormat="1" ht="15.75" customHeight="1" x14ac:dyDescent="0.25"/>
    <row r="14" spans="1:12" ht="15.75" customHeight="1" x14ac:dyDescent="0.25"/>
  </sheetData>
  <mergeCells count="10">
    <mergeCell ref="I1:I2"/>
    <mergeCell ref="J1:J2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31"/>
  <sheetViews>
    <sheetView workbookViewId="0">
      <selection activeCell="H21" sqref="H21"/>
    </sheetView>
  </sheetViews>
  <sheetFormatPr defaultColWidth="8.85546875" defaultRowHeight="15" x14ac:dyDescent="0.25"/>
  <cols>
    <col min="1" max="7" width="9.140625" style="14"/>
    <col min="8" max="8" width="9.7109375" style="14" bestFit="1" customWidth="1"/>
    <col min="9" max="9" width="9" style="14" customWidth="1"/>
    <col min="10" max="10" width="8.7109375" style="14" customWidth="1"/>
    <col min="11" max="11" width="7.7109375" bestFit="1" customWidth="1"/>
    <col min="12" max="12" width="8.85546875" bestFit="1" customWidth="1"/>
    <col min="13" max="14" width="8.28515625" bestFit="1" customWidth="1"/>
    <col min="15" max="15" width="7.85546875" bestFit="1" customWidth="1"/>
  </cols>
  <sheetData>
    <row r="1" spans="1:20" s="35" customFormat="1" ht="15.75" thickBot="1" x14ac:dyDescent="0.3">
      <c r="A1" s="12" t="s">
        <v>14</v>
      </c>
      <c r="B1" s="11" t="s">
        <v>1</v>
      </c>
      <c r="C1" s="10" t="s">
        <v>0</v>
      </c>
    </row>
    <row r="2" spans="1:20" s="35" customFormat="1" ht="15.75" customHeight="1" x14ac:dyDescent="0.25">
      <c r="A2" s="8" t="s">
        <v>13</v>
      </c>
      <c r="B2" s="53">
        <f>RTD("tickerplantrtdserver",,"35#1#1#6069#FUTCUR#N1#0#XX#Bid")</f>
        <v>74.827500000000001</v>
      </c>
      <c r="C2" s="54">
        <f>RTD("tickerplantrtdserver",,"35#1#1#6069#FUTCUR#N1#0#XX#Ask")</f>
        <v>74.83</v>
      </c>
      <c r="D2" s="36"/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</row>
    <row r="3" spans="1:20" s="35" customFormat="1" x14ac:dyDescent="0.25">
      <c r="A3" s="7" t="s">
        <v>12</v>
      </c>
      <c r="B3" s="5">
        <f>RTD("tickerplantrtdserver",,"35#1#1#5949#FUTCUR#N1#0#XX#Bid")</f>
        <v>84.045000000000002</v>
      </c>
      <c r="C3" s="27">
        <f>RTD("tickerplantrtdserver",,"35#1#1#5949#FUTCUR#N1#0#XX#Ask")</f>
        <v>84.047499999999999</v>
      </c>
      <c r="D3" s="37"/>
      <c r="E3" s="37"/>
      <c r="F3" s="37"/>
      <c r="G3" s="36"/>
      <c r="H3" s="36"/>
      <c r="I3" s="38"/>
      <c r="J3" s="38"/>
      <c r="K3" s="38"/>
      <c r="L3" s="38"/>
      <c r="M3" s="38"/>
      <c r="N3" s="38"/>
      <c r="O3" s="38"/>
    </row>
    <row r="4" spans="1:20" s="35" customFormat="1" x14ac:dyDescent="0.25">
      <c r="A4" s="7" t="s">
        <v>11</v>
      </c>
      <c r="B4" s="5">
        <f>RTD("tickerplantrtdserver",,"35#1#1#6031#FUTCUR#N1#0#XX#Bid")</f>
        <v>93.17</v>
      </c>
      <c r="C4" s="27">
        <f>RTD("tickerplantrtdserver",,"35#1#1#6031#FUTCUR#N1#0#XX#Ask")</f>
        <v>93.18</v>
      </c>
      <c r="D4" s="37"/>
      <c r="E4" s="37"/>
      <c r="F4" s="37"/>
      <c r="G4" s="36"/>
      <c r="H4" s="36"/>
      <c r="I4" s="36"/>
      <c r="J4" s="36"/>
      <c r="K4" s="36"/>
      <c r="L4" s="36"/>
      <c r="M4" s="36"/>
      <c r="N4" s="36"/>
      <c r="O4" s="36"/>
    </row>
    <row r="5" spans="1:20" s="35" customFormat="1" ht="15.75" thickBot="1" x14ac:dyDescent="0.3">
      <c r="A5" s="6" t="s">
        <v>10</v>
      </c>
      <c r="B5" s="29">
        <f>RTD("tickerplantrtdserver",,"35#1#1#5978#FUTCUR#N1#0#XX#Bid")</f>
        <v>69.63</v>
      </c>
      <c r="C5" s="43">
        <f>RTD("tickerplantrtdserver",,"35#1#1#5978#FUTCUR#N1#0#XX#Ask")</f>
        <v>69.642499999999998</v>
      </c>
      <c r="D5" s="39"/>
      <c r="E5" s="36"/>
      <c r="F5" s="39"/>
      <c r="G5" s="36"/>
      <c r="H5" s="36"/>
      <c r="I5" s="36"/>
      <c r="J5" s="36"/>
      <c r="K5" s="36"/>
      <c r="L5" s="36"/>
      <c r="M5" s="36"/>
      <c r="N5" s="36"/>
      <c r="O5" s="36"/>
    </row>
    <row r="6" spans="1:20" s="35" customFormat="1" x14ac:dyDescent="0.25">
      <c r="A6" s="37"/>
      <c r="B6" s="36"/>
      <c r="C6" s="40"/>
      <c r="D6" s="39"/>
      <c r="E6" s="36"/>
      <c r="F6" s="39"/>
      <c r="G6" s="36"/>
      <c r="H6" s="36"/>
      <c r="I6" s="36"/>
      <c r="J6" s="36"/>
      <c r="K6" s="36"/>
      <c r="L6" s="36"/>
      <c r="M6" s="36"/>
      <c r="N6" s="36"/>
      <c r="O6" s="36"/>
    </row>
    <row r="7" spans="1:20" s="35" customFormat="1" x14ac:dyDescent="0.25">
      <c r="A7" s="36"/>
      <c r="B7" s="36"/>
      <c r="C7" s="36"/>
      <c r="D7" s="36"/>
      <c r="E7" s="36"/>
      <c r="F7" s="36"/>
      <c r="G7" s="36"/>
      <c r="H7" s="36"/>
      <c r="I7" s="41"/>
      <c r="J7" s="41"/>
      <c r="K7" s="36"/>
      <c r="L7" s="36"/>
      <c r="M7" s="36"/>
      <c r="N7" s="36"/>
      <c r="O7" s="36"/>
    </row>
    <row r="8" spans="1:20" s="35" customFormat="1" x14ac:dyDescent="0.25">
      <c r="A8" s="36"/>
      <c r="B8" s="36"/>
      <c r="C8" s="36"/>
      <c r="D8" s="36"/>
      <c r="E8" s="36"/>
      <c r="F8" s="36"/>
      <c r="G8" s="36"/>
      <c r="K8" s="36"/>
      <c r="L8" s="36"/>
      <c r="P8" s="36"/>
      <c r="Q8" s="36"/>
    </row>
    <row r="9" spans="1:20" x14ac:dyDescent="0.25">
      <c r="A9" s="20"/>
      <c r="B9" s="20"/>
      <c r="C9" s="20"/>
      <c r="D9" s="20"/>
      <c r="E9" s="20"/>
      <c r="F9" s="20"/>
      <c r="G9" s="20"/>
      <c r="K9" s="58"/>
      <c r="L9" s="58"/>
      <c r="M9" s="14"/>
      <c r="N9" s="14"/>
      <c r="O9" s="14"/>
      <c r="P9" s="58"/>
      <c r="Q9" s="58"/>
      <c r="R9" s="14"/>
      <c r="S9" s="14"/>
      <c r="T9" s="14"/>
    </row>
    <row r="10" spans="1:20" x14ac:dyDescent="0.25">
      <c r="A10" s="20"/>
      <c r="B10" s="31"/>
      <c r="C10" s="31"/>
      <c r="D10" s="20"/>
      <c r="E10" s="20"/>
      <c r="F10" s="20"/>
      <c r="G10" s="20"/>
      <c r="K10" s="58"/>
      <c r="L10" s="58"/>
      <c r="M10" s="14"/>
      <c r="N10" s="14"/>
      <c r="O10" s="14"/>
      <c r="P10" s="58"/>
      <c r="Q10" s="58"/>
      <c r="R10" s="14"/>
      <c r="S10" s="14"/>
      <c r="T10" s="14"/>
    </row>
    <row r="11" spans="1:20" s="14" customFormat="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1:20" s="14" customFormat="1" ht="15.7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s="14" customFormat="1" ht="15.95" customHeight="1" x14ac:dyDescent="0.25">
      <c r="A13" s="13"/>
      <c r="B13" s="21"/>
      <c r="C13" s="21"/>
      <c r="D13" s="20"/>
      <c r="E13" s="21"/>
      <c r="F13" s="21"/>
      <c r="G13" s="21"/>
      <c r="H13" s="32"/>
      <c r="I13" s="32"/>
      <c r="J13" s="32"/>
      <c r="K13" s="21"/>
      <c r="L13" s="21"/>
      <c r="M13" s="32"/>
      <c r="N13" s="32"/>
      <c r="O13" s="32"/>
      <c r="P13" s="21"/>
      <c r="Q13" s="21"/>
      <c r="R13" s="32"/>
      <c r="S13" s="32"/>
      <c r="T13" s="32"/>
    </row>
    <row r="14" spans="1:20" ht="15.75" customHeight="1" x14ac:dyDescent="0.25">
      <c r="A14" s="13"/>
      <c r="B14" s="21"/>
      <c r="C14" s="21"/>
      <c r="D14" s="20"/>
      <c r="E14" s="21"/>
      <c r="F14" s="33"/>
      <c r="G14" s="34"/>
      <c r="H14" s="34"/>
      <c r="I14" s="34"/>
      <c r="J14" s="21"/>
      <c r="K14" s="33"/>
      <c r="L14" s="34"/>
      <c r="M14" s="34"/>
      <c r="N14" s="34"/>
      <c r="O14" s="21"/>
      <c r="P14" s="33"/>
      <c r="Q14" s="34"/>
      <c r="R14" s="34"/>
      <c r="S14" s="34"/>
      <c r="T14" s="21"/>
    </row>
    <row r="15" spans="1:20" x14ac:dyDescent="0.25">
      <c r="A15" s="13"/>
      <c r="B15" s="21"/>
      <c r="C15" s="21"/>
      <c r="D15" s="20"/>
      <c r="E15" s="20"/>
      <c r="G15" s="13"/>
      <c r="H15" s="20"/>
      <c r="I15" s="20"/>
      <c r="J15" s="20"/>
      <c r="K15" s="14"/>
      <c r="L15" s="13"/>
      <c r="M15" s="58"/>
      <c r="N15" s="58"/>
      <c r="O15" s="58"/>
      <c r="P15" s="14"/>
      <c r="Q15" s="13"/>
      <c r="R15" s="58"/>
      <c r="S15" s="58"/>
      <c r="T15" s="58"/>
    </row>
    <row r="16" spans="1:20" x14ac:dyDescent="0.25">
      <c r="A16" s="15"/>
      <c r="B16" s="21"/>
      <c r="C16" s="21"/>
      <c r="D16" s="20"/>
      <c r="E16" s="20"/>
      <c r="G16" s="15"/>
      <c r="H16" s="20"/>
      <c r="I16" s="20"/>
      <c r="J16" s="20"/>
      <c r="K16" s="14"/>
      <c r="L16" s="15"/>
      <c r="M16" s="58"/>
      <c r="N16" s="58"/>
      <c r="O16" s="58"/>
      <c r="P16" s="14"/>
      <c r="Q16" s="15"/>
      <c r="R16" s="58"/>
      <c r="S16" s="58"/>
      <c r="T16" s="58"/>
    </row>
    <row r="17" spans="1:20" x14ac:dyDescent="0.25">
      <c r="A17" s="15"/>
      <c r="B17" s="21"/>
      <c r="C17" s="21"/>
      <c r="D17" s="20"/>
      <c r="E17" s="20"/>
      <c r="G17" s="15"/>
      <c r="H17" s="20"/>
      <c r="I17" s="20"/>
      <c r="J17" s="20"/>
      <c r="K17" s="14"/>
      <c r="L17" s="15"/>
      <c r="M17" s="58"/>
      <c r="N17" s="58"/>
      <c r="O17" s="58"/>
      <c r="P17" s="14"/>
      <c r="Q17" s="15"/>
      <c r="R17" s="58"/>
      <c r="S17" s="58"/>
      <c r="T17" s="58"/>
    </row>
    <row r="18" spans="1:20" x14ac:dyDescent="0.25">
      <c r="A18" s="15"/>
      <c r="B18" s="21"/>
      <c r="C18" s="21"/>
      <c r="D18" s="20"/>
      <c r="E18" s="20"/>
      <c r="G18" s="15"/>
      <c r="H18" s="20"/>
      <c r="I18" s="20"/>
      <c r="J18" s="20"/>
      <c r="K18" s="14"/>
      <c r="L18" s="15"/>
      <c r="M18" s="58"/>
      <c r="N18" s="58"/>
      <c r="O18" s="58"/>
      <c r="P18" s="14"/>
      <c r="Q18" s="15"/>
      <c r="R18" s="58"/>
      <c r="S18" s="58"/>
      <c r="T18" s="58"/>
    </row>
    <row r="19" spans="1:20" x14ac:dyDescent="0.25">
      <c r="A19" s="15"/>
      <c r="B19" s="21"/>
      <c r="C19" s="21"/>
      <c r="D19" s="20"/>
      <c r="E19" s="20"/>
      <c r="G19" s="15"/>
      <c r="H19" s="20"/>
      <c r="I19" s="20"/>
      <c r="J19" s="20"/>
      <c r="K19" s="14"/>
      <c r="L19" s="15"/>
      <c r="M19" s="58"/>
      <c r="N19" s="58"/>
      <c r="O19" s="58"/>
      <c r="P19" s="14"/>
      <c r="Q19" s="15"/>
      <c r="R19" s="58"/>
      <c r="S19" s="58"/>
      <c r="T19" s="58"/>
    </row>
    <row r="20" spans="1:20" x14ac:dyDescent="0.25"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5"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x14ac:dyDescent="0.25"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31" spans="1:20" x14ac:dyDescent="0.25">
      <c r="P31" s="5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24"/>
  <sheetViews>
    <sheetView workbookViewId="0">
      <selection activeCell="C3" sqref="C3"/>
    </sheetView>
  </sheetViews>
  <sheetFormatPr defaultColWidth="8.85546875" defaultRowHeight="15" x14ac:dyDescent="0.25"/>
  <cols>
    <col min="1" max="7" width="9.140625" style="14"/>
    <col min="8" max="8" width="9.7109375" style="14" bestFit="1" customWidth="1"/>
    <col min="9" max="9" width="9" style="14" customWidth="1"/>
    <col min="10" max="10" width="8.7109375" style="14" customWidth="1"/>
    <col min="11" max="11" width="7.7109375" bestFit="1" customWidth="1"/>
    <col min="12" max="12" width="8.85546875" bestFit="1" customWidth="1"/>
    <col min="13" max="14" width="8.42578125" bestFit="1" customWidth="1"/>
    <col min="15" max="15" width="7.85546875" bestFit="1" customWidth="1"/>
  </cols>
  <sheetData>
    <row r="1" spans="1:19" s="35" customFormat="1" ht="15.75" thickBot="1" x14ac:dyDescent="0.3">
      <c r="A1" s="12" t="s">
        <v>14</v>
      </c>
      <c r="B1" s="11" t="s">
        <v>1</v>
      </c>
      <c r="C1" s="10" t="s">
        <v>0</v>
      </c>
    </row>
    <row r="2" spans="1:19" s="35" customFormat="1" ht="15.75" customHeight="1" x14ac:dyDescent="0.25">
      <c r="A2" s="8" t="s">
        <v>13</v>
      </c>
      <c r="B2" s="53">
        <f>RTD("tickerplantrtdserver",,"35#1#1#6069#FUTCUR#N2#0#XX#Bid")</f>
        <v>75.047499999999999</v>
      </c>
      <c r="C2" s="54">
        <f>RTD("tickerplantrtdserver",,"35#1#1#6069#FUTCUR#N2#0#XX#Ask")</f>
        <v>75.055000000000007</v>
      </c>
      <c r="D2" s="36"/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</row>
    <row r="3" spans="1:19" s="35" customFormat="1" x14ac:dyDescent="0.25">
      <c r="A3" s="7" t="s">
        <v>12</v>
      </c>
      <c r="B3" s="5">
        <f>RTD("tickerplantrtdserver",,"35#1#1#5949#FUTCUR#N2#0#XX#Bid")</f>
        <v>84.3</v>
      </c>
      <c r="C3" s="27">
        <f>RTD("tickerplantrtdserver",,"35#1#1#5949#FUTCUR#N2#0#XX#Ask")</f>
        <v>84.3125</v>
      </c>
      <c r="D3" s="37"/>
      <c r="E3" s="37"/>
      <c r="F3" s="37"/>
      <c r="G3" s="36"/>
      <c r="H3" s="36"/>
      <c r="I3" s="38"/>
      <c r="J3" s="38"/>
      <c r="K3" s="38"/>
      <c r="L3" s="38"/>
      <c r="M3" s="38"/>
      <c r="N3" s="38"/>
      <c r="O3" s="38"/>
    </row>
    <row r="4" spans="1:19" s="35" customFormat="1" x14ac:dyDescent="0.25">
      <c r="A4" s="7" t="s">
        <v>11</v>
      </c>
      <c r="B4" s="5">
        <f>RTD("tickerplantrtdserver",,"35#1#1#6031#FUTCUR#N2#0#XX#Bid")</f>
        <v>93.45</v>
      </c>
      <c r="C4" s="27">
        <f>RTD("tickerplantrtdserver",,"35#1#1#6031#FUTCUR#N2#0#XX#Ask")</f>
        <v>93.454999999999998</v>
      </c>
      <c r="D4" s="37"/>
      <c r="E4" s="37"/>
      <c r="F4" s="37"/>
      <c r="G4" s="36"/>
      <c r="H4" s="36"/>
      <c r="I4" s="36"/>
      <c r="J4" s="36"/>
      <c r="K4" s="36"/>
      <c r="L4" s="36"/>
      <c r="M4" s="36"/>
      <c r="N4" s="36"/>
      <c r="O4" s="36"/>
    </row>
    <row r="5" spans="1:19" s="35" customFormat="1" ht="15.75" thickBot="1" x14ac:dyDescent="0.3">
      <c r="A5" s="6" t="s">
        <v>10</v>
      </c>
      <c r="B5" s="29">
        <f>RTD("tickerplantrtdserver",,"35#1#1#5978#FUTCUR#N2#0#XX#Bid")</f>
        <v>69.864999999999995</v>
      </c>
      <c r="C5" s="43">
        <f>RTD("tickerplantrtdserver",,"35#1#1#5978#FUTCUR#N2#0#XX#Ask")</f>
        <v>69.892499999999998</v>
      </c>
      <c r="D5" s="39"/>
      <c r="E5" s="36"/>
      <c r="F5" s="39"/>
      <c r="G5" s="36"/>
      <c r="H5" s="36"/>
      <c r="I5" s="36"/>
      <c r="J5" s="36"/>
      <c r="K5" s="36"/>
      <c r="L5" s="36"/>
      <c r="M5" s="36"/>
      <c r="N5" s="36"/>
      <c r="O5" s="36"/>
    </row>
    <row r="6" spans="1:19" s="35" customFormat="1" x14ac:dyDescent="0.25">
      <c r="A6" s="37"/>
      <c r="B6" s="36"/>
      <c r="C6" s="40"/>
      <c r="D6" s="39"/>
      <c r="E6" s="36"/>
      <c r="F6" s="39"/>
      <c r="G6" s="36"/>
      <c r="H6" s="36"/>
      <c r="I6" s="36"/>
      <c r="J6" s="36"/>
      <c r="K6" s="36"/>
      <c r="L6" s="36"/>
      <c r="M6" s="36"/>
      <c r="N6" s="36"/>
      <c r="O6" s="36"/>
    </row>
    <row r="7" spans="1:19" s="35" customFormat="1" x14ac:dyDescent="0.25">
      <c r="A7" s="36"/>
      <c r="B7" s="36"/>
      <c r="C7" s="36"/>
      <c r="D7" s="36"/>
      <c r="E7" s="36"/>
      <c r="F7" s="36"/>
      <c r="G7" s="36"/>
      <c r="H7" s="36"/>
      <c r="I7" s="41"/>
      <c r="J7" s="41"/>
      <c r="K7" s="36"/>
      <c r="L7" s="36"/>
      <c r="M7" s="36"/>
      <c r="N7" s="36"/>
      <c r="O7" s="36"/>
    </row>
    <row r="8" spans="1:19" s="35" customFormat="1" x14ac:dyDescent="0.25">
      <c r="A8" s="36"/>
      <c r="B8" s="36"/>
      <c r="C8" s="36"/>
      <c r="D8" s="36"/>
      <c r="E8" s="36"/>
      <c r="F8" s="36"/>
      <c r="G8" s="36"/>
      <c r="J8" s="36"/>
      <c r="M8" s="36"/>
      <c r="P8" s="36"/>
      <c r="S8" s="36"/>
    </row>
    <row r="9" spans="1:19" x14ac:dyDescent="0.25">
      <c r="A9" s="20"/>
      <c r="B9" s="20"/>
      <c r="C9" s="20"/>
      <c r="D9" s="20"/>
      <c r="E9" s="20"/>
      <c r="F9" s="20"/>
      <c r="G9" s="20"/>
      <c r="J9" s="58"/>
      <c r="K9" s="14"/>
      <c r="L9" s="14"/>
      <c r="M9" s="58"/>
      <c r="N9" s="14"/>
      <c r="O9" s="14"/>
      <c r="P9" s="58"/>
      <c r="Q9" s="14"/>
      <c r="R9" s="14"/>
      <c r="S9" s="58"/>
    </row>
    <row r="10" spans="1:19" x14ac:dyDescent="0.25">
      <c r="A10" s="20"/>
      <c r="B10" s="31"/>
      <c r="C10" s="31"/>
      <c r="D10" s="20"/>
      <c r="E10" s="20"/>
      <c r="F10" s="20"/>
      <c r="G10" s="20"/>
      <c r="J10" s="58"/>
      <c r="K10" s="14"/>
      <c r="L10" s="14"/>
      <c r="M10" s="58"/>
      <c r="N10" s="14"/>
      <c r="O10" s="14"/>
      <c r="P10" s="58"/>
      <c r="Q10" s="14"/>
      <c r="R10" s="14"/>
      <c r="S10" s="58"/>
    </row>
    <row r="11" spans="1:19" s="14" customFormat="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s="14" customFormat="1" ht="15.7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s="14" customFormat="1" ht="15.95" customHeight="1" x14ac:dyDescent="0.25">
      <c r="A13" s="13"/>
      <c r="B13" s="21"/>
      <c r="C13" s="21"/>
      <c r="D13" s="20"/>
      <c r="E13" s="21"/>
      <c r="F13" s="21"/>
      <c r="G13" s="21"/>
      <c r="H13" s="32"/>
      <c r="I13" s="32"/>
      <c r="J13" s="21"/>
      <c r="K13" s="32"/>
      <c r="L13" s="32"/>
      <c r="M13" s="21"/>
      <c r="N13" s="32"/>
      <c r="O13" s="32"/>
      <c r="P13" s="21"/>
      <c r="Q13" s="32"/>
      <c r="R13" s="32"/>
      <c r="S13" s="21"/>
    </row>
    <row r="14" spans="1:19" ht="15.75" customHeight="1" x14ac:dyDescent="0.25">
      <c r="A14" s="13"/>
      <c r="B14" s="21"/>
      <c r="C14" s="21"/>
      <c r="D14" s="20"/>
      <c r="E14" s="21"/>
      <c r="F14" s="33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</row>
    <row r="15" spans="1:19" x14ac:dyDescent="0.25">
      <c r="A15" s="13"/>
      <c r="B15" s="21"/>
      <c r="C15" s="21"/>
      <c r="D15" s="20"/>
      <c r="E15" s="20"/>
      <c r="G15" s="13"/>
      <c r="H15" s="20"/>
      <c r="I15" s="20"/>
      <c r="J15" s="13"/>
      <c r="K15" s="58"/>
      <c r="L15" s="58"/>
      <c r="M15" s="13"/>
      <c r="N15" s="58"/>
      <c r="O15" s="58"/>
      <c r="P15" s="13"/>
      <c r="Q15" s="58"/>
      <c r="R15" s="58"/>
      <c r="S15" s="13"/>
    </row>
    <row r="16" spans="1:19" x14ac:dyDescent="0.25">
      <c r="A16" s="15"/>
      <c r="B16" s="21"/>
      <c r="C16" s="21"/>
      <c r="D16" s="20"/>
      <c r="E16" s="20"/>
      <c r="G16" s="15"/>
      <c r="H16" s="20"/>
      <c r="I16" s="20"/>
      <c r="J16" s="15"/>
      <c r="K16" s="58"/>
      <c r="L16" s="58"/>
      <c r="M16" s="15"/>
      <c r="N16" s="58"/>
      <c r="O16" s="58"/>
      <c r="P16" s="15"/>
      <c r="Q16" s="58"/>
      <c r="R16" s="58"/>
      <c r="S16" s="15"/>
    </row>
    <row r="17" spans="1:19" x14ac:dyDescent="0.25">
      <c r="A17" s="15"/>
      <c r="B17" s="21"/>
      <c r="C17" s="21"/>
      <c r="D17" s="20"/>
      <c r="E17" s="20"/>
      <c r="G17" s="15"/>
      <c r="H17" s="20"/>
      <c r="I17" s="20"/>
      <c r="J17" s="15"/>
      <c r="K17" s="58"/>
      <c r="L17" s="58"/>
      <c r="M17" s="15"/>
      <c r="N17" s="58"/>
      <c r="O17" s="58"/>
      <c r="P17" s="15"/>
      <c r="Q17" s="58"/>
      <c r="R17" s="58"/>
      <c r="S17" s="15"/>
    </row>
    <row r="18" spans="1:19" x14ac:dyDescent="0.25">
      <c r="A18" s="15"/>
      <c r="B18" s="21"/>
      <c r="C18" s="21"/>
      <c r="D18" s="20"/>
      <c r="E18" s="20"/>
      <c r="G18" s="15"/>
      <c r="H18" s="20"/>
      <c r="I18" s="20"/>
      <c r="J18" s="15"/>
      <c r="K18" s="58"/>
      <c r="L18" s="58"/>
      <c r="M18" s="15"/>
      <c r="N18" s="58"/>
      <c r="O18" s="58"/>
      <c r="P18" s="15"/>
      <c r="Q18" s="58"/>
      <c r="R18" s="58"/>
      <c r="S18" s="15"/>
    </row>
    <row r="19" spans="1:19" x14ac:dyDescent="0.25">
      <c r="A19" s="15"/>
      <c r="B19" s="21"/>
      <c r="C19" s="21"/>
      <c r="D19" s="20"/>
      <c r="E19" s="20"/>
      <c r="G19" s="15"/>
      <c r="H19" s="20"/>
      <c r="I19" s="20"/>
      <c r="J19" s="15"/>
      <c r="K19" s="58"/>
      <c r="L19" s="58"/>
      <c r="M19" s="15"/>
      <c r="N19" s="58"/>
      <c r="O19" s="58"/>
      <c r="P19" s="15"/>
      <c r="Q19" s="58"/>
      <c r="R19" s="58"/>
      <c r="S19" s="15"/>
    </row>
    <row r="20" spans="1:19" x14ac:dyDescent="0.25">
      <c r="K20" s="14"/>
      <c r="L20" s="14"/>
      <c r="M20" s="14"/>
      <c r="N20" s="14"/>
      <c r="O20" s="14"/>
      <c r="P20" s="14"/>
      <c r="Q20" s="14"/>
      <c r="R20" s="14"/>
      <c r="S20" s="14"/>
    </row>
    <row r="21" spans="1:19" x14ac:dyDescent="0.25">
      <c r="K21" s="14"/>
      <c r="L21" s="14"/>
      <c r="M21" s="14"/>
      <c r="N21" s="14"/>
      <c r="O21" s="14"/>
      <c r="P21" s="14"/>
      <c r="Q21" s="14"/>
      <c r="R21" s="14"/>
      <c r="S21" s="14"/>
    </row>
    <row r="22" spans="1:19" x14ac:dyDescent="0.25">
      <c r="K22" s="14"/>
      <c r="L22" s="14"/>
      <c r="M22" s="14"/>
      <c r="N22" s="14"/>
      <c r="O22" s="14"/>
      <c r="P22" s="14"/>
      <c r="Q22" s="14"/>
      <c r="R22" s="14"/>
      <c r="S22" s="14"/>
    </row>
    <row r="23" spans="1:19" x14ac:dyDescent="0.25">
      <c r="K23" s="14"/>
      <c r="L23" s="14"/>
      <c r="M23" s="14"/>
      <c r="N23" s="14"/>
      <c r="O23" s="14"/>
      <c r="P23" s="14"/>
      <c r="Q23" s="14"/>
      <c r="R23" s="14"/>
      <c r="S23" s="14"/>
    </row>
    <row r="24" spans="1:19" x14ac:dyDescent="0.25">
      <c r="K24" s="14"/>
      <c r="L24" s="14"/>
      <c r="M24" s="14"/>
      <c r="N24" s="14"/>
      <c r="O24" s="14"/>
      <c r="P24" s="14"/>
      <c r="Q24" s="14"/>
      <c r="R24" s="14"/>
      <c r="S24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23"/>
  <sheetViews>
    <sheetView topLeftCell="D1" workbookViewId="0">
      <selection activeCell="E13" sqref="E13"/>
    </sheetView>
  </sheetViews>
  <sheetFormatPr defaultColWidth="8.85546875" defaultRowHeight="15" x14ac:dyDescent="0.25"/>
  <cols>
    <col min="1" max="7" width="9.140625" style="14"/>
    <col min="8" max="8" width="9.7109375" style="14" bestFit="1" customWidth="1"/>
    <col min="9" max="9" width="9" style="14" customWidth="1"/>
    <col min="10" max="10" width="8.7109375" style="14" customWidth="1"/>
    <col min="11" max="11" width="7.7109375" bestFit="1" customWidth="1"/>
    <col min="12" max="12" width="8.85546875" bestFit="1" customWidth="1"/>
    <col min="13" max="14" width="8.28515625" bestFit="1" customWidth="1"/>
    <col min="15" max="15" width="7.85546875" bestFit="1" customWidth="1"/>
  </cols>
  <sheetData>
    <row r="1" spans="1:19" s="35" customFormat="1" ht="15.75" thickBot="1" x14ac:dyDescent="0.3">
      <c r="A1" s="12" t="s">
        <v>14</v>
      </c>
      <c r="B1" s="11" t="s">
        <v>1</v>
      </c>
      <c r="C1" s="10" t="s">
        <v>0</v>
      </c>
    </row>
    <row r="2" spans="1:19" s="35" customFormat="1" ht="15.75" customHeight="1" x14ac:dyDescent="0.25">
      <c r="A2" s="8" t="s">
        <v>13</v>
      </c>
      <c r="B2" s="53">
        <f>RTD("tickerplantrtdserver",,"35#1#1#6069#FUTCUR#N3#0#XX#Bid")</f>
        <v>75.265000000000001</v>
      </c>
      <c r="C2" s="54">
        <f>RTD("tickerplantrtdserver",,"35#1#1#6069#FUTCUR#N3#0#XX#Ask")</f>
        <v>75.282499999999999</v>
      </c>
      <c r="D2" s="36"/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</row>
    <row r="3" spans="1:19" s="35" customFormat="1" x14ac:dyDescent="0.25">
      <c r="A3" s="7" t="s">
        <v>12</v>
      </c>
      <c r="B3" s="5">
        <f>RTD("tickerplantrtdserver",,"35#1#1#5949#FUTCUR#N3#0#XX#Bid")</f>
        <v>84.58</v>
      </c>
      <c r="C3" s="27">
        <f>RTD("tickerplantrtdserver",,"35#1#1#5949#FUTCUR#N3#0#XX#Ask")</f>
        <v>84.602500000000006</v>
      </c>
      <c r="D3" s="37"/>
      <c r="E3" s="37"/>
      <c r="F3" s="37"/>
      <c r="G3" s="36"/>
      <c r="H3" s="36"/>
      <c r="I3" s="38"/>
      <c r="J3" s="38"/>
      <c r="K3" s="38"/>
      <c r="L3" s="38"/>
      <c r="M3" s="38"/>
      <c r="N3" s="38"/>
      <c r="O3" s="38"/>
    </row>
    <row r="4" spans="1:19" s="35" customFormat="1" x14ac:dyDescent="0.25">
      <c r="A4" s="7" t="s">
        <v>11</v>
      </c>
      <c r="B4" s="5">
        <f>RTD("tickerplantrtdserver",,"35#1#1#6031#FUTCUR#N3#0#XX#Bid")</f>
        <v>93.7</v>
      </c>
      <c r="C4" s="27">
        <f>RTD("tickerplantrtdserver",,"35#1#1#6031#FUTCUR#N3#0#XX#Ask")</f>
        <v>93.752499999999998</v>
      </c>
      <c r="D4" s="37"/>
      <c r="E4" s="37"/>
      <c r="F4" s="37"/>
      <c r="G4" s="36"/>
      <c r="H4" s="36"/>
      <c r="I4" s="36"/>
      <c r="J4" s="36"/>
      <c r="K4" s="36"/>
      <c r="L4" s="36"/>
      <c r="M4" s="36"/>
      <c r="N4" s="36"/>
      <c r="O4" s="36"/>
    </row>
    <row r="5" spans="1:19" s="35" customFormat="1" ht="15.75" thickBot="1" x14ac:dyDescent="0.3">
      <c r="A5" s="6" t="s">
        <v>10</v>
      </c>
      <c r="B5" s="29">
        <f>RTD("tickerplantrtdserver",,"35#1#1#5978#FUTCUR#N3#0#XX#Bid")</f>
        <v>70.099999999999994</v>
      </c>
      <c r="C5" s="43">
        <f>RTD("tickerplantrtdserver",,"35#1#1#5978#FUTCUR#N3#0#XX#Ask")</f>
        <v>70.16</v>
      </c>
      <c r="D5" s="39"/>
      <c r="E5" s="36"/>
      <c r="F5" s="39"/>
      <c r="G5" s="36"/>
      <c r="H5" s="36"/>
      <c r="I5" s="36"/>
      <c r="J5" s="36"/>
      <c r="K5" s="36"/>
      <c r="L5" s="36"/>
      <c r="M5" s="36"/>
      <c r="N5" s="36"/>
      <c r="O5" s="36"/>
    </row>
    <row r="6" spans="1:19" s="35" customFormat="1" x14ac:dyDescent="0.25">
      <c r="A6" s="37"/>
      <c r="B6" s="36"/>
      <c r="C6" s="40"/>
      <c r="D6" s="39"/>
      <c r="E6" s="36"/>
      <c r="F6" s="39"/>
      <c r="G6" s="36"/>
      <c r="H6" s="36"/>
      <c r="I6" s="36"/>
      <c r="J6" s="36"/>
      <c r="K6" s="36"/>
      <c r="L6" s="36"/>
      <c r="M6" s="36"/>
      <c r="N6" s="36"/>
      <c r="O6" s="36"/>
    </row>
    <row r="7" spans="1:19" s="35" customFormat="1" x14ac:dyDescent="0.25">
      <c r="A7" s="36"/>
      <c r="B7" s="36"/>
      <c r="C7" s="36"/>
      <c r="D7" s="36"/>
      <c r="E7" s="36"/>
      <c r="F7" s="36"/>
      <c r="G7" s="36"/>
      <c r="H7" s="36"/>
      <c r="I7" s="41"/>
      <c r="J7" s="41"/>
      <c r="K7" s="36"/>
      <c r="L7" s="36"/>
      <c r="M7" s="36"/>
      <c r="N7" s="36"/>
      <c r="O7" s="36"/>
    </row>
    <row r="8" spans="1:19" s="35" customFormat="1" x14ac:dyDescent="0.25">
      <c r="A8" s="36"/>
      <c r="B8" s="36"/>
      <c r="C8" s="36"/>
      <c r="D8" s="36"/>
      <c r="E8" s="36"/>
      <c r="F8" s="36"/>
      <c r="G8" s="36"/>
      <c r="M8" s="36"/>
    </row>
    <row r="9" spans="1:19" x14ac:dyDescent="0.25">
      <c r="A9" s="20"/>
      <c r="B9" s="20"/>
      <c r="C9" s="20"/>
      <c r="D9" s="20"/>
      <c r="E9" s="20"/>
      <c r="F9" s="20"/>
      <c r="G9" s="20"/>
      <c r="M9" s="2"/>
    </row>
    <row r="10" spans="1:19" x14ac:dyDescent="0.25">
      <c r="A10" s="20"/>
      <c r="B10" s="31"/>
      <c r="C10" s="31"/>
      <c r="D10" s="20"/>
      <c r="E10" s="20"/>
      <c r="F10" s="20"/>
      <c r="G10" s="20"/>
      <c r="J10" s="58"/>
      <c r="K10" s="58"/>
      <c r="L10" s="14"/>
      <c r="M10" s="14"/>
      <c r="N10" s="58"/>
      <c r="O10" s="58"/>
      <c r="P10" s="14"/>
      <c r="Q10" s="14"/>
      <c r="R10" s="58"/>
      <c r="S10" s="58"/>
    </row>
    <row r="11" spans="1:19" s="14" customFormat="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s="14" customFormat="1" ht="15.7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s="14" customFormat="1" ht="15.95" customHeight="1" x14ac:dyDescent="0.25">
      <c r="A13" s="13"/>
      <c r="B13" s="21"/>
      <c r="C13" s="21"/>
      <c r="D13" s="20"/>
      <c r="E13" s="21"/>
      <c r="F13" s="21"/>
      <c r="G13" s="21"/>
      <c r="H13" s="32"/>
      <c r="I13" s="32"/>
      <c r="J13" s="21"/>
      <c r="K13" s="21"/>
      <c r="L13" s="32"/>
      <c r="M13" s="32"/>
      <c r="N13" s="21"/>
      <c r="O13" s="21"/>
      <c r="P13" s="32"/>
      <c r="Q13" s="32"/>
      <c r="R13" s="21"/>
      <c r="S13" s="21"/>
    </row>
    <row r="14" spans="1:19" ht="15.75" customHeight="1" x14ac:dyDescent="0.25">
      <c r="A14" s="13"/>
      <c r="B14" s="21"/>
      <c r="C14" s="21"/>
      <c r="D14" s="20"/>
      <c r="E14" s="21"/>
      <c r="F14" s="33"/>
      <c r="G14" s="34"/>
      <c r="H14" s="34"/>
      <c r="I14" s="34"/>
      <c r="J14" s="33"/>
      <c r="K14" s="34"/>
      <c r="L14" s="34"/>
      <c r="M14" s="34"/>
      <c r="N14" s="33"/>
      <c r="O14" s="34"/>
      <c r="P14" s="34"/>
      <c r="Q14" s="34"/>
      <c r="R14" s="33"/>
      <c r="S14" s="34"/>
    </row>
    <row r="15" spans="1:19" x14ac:dyDescent="0.25">
      <c r="A15" s="13"/>
      <c r="B15" s="21"/>
      <c r="C15" s="21"/>
      <c r="D15" s="20"/>
      <c r="E15" s="20"/>
      <c r="G15" s="13"/>
      <c r="H15" s="20"/>
      <c r="I15" s="20"/>
      <c r="K15" s="13"/>
      <c r="L15" s="58"/>
      <c r="M15" s="58"/>
      <c r="N15" s="14"/>
      <c r="O15" s="13"/>
      <c r="P15" s="58"/>
      <c r="Q15" s="58"/>
      <c r="R15" s="14"/>
      <c r="S15" s="13"/>
    </row>
    <row r="16" spans="1:19" x14ac:dyDescent="0.25">
      <c r="A16" s="15"/>
      <c r="B16" s="21"/>
      <c r="C16" s="21"/>
      <c r="D16" s="20"/>
      <c r="E16" s="20"/>
      <c r="G16" s="15"/>
      <c r="H16" s="20"/>
      <c r="I16" s="20"/>
      <c r="K16" s="15"/>
      <c r="L16" s="58"/>
      <c r="M16" s="58"/>
      <c r="N16" s="14"/>
      <c r="O16" s="15"/>
      <c r="P16" s="58"/>
      <c r="Q16" s="58"/>
      <c r="R16" s="14"/>
      <c r="S16" s="15"/>
    </row>
    <row r="17" spans="1:19" x14ac:dyDescent="0.25">
      <c r="A17" s="15"/>
      <c r="B17" s="21"/>
      <c r="C17" s="21"/>
      <c r="D17" s="20"/>
      <c r="E17" s="20"/>
      <c r="G17" s="15"/>
      <c r="H17" s="20"/>
      <c r="I17" s="20"/>
      <c r="K17" s="15"/>
      <c r="L17" s="58"/>
      <c r="M17" s="58"/>
      <c r="N17" s="14"/>
      <c r="O17" s="15"/>
      <c r="P17" s="58"/>
      <c r="Q17" s="58"/>
      <c r="R17" s="14"/>
      <c r="S17" s="15"/>
    </row>
    <row r="18" spans="1:19" x14ac:dyDescent="0.25">
      <c r="A18" s="15"/>
      <c r="B18" s="21"/>
      <c r="C18" s="21"/>
      <c r="D18" s="20"/>
      <c r="E18" s="20"/>
      <c r="G18" s="15"/>
      <c r="H18" s="20"/>
      <c r="I18" s="20"/>
      <c r="K18" s="15"/>
      <c r="L18" s="58"/>
      <c r="M18" s="58"/>
      <c r="N18" s="14"/>
      <c r="O18" s="15"/>
      <c r="P18" s="58"/>
      <c r="Q18" s="58"/>
      <c r="R18" s="14"/>
      <c r="S18" s="15"/>
    </row>
    <row r="19" spans="1:19" x14ac:dyDescent="0.25">
      <c r="A19" s="15"/>
      <c r="B19" s="21"/>
      <c r="C19" s="21"/>
      <c r="D19" s="20"/>
      <c r="E19" s="20"/>
      <c r="G19" s="15"/>
      <c r="H19" s="20"/>
      <c r="I19" s="20"/>
      <c r="K19" s="15"/>
      <c r="L19" s="58"/>
      <c r="M19" s="58"/>
      <c r="N19" s="14"/>
      <c r="O19" s="15"/>
      <c r="P19" s="58"/>
      <c r="Q19" s="58"/>
      <c r="R19" s="14"/>
      <c r="S19" s="15"/>
    </row>
    <row r="20" spans="1:19" x14ac:dyDescent="0.25">
      <c r="K20" s="14"/>
      <c r="L20" s="14"/>
      <c r="M20" s="14"/>
      <c r="N20" s="14"/>
      <c r="O20" s="14"/>
      <c r="P20" s="14"/>
      <c r="Q20" s="14"/>
      <c r="R20" s="14"/>
      <c r="S20" s="14"/>
    </row>
    <row r="21" spans="1:19" x14ac:dyDescent="0.25">
      <c r="K21" s="14"/>
      <c r="L21" s="14"/>
      <c r="M21" s="14"/>
      <c r="N21" s="14"/>
      <c r="O21" s="14"/>
      <c r="P21" s="14"/>
      <c r="Q21" s="14"/>
      <c r="R21" s="14"/>
      <c r="S21" s="14"/>
    </row>
    <row r="22" spans="1:19" x14ac:dyDescent="0.25">
      <c r="K22" s="14"/>
      <c r="L22" s="14"/>
      <c r="M22" s="14"/>
      <c r="N22" s="14"/>
      <c r="O22" s="14"/>
      <c r="P22" s="14"/>
      <c r="Q22" s="14"/>
      <c r="R22" s="14"/>
      <c r="S22" s="14"/>
    </row>
    <row r="23" spans="1:19" x14ac:dyDescent="0.25">
      <c r="K23" s="14"/>
      <c r="L23" s="14"/>
      <c r="M23" s="14"/>
      <c r="N23" s="14"/>
      <c r="O23" s="14"/>
      <c r="P23" s="14"/>
      <c r="Q23" s="14"/>
      <c r="R23" s="14"/>
      <c r="S23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36"/>
  <sheetViews>
    <sheetView workbookViewId="0">
      <selection activeCell="L16" sqref="L16"/>
    </sheetView>
  </sheetViews>
  <sheetFormatPr defaultRowHeight="15" x14ac:dyDescent="0.25"/>
  <cols>
    <col min="1" max="1" width="13.85546875" bestFit="1" customWidth="1"/>
    <col min="2" max="2" width="4.28515625" customWidth="1"/>
    <col min="3" max="4" width="9.85546875" bestFit="1" customWidth="1"/>
    <col min="5" max="5" width="9.28515625" bestFit="1" customWidth="1"/>
    <col min="6" max="6" width="8.85546875" bestFit="1" customWidth="1"/>
    <col min="7" max="8" width="9.42578125" bestFit="1" customWidth="1"/>
    <col min="9" max="9" width="9.28515625" bestFit="1" customWidth="1"/>
    <col min="10" max="11" width="9.5703125" bestFit="1" customWidth="1"/>
    <col min="12" max="12" width="9.28515625" bestFit="1" customWidth="1"/>
    <col min="13" max="13" width="9.42578125" bestFit="1" customWidth="1"/>
    <col min="14" max="14" width="9.7109375" bestFit="1" customWidth="1"/>
    <col min="15" max="15" width="9.285156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 x14ac:dyDescent="0.25">
      <c r="A1" s="157" t="s">
        <v>6</v>
      </c>
      <c r="B1" s="158"/>
      <c r="C1" s="62" t="str">
        <f>RTD("tickerplantrtdserver",,"FWRC1#USDINR#Month End Rates#0#S#Desc.2")</f>
        <v>CASH/SPOT</v>
      </c>
      <c r="D1" s="62" t="str">
        <f>RTD("tickerplantrtdserver",,"FWRC1#USDINR#Month End Rates#0#S#Desc.4")</f>
        <v>JUL-2020</v>
      </c>
      <c r="E1" s="62" t="str">
        <f>RTD("tickerplantrtdserver",,"FWRC1#USDINR#Month End Rates#0#S#Desc.5")</f>
        <v>AUG-2020</v>
      </c>
      <c r="F1" s="62" t="str">
        <f>RTD("tickerplantrtdserver",,"FWRC1#USDINR#Month End Rates#0#S#Desc.6")</f>
        <v>SEP-2020</v>
      </c>
      <c r="G1" s="62" t="str">
        <f>RTD("tickerplantrtdserver",,"FWRC1#USDINR#Month End Rates#0#S#Desc.7")</f>
        <v>OCT-2020</v>
      </c>
      <c r="H1" s="62" t="str">
        <f>RTD("tickerplantrtdserver",,"FWRC1#USDINR#Month End Rates#0#S#Desc.8")</f>
        <v>NOV-2020</v>
      </c>
      <c r="I1" s="62" t="str">
        <f>RTD("tickerplantrtdserver",,"FWRC1#USDINR#Month End Rates#0#S#Desc.9")</f>
        <v>DEC-2020</v>
      </c>
      <c r="J1" s="62" t="str">
        <f>RTD("tickerplantrtdserver",,"FWRC1#USDINR#Month End Rates#0#S#Desc.10")</f>
        <v>JAN-2021</v>
      </c>
      <c r="K1" s="62" t="str">
        <f>RTD("tickerplantrtdserver",,"FWRC1#USDINR#Month End Rates#0#S#Desc.11")</f>
        <v>FEB-2021</v>
      </c>
      <c r="L1" s="62" t="str">
        <f>RTD("tickerplantrtdserver",,"FWRC1#USDINR#Month End Rates#0#S#Desc.12")</f>
        <v>MAR-2021</v>
      </c>
      <c r="M1" s="62" t="str">
        <f>RTD("tickerplantrtdserver",,"FWRC1#USDINR#Month End Rates#0#S#Desc.13")</f>
        <v>APR-2021</v>
      </c>
      <c r="N1" s="62" t="str">
        <f>RTD("tickerplantrtdserver",,"FWRC1#USDINR#Month End Rates#0#S#Desc.14")</f>
        <v>MAY-2021</v>
      </c>
      <c r="O1" s="63" t="str">
        <f>RTD("tickerplantrtdserver",,"FWRC1#USDINR#Month End Rates#0#S#Desc.15")</f>
        <v>JUN-2021</v>
      </c>
    </row>
    <row r="2" spans="1:18" s="14" customFormat="1" ht="15.75" customHeight="1" x14ac:dyDescent="0.25">
      <c r="A2" s="159" t="s">
        <v>5</v>
      </c>
      <c r="B2" s="160"/>
      <c r="C2" s="108" t="str">
        <f>RTD("tickerplantrtdserver",,"FWRC1#USDINR#Month End Rates#0#S#MonthEndDate2")</f>
        <v>06-Jul-2020</v>
      </c>
      <c r="D2" s="108" t="str">
        <f>RTD("tickerplantrtdserver",,"FWRC1#USDINR#Month End Rates#0#S#MonthEndDate4")</f>
        <v>31-Jul-2020</v>
      </c>
      <c r="E2" s="108" t="str">
        <f t="array" ref="E2">RTD("tickerplantrtdserver",,"FWRC1#USDINR#Month End Rates#0#S#MonthEndDate5")</f>
        <v>31-Aug-2020</v>
      </c>
      <c r="F2" s="108" t="str">
        <f t="array" ref="F2">RTD("tickerplantrtdserver",,"FWRC1#USDINR#Month End Rates#0#S#MonthEndDate6")</f>
        <v>30-Sep-2020</v>
      </c>
      <c r="G2" s="108" t="str">
        <f t="array" ref="G2">RTD("tickerplantrtdserver",,"FWRC1#USDINR#Month End Rates#0#S#MonthEndDate7")</f>
        <v>29-Oct-2020</v>
      </c>
      <c r="H2" s="108" t="str">
        <f t="array" ref="H2">RTD("tickerplantrtdserver",,"FWRC1#USDINR#Month End Rates#0#S#MonthEndDate8")</f>
        <v>27-Nov-2020</v>
      </c>
      <c r="I2" s="108" t="str">
        <f t="array" ref="I2">RTD("tickerplantrtdserver",,"FWRC1#USDINR#Month End Rates#0#S#MonthEndDate9")</f>
        <v>31-Dec-2020</v>
      </c>
      <c r="J2" s="108" t="str">
        <f t="array" ref="J2">RTD("tickerplantrtdserver",,"FWRC1#USDINR#Month End Rates#0#S#MonthEndDate10")</f>
        <v>29-Jan-2021</v>
      </c>
      <c r="K2" s="108" t="str">
        <f t="array" ref="K2">RTD("tickerplantrtdserver",,"FWRC1#USDINR#Month End Rates#0#S#MonthEndDate11")</f>
        <v>26-Feb-2021</v>
      </c>
      <c r="L2" s="108" t="str">
        <f t="array" ref="L2">RTD("tickerplantrtdserver",,"FWRC1#USDINR#Month End Rates#0#S#MonthEndDate12")</f>
        <v>31-Mar-2021</v>
      </c>
      <c r="M2" s="108" t="str">
        <f t="array" ref="M2">RTD("tickerplantrtdserver",,"FWRC1#USDINR#Month End Rates#0#S#MonthEndDate13")</f>
        <v>30-Apr-2021</v>
      </c>
      <c r="N2" s="108" t="str">
        <f t="array" ref="N2">RTD("tickerplantrtdserver",,"FWRC1#USDINR#Month End Rates#0#S#MonthEndDate14")</f>
        <v>31-May-2021</v>
      </c>
      <c r="O2" s="109" t="str">
        <f>RTD("tickerplantrtdserver",,"FWRC1#USDINR#Month End Rates#0#S#MonthEndDate15")</f>
        <v>30-Jun-2021</v>
      </c>
      <c r="P2" s="30"/>
    </row>
    <row r="3" spans="1:18" s="14" customFormat="1" x14ac:dyDescent="0.25">
      <c r="A3" s="161" t="s">
        <v>4</v>
      </c>
      <c r="B3" s="162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  <c r="P3" s="15"/>
    </row>
    <row r="4" spans="1:18" s="14" customFormat="1" x14ac:dyDescent="0.25">
      <c r="A4" s="159" t="s">
        <v>47</v>
      </c>
      <c r="B4" s="160"/>
      <c r="C4" s="65">
        <f t="array" ref="C4">RTD("tickerplantrtdserver",,"FWRC1#USDINR#Month End Rates#0#BidPrice2")</f>
        <v>1.25</v>
      </c>
      <c r="D4" s="65">
        <f t="array" ref="D4">RTD("tickerplantrtdserver",,"FWRC1#USDINR#Month End Rates#0#BidPrice4")</f>
        <v>15.75</v>
      </c>
      <c r="E4" s="65">
        <f t="array" ref="E4">RTD("tickerplantrtdserver",,"FWRC1#USDINR#Month End Rates#0#BidPrice5")</f>
        <v>37.75</v>
      </c>
      <c r="F4" s="65">
        <f t="array" ref="F4">RTD("tickerplantrtdserver",,"FWRC1#USDINR#Month End Rates#0#BidPrice6")</f>
        <v>59.75</v>
      </c>
      <c r="G4" s="65">
        <f t="array" ref="G4">RTD("tickerplantrtdserver",,"FWRC1#USDINR#Month End Rates#0#BidPrice7")</f>
        <v>82.75</v>
      </c>
      <c r="H4" s="65">
        <f t="array" ref="H4">RTD("tickerplantrtdserver",,"FWRC1#USDINR#Month End Rates#0#BidPrice8")</f>
        <v>105.5</v>
      </c>
      <c r="I4" s="65">
        <f t="array" ref="I4">RTD("tickerplantrtdserver",,"FWRC1#USDINR#Month End Rates#0#BidPrice9")</f>
        <v>132.25</v>
      </c>
      <c r="J4" s="65">
        <f t="array" ref="J4">RTD("tickerplantrtdserver",,"FWRC1#USDINR#Month End Rates#0#BidPrice10")</f>
        <v>155.25</v>
      </c>
      <c r="K4" s="65">
        <f t="array" ref="K4">RTD("tickerplantrtdserver",,"FWRC1#USDINR#Month End Rates#0#BidPrice11")</f>
        <v>177.25</v>
      </c>
      <c r="L4" s="65">
        <f t="array" ref="L4">RTD("tickerplantrtdserver",,"FWRC1#USDINR#Month End Rates#0#BidPrice12")</f>
        <v>203.25</v>
      </c>
      <c r="M4" s="65">
        <f t="array" ref="M4">RTD("tickerplantrtdserver",,"FWRC1#USDINR#Month End Rates#0#BidPrice13")</f>
        <v>232.25</v>
      </c>
      <c r="N4" s="65">
        <f t="array" ref="N4">RTD("tickerplantrtdserver",,"FWRC1#USDINR#Month End Rates#0#BidPrice14")</f>
        <v>254.5</v>
      </c>
      <c r="O4" s="67">
        <f t="array" ref="O4">RTD("tickerplantrtdserver",,"FWRC1#USDINR#Month End Rates#0#BidPrice15")</f>
        <v>281</v>
      </c>
      <c r="P4" s="20"/>
    </row>
    <row r="5" spans="1:18" s="14" customFormat="1" x14ac:dyDescent="0.25">
      <c r="A5" s="159" t="s">
        <v>48</v>
      </c>
      <c r="B5" s="160"/>
      <c r="C5" s="65">
        <f t="array" ref="C5">RTD("tickerplantrtdserver",,"FWRC1#USDINR#Month End Rates#0#BidPrice2")</f>
        <v>1.25</v>
      </c>
      <c r="D5" s="65">
        <f t="array" ref="D5">RTD("tickerplantrtdserver",,"FWRC1#USDINR#Month End Rates#0#BidPrice4")</f>
        <v>15.75</v>
      </c>
      <c r="E5" s="65">
        <f t="array" ref="E5">RTD("tickerplantrtdserver",,"FWRC1#USDINR#Month End Rates#0#AskPrice5")</f>
        <v>39.75</v>
      </c>
      <c r="F5" s="65">
        <f t="array" ref="F5">RTD("tickerplantrtdserver",,"FWRC1#USDINR#Month End Rates#0#AskPrice6")</f>
        <v>61.75</v>
      </c>
      <c r="G5" s="65">
        <f t="array" ref="G5">RTD("tickerplantrtdserver",,"FWRC1#USDINR#Month End Rates#0#AskPrice7")</f>
        <v>84.75</v>
      </c>
      <c r="H5" s="65">
        <f t="array" ref="H5">RTD("tickerplantrtdserver",,"FWRC1#USDINR#Month End Rates#0#AskPrice8")</f>
        <v>107.5</v>
      </c>
      <c r="I5" s="65">
        <f t="array" ref="I5">RTD("tickerplantrtdserver",,"FWRC1#USDINR#Month End Rates#0#AskPrice9")</f>
        <v>134.25</v>
      </c>
      <c r="J5" s="65">
        <f t="array" ref="J5">RTD("tickerplantrtdserver",,"FWRC1#USDINR#Month End Rates#0#AskPrice10")</f>
        <v>157.25</v>
      </c>
      <c r="K5" s="65">
        <f t="array" ref="K5">RTD("tickerplantrtdserver",,"FWRC1#USDINR#Month End Rates#0#AskPrice11")</f>
        <v>179.25</v>
      </c>
      <c r="L5" s="65">
        <f t="array" ref="L5">RTD("tickerplantrtdserver",,"FWRC1#USDINR#Month End Rates#0#AskPrice12")</f>
        <v>205.25</v>
      </c>
      <c r="M5" s="65">
        <f t="array" ref="M5">RTD("tickerplantrtdserver",,"FWRC1#USDINR#Month End Rates#0#AskPrice13")</f>
        <v>234.25</v>
      </c>
      <c r="N5" s="65">
        <f t="array" ref="N5">RTD("tickerplantrtdserver",,"FWRC1#USDINR#Month End Rates#0#AskPrice14")</f>
        <v>256.5</v>
      </c>
      <c r="O5" s="67">
        <f t="array" ref="O5">RTD("tickerplantrtdserver",,"FWRC1#USDINR#Month End Rates#0#AskPrice15")</f>
        <v>283</v>
      </c>
      <c r="P5" s="20"/>
    </row>
    <row r="6" spans="1:18" s="14" customFormat="1" x14ac:dyDescent="0.25">
      <c r="A6" s="161" t="s">
        <v>3</v>
      </c>
      <c r="B6" s="162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1"/>
      <c r="P6" s="20"/>
    </row>
    <row r="7" spans="1:18" s="14" customFormat="1" x14ac:dyDescent="0.25">
      <c r="A7" s="159" t="s">
        <v>47</v>
      </c>
      <c r="B7" s="160"/>
      <c r="C7" s="64">
        <f t="array" ref="C7">RTD("tickerplantrtdserver",,"FWRC1#USDINR#Month End Rates#0#FwdOutrightBid1")</f>
        <v>74.592500000000001</v>
      </c>
      <c r="D7" s="64">
        <f>RTD("tickerplantrtdserver",,"FWRC1#USDINR#Month End Rates#0#FwdOutrightBid4")</f>
        <v>74.792500000000004</v>
      </c>
      <c r="E7" s="64">
        <f t="array" ref="E7">RTD("tickerplantrtdserver",,"FWRC1#USDINR#Month End Rates#0#FwdOutrightBid5")</f>
        <v>75.012500000000003</v>
      </c>
      <c r="F7" s="64">
        <f t="array" ref="F7">RTD("tickerplantrtdserver",,"FWRC1#USDINR#Month End Rates#0#FwdOutrightBid6")</f>
        <v>75.232500000000002</v>
      </c>
      <c r="G7" s="64">
        <f t="array" ref="G7">RTD("tickerplantrtdserver",,"FWRC1#USDINR#Month End Rates#0#FwdOutrightBid7")</f>
        <v>75.462500000000006</v>
      </c>
      <c r="H7" s="64">
        <f t="array" ref="H7">RTD("tickerplantrtdserver",,"FWRC1#USDINR#Month End Rates#0#FwdOutrightBid8")</f>
        <v>75.69</v>
      </c>
      <c r="I7" s="64">
        <f t="array" ref="I7">RTD("tickerplantrtdserver",,"FWRC1#USDINR#Month End Rates#0#FwdOutrightBid9")</f>
        <v>75.957499999999996</v>
      </c>
      <c r="J7" s="64">
        <f t="array" ref="J7">RTD("tickerplantrtdserver",,"FWRC1#USDINR#Month End Rates#0#FwdOutrightBid10")</f>
        <v>76.1875</v>
      </c>
      <c r="K7" s="64">
        <f t="array" ref="K7">RTD("tickerplantrtdserver",,"FWRC1#USDINR#Month End Rates#0#FwdOutrightBid11")</f>
        <v>76.407499999999999</v>
      </c>
      <c r="L7" s="64">
        <f t="array" ref="L7">RTD("tickerplantrtdserver",,"FWRC1#USDINR#Month End Rates#0#FwdOutrightBid12")</f>
        <v>76.667500000000004</v>
      </c>
      <c r="M7" s="64">
        <f t="array" ref="M7">RTD("tickerplantrtdserver",,"FWRC1#USDINR#Month End Rates#0#FwdOutrightBid13")</f>
        <v>76.957499999999996</v>
      </c>
      <c r="N7" s="64">
        <f t="array" ref="N7">RTD("tickerplantrtdserver",,"FWRC1#USDINR#Month End Rates#0#FwdOutrightBid14")</f>
        <v>77.165000000000006</v>
      </c>
      <c r="O7" s="68">
        <f t="array" ref="O7">RTD("tickerplantrtdserver",,"FWRC1#USDINR#Month End Rates#0#FwdOutrightBid15")</f>
        <v>77.430000000000007</v>
      </c>
      <c r="P7" s="20"/>
    </row>
    <row r="8" spans="1:18" s="14" customFormat="1" x14ac:dyDescent="0.25">
      <c r="A8" s="159" t="s">
        <v>48</v>
      </c>
      <c r="B8" s="160"/>
      <c r="C8" s="64">
        <f t="array" ref="C8">RTD("tickerplantrtdserver",,"FWRC1#USDINR#Month End Rates#0#FwdOutrightAsk1")</f>
        <v>74.632499999999993</v>
      </c>
      <c r="D8" s="64">
        <f t="array" ref="D8">RTD("tickerplantrtdserver",,"FWRC1#USDINR#Month End Rates#0#FwdOutrightAsk4")</f>
        <v>74.822500000000005</v>
      </c>
      <c r="E8" s="64">
        <f t="array" ref="E8">RTD("tickerplantrtdserver",,"FWRC1#USDINR#Month End Rates#0#FwdOutrightAsk5")</f>
        <v>75.042500000000004</v>
      </c>
      <c r="F8" s="64">
        <f t="array" ref="F8">RTD("tickerplantrtdserver",,"FWRC1#USDINR#Month End Rates#0#FwdOutrightAsk6")</f>
        <v>75.262500000000003</v>
      </c>
      <c r="G8" s="64">
        <f t="array" ref="G8">RTD("tickerplantrtdserver",,"FWRC1#USDINR#Month End Rates#0#FwdOutrightAsk7")</f>
        <v>75.492500000000007</v>
      </c>
      <c r="H8" s="64">
        <f t="array" ref="H8">RTD("tickerplantrtdserver",,"FWRC1#USDINR#Month End Rates#0#FwdOutrightAsk8")</f>
        <v>75.72</v>
      </c>
      <c r="I8" s="64">
        <f t="array" ref="I8">RTD("tickerplantrtdserver",,"FWRC1#USDINR#Month End Rates#0#FwdOutrightAsk9")</f>
        <v>75.987499999999997</v>
      </c>
      <c r="J8" s="64">
        <f t="array" ref="J8">RTD("tickerplantrtdserver",,"FWRC1#USDINR#Month End Rates#0#FwdOutrightAsk10")</f>
        <v>76.217500000000001</v>
      </c>
      <c r="K8" s="64">
        <f t="array" ref="K8">RTD("tickerplantrtdserver",,"FWRC1#USDINR#Month End Rates#0#FwdOutrightAsk11")</f>
        <v>76.4375</v>
      </c>
      <c r="L8" s="64">
        <f t="array" ref="L8">RTD("tickerplantrtdserver",,"FWRC1#USDINR#Month End Rates#0#FwdOutrightAsk12")</f>
        <v>76.697500000000005</v>
      </c>
      <c r="M8" s="64">
        <f t="array" ref="M8">RTD("tickerplantrtdserver",,"FWRC1#USDINR#Month End Rates#0#FwdOutrightAsk13")</f>
        <v>76.987499999999997</v>
      </c>
      <c r="N8" s="64">
        <f t="array" ref="N8">RTD("tickerplantrtdserver",,"FWRC1#USDINR#Month End Rates#0#FwdOutrightAsk14")</f>
        <v>77.194999999999993</v>
      </c>
      <c r="O8" s="68">
        <f t="array" ref="O8">RTD("tickerplantrtdserver",,"FWRC1#USDINR#Month End Rates#0#FwdOutrightAsk15")</f>
        <v>77.459999999999994</v>
      </c>
    </row>
    <row r="9" spans="1:18" s="14" customFormat="1" x14ac:dyDescent="0.25">
      <c r="A9" s="161" t="s">
        <v>2</v>
      </c>
      <c r="B9" s="162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6"/>
    </row>
    <row r="10" spans="1:18" s="14" customFormat="1" x14ac:dyDescent="0.25">
      <c r="A10" s="159" t="s">
        <v>47</v>
      </c>
      <c r="B10" s="160"/>
      <c r="C10" s="66">
        <f t="array" ref="C10">RTD("tickerplantrtdserver",,"FWRC1#USDINR#Month End Rates#0#Bid%2")</f>
        <v>1.5281</v>
      </c>
      <c r="D10" s="66">
        <f t="array" ref="D10">RTD("tickerplantrtdserver",,"FWRC1#USDINR#Month End Rates#0#Bid%4")</f>
        <v>3.0806</v>
      </c>
      <c r="E10" s="65">
        <f t="array" ref="E10">RTD("tickerplantrtdserver",,"FWRC1#USDINR#Month End Rates#0#Bid%5")</f>
        <v>3.2963</v>
      </c>
      <c r="F10" s="65">
        <f t="array" ref="F10">RTD("tickerplantrtdserver",,"FWRC1#USDINR#Month End Rates#0#Bid%6")</f>
        <v>3.3973</v>
      </c>
      <c r="G10" s="65">
        <f t="array" ref="G10">RTD("tickerplantrtdserver",,"FWRC1#USDINR#Month End Rates#0#Bid%7")</f>
        <v>3.5185</v>
      </c>
      <c r="H10" s="65">
        <f t="array" ref="H10">RTD("tickerplantrtdserver",,"FWRC1#USDINR#Month End Rates#0#Bid%8")</f>
        <v>3.5825</v>
      </c>
      <c r="I10" s="65">
        <f t="array" ref="I10">RTD("tickerplantrtdserver",,"FWRC1#USDINR#Month End Rates#0#Bid%9")</f>
        <v>3.633</v>
      </c>
      <c r="J10" s="65">
        <f t="array" ref="J10">RTD("tickerplantrtdserver",,"FWRC1#USDINR#Month End Rates#0#Bid%10")</f>
        <v>3.6674000000000002</v>
      </c>
      <c r="K10" s="65">
        <f t="array" ref="K10">RTD("tickerplantrtdserver",,"FWRC1#USDINR#Month End Rates#0#Bid%11")</f>
        <v>3.6882000000000001</v>
      </c>
      <c r="L10" s="65">
        <f t="array" ref="L10">RTD("tickerplantrtdserver",,"FWRC1#USDINR#Month End Rates#0#Bid%12")</f>
        <v>3.7084000000000001</v>
      </c>
      <c r="M10" s="65">
        <f t="array" ref="M10">RTD("tickerplantrtdserver",,"FWRC1#USDINR#Month End Rates#0#Bid%13")</f>
        <v>3.8109000000000002</v>
      </c>
      <c r="N10" s="65">
        <f t="array" ref="N10">RTD("tickerplantrtdserver",,"FWRC1#USDINR#Month End Rates#0#Bid%14")</f>
        <v>3.7833000000000001</v>
      </c>
      <c r="O10" s="67">
        <f t="array" ref="O10">RTD("tickerplantrtdserver",,"FWRC1#USDINR#Month End Rates#0#Bid%15")</f>
        <v>3.8281999999999998</v>
      </c>
    </row>
    <row r="11" spans="1:18" s="14" customFormat="1" ht="15.75" thickBot="1" x14ac:dyDescent="0.3">
      <c r="A11" s="163" t="s">
        <v>48</v>
      </c>
      <c r="B11" s="164"/>
      <c r="C11" s="69">
        <f t="array" ref="C11">RTD("tickerplantrtdserver",,"FWRC1#USDINR#Month End Rates#0#Ask%2")</f>
        <v>5.1961000000000004</v>
      </c>
      <c r="D11" s="69">
        <f t="array" ref="D11">RTD("tickerplantrtdserver",,"FWRC1#USDINR#Month End Rates#0#Ask%4")</f>
        <v>3.4722</v>
      </c>
      <c r="E11" s="69">
        <f t="array" ref="E11">RTD("tickerplantrtdserver",,"FWRC1#USDINR#Month End Rates#0#Ask%5")</f>
        <v>3.4714</v>
      </c>
      <c r="F11" s="69">
        <f t="array" ref="F11">RTD("tickerplantrtdserver",,"FWRC1#USDINR#Month End Rates#0#Ask%6")</f>
        <v>3.5114999999999998</v>
      </c>
      <c r="G11" s="69">
        <f t="array" ref="G11">RTD("tickerplantrtdserver",,"FWRC1#USDINR#Month End Rates#0#Ask%7")</f>
        <v>3.6040999999999999</v>
      </c>
      <c r="H11" s="69">
        <f t="array" ref="H11">RTD("tickerplantrtdserver",,"FWRC1#USDINR#Month End Rates#0#Ask%8")</f>
        <v>3.6509</v>
      </c>
      <c r="I11" s="69">
        <f t="array" ref="I11">RTD("tickerplantrtdserver",,"FWRC1#USDINR#Month End Rates#0#Ask%9")</f>
        <v>3.6884999999999999</v>
      </c>
      <c r="J11" s="69">
        <f t="array" ref="J11">RTD("tickerplantrtdserver",,"FWRC1#USDINR#Month End Rates#0#Ask%10")</f>
        <v>3.7151000000000001</v>
      </c>
      <c r="K11" s="69">
        <f t="array" ref="K11">RTD("tickerplantrtdserver",,"FWRC1#USDINR#Month End Rates#0#Ask%11")</f>
        <v>3.7303000000000002</v>
      </c>
      <c r="L11" s="69">
        <f t="array" ref="L11">RTD("tickerplantrtdserver",,"FWRC1#USDINR#Month End Rates#0#Ask%12")</f>
        <v>3.7454000000000001</v>
      </c>
      <c r="M11" s="69">
        <f t="array" ref="M11">RTD("tickerplantrtdserver",,"FWRC1#USDINR#Month End Rates#0#Ask%13")</f>
        <v>3.8443000000000001</v>
      </c>
      <c r="N11" s="69">
        <f t="array" ref="N11">RTD("tickerplantrtdserver",,"FWRC1#USDINR#Month End Rates#0#Ask%14")</f>
        <v>3.8134999999999999</v>
      </c>
      <c r="O11" s="70">
        <f t="array" ref="O11">RTD("tickerplantrtdserver",,"FWRC1#USDINR#Month End Rates#0#Ask%15")</f>
        <v>3.8559000000000001</v>
      </c>
    </row>
    <row r="12" spans="1:18" s="14" customFormat="1" ht="15.75" customHeight="1" x14ac:dyDescent="0.25"/>
    <row r="13" spans="1:18" s="14" customFormat="1" x14ac:dyDescent="0.25">
      <c r="Q13" s="23"/>
      <c r="R13" s="23"/>
    </row>
    <row r="14" spans="1:18" s="14" customFormat="1" x14ac:dyDescent="0.25">
      <c r="P14" s="31"/>
      <c r="Q14" s="31"/>
      <c r="R14" s="31"/>
    </row>
    <row r="15" spans="1:18" s="14" customFormat="1" x14ac:dyDescent="0.25">
      <c r="P15" s="15"/>
      <c r="Q15" s="15"/>
      <c r="R15" s="15"/>
    </row>
    <row r="16" spans="1:18" s="14" customFormat="1" x14ac:dyDescent="0.25">
      <c r="A16" s="15"/>
      <c r="B16" s="21"/>
      <c r="C16" s="21"/>
      <c r="D16" s="20"/>
      <c r="E16" s="20"/>
      <c r="G16" s="15"/>
      <c r="H16" s="20"/>
      <c r="I16" s="20"/>
      <c r="J16" s="20"/>
      <c r="L16" s="13"/>
      <c r="P16" s="13"/>
    </row>
    <row r="17" spans="1:16" s="14" customFormat="1" x14ac:dyDescent="0.25">
      <c r="A17" s="15"/>
      <c r="B17" s="21"/>
      <c r="C17" s="21"/>
      <c r="D17" s="20"/>
      <c r="E17" s="20"/>
      <c r="G17" s="15"/>
      <c r="H17" s="20"/>
      <c r="I17" s="20"/>
      <c r="J17" s="20"/>
      <c r="L17" s="13"/>
      <c r="P17" s="13"/>
    </row>
    <row r="18" spans="1:16" s="14" customFormat="1" x14ac:dyDescent="0.25">
      <c r="A18" s="15"/>
      <c r="B18" s="21"/>
      <c r="C18" s="21"/>
      <c r="D18" s="20"/>
      <c r="E18" s="20"/>
      <c r="G18" s="15"/>
      <c r="H18" s="20"/>
      <c r="I18" s="20"/>
      <c r="J18" s="20"/>
      <c r="L18" s="13"/>
      <c r="P18" s="13"/>
    </row>
    <row r="19" spans="1:16" s="14" customForma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4" customForma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6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6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6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6" s="2" customForma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6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6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6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6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6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6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6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6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 x14ac:dyDescent="0.25">
      <c r="A36" s="1"/>
      <c r="B36" s="1"/>
    </row>
  </sheetData>
  <mergeCells count="12">
    <mergeCell ref="A10:B10"/>
    <mergeCell ref="A11:B11"/>
    <mergeCell ref="A8:B8"/>
    <mergeCell ref="A9:B9"/>
    <mergeCell ref="C9:O9"/>
    <mergeCell ref="A1:B1"/>
    <mergeCell ref="A7:B7"/>
    <mergeCell ref="A5:B5"/>
    <mergeCell ref="A4:B4"/>
    <mergeCell ref="A2:B2"/>
    <mergeCell ref="A6:B6"/>
    <mergeCell ref="A3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R43"/>
  <sheetViews>
    <sheetView workbookViewId="0">
      <selection activeCell="D12" sqref="D12"/>
    </sheetView>
  </sheetViews>
  <sheetFormatPr defaultColWidth="8.85546875" defaultRowHeight="15" x14ac:dyDescent="0.25"/>
  <cols>
    <col min="3" max="3" width="9.85546875" bestFit="1" customWidth="1"/>
    <col min="4" max="4" width="9.28515625" bestFit="1" customWidth="1"/>
    <col min="5" max="5" width="8.85546875" bestFit="1" customWidth="1"/>
    <col min="6" max="7" width="9.42578125" bestFit="1" customWidth="1"/>
    <col min="8" max="8" width="9.28515625" bestFit="1" customWidth="1"/>
    <col min="9" max="10" width="9.5703125" bestFit="1" customWidth="1"/>
    <col min="11" max="11" width="9.28515625" bestFit="1" customWidth="1"/>
    <col min="12" max="12" width="9.42578125" bestFit="1" customWidth="1"/>
    <col min="13" max="13" width="9.7109375" bestFit="1" customWidth="1"/>
    <col min="14" max="14" width="9.28515625" bestFit="1" customWidth="1"/>
    <col min="15" max="15" width="9.8554687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 x14ac:dyDescent="0.25">
      <c r="A1" s="157" t="s">
        <v>6</v>
      </c>
      <c r="B1" s="158"/>
      <c r="C1" s="73" t="str">
        <f t="array" ref="C1">RTD("tickerplantrtdserver",,"FWRC1#USDINR#Month Wise Rates#0#S#Desc.2")</f>
        <v>TN</v>
      </c>
      <c r="D1" s="73" t="str">
        <f t="array" ref="D1">RTD("tickerplantrtdserver",,"FWRC1#USDINR#Month Wise Rates#0#S#Desc.7")</f>
        <v>1M</v>
      </c>
      <c r="E1" s="73" t="str">
        <f t="array" ref="E1">RTD("tickerplantrtdserver",,"FWRC1#USDINR#Month Wise Rates#0#S#Desc.8")</f>
        <v>2M</v>
      </c>
      <c r="F1" s="73" t="str">
        <f t="array" ref="F1">RTD("tickerplantrtdserver",,"FWRC1#USDINR#Month Wise Rates#0#S#Desc.9")</f>
        <v>3M</v>
      </c>
      <c r="G1" s="73" t="str">
        <f t="array" ref="G1">RTD("tickerplantrtdserver",,"FWRC1#USDINR#Month Wise Rates#0#S#Desc.10")</f>
        <v>4M</v>
      </c>
      <c r="H1" s="73" t="str">
        <f t="array" ref="H1">RTD("tickerplantrtdserver",,"FWRC1#USDINR#Month Wise Rates#0#S#Desc.11")</f>
        <v>5M</v>
      </c>
      <c r="I1" s="73" t="str">
        <f t="array" ref="I1">RTD("tickerplantrtdserver",,"FWRC1#USDINR#Month Wise Rates#0#S#Desc.12")</f>
        <v>6M</v>
      </c>
      <c r="J1" s="73" t="str">
        <f t="array" ref="J1">RTD("tickerplantrtdserver",,"FWRC1#USDINR#Month Wise Rates#0#S#Desc.13")</f>
        <v>7M</v>
      </c>
      <c r="K1" s="73" t="str">
        <f t="array" ref="K1">RTD("tickerplantrtdserver",,"FWRC1#USDINR#Month Wise Rates#0#S#Desc.14")</f>
        <v>8M</v>
      </c>
      <c r="L1" s="73" t="str">
        <f t="array" ref="L1">RTD("tickerplantrtdserver",,"FWRC1#USDINR#Month Wise Rates#0#S#Desc.15")</f>
        <v>9M</v>
      </c>
      <c r="M1" s="73" t="str">
        <f t="array" ref="M1">RTD("tickerplantrtdserver",,"FWRC1#USDINR#Month Wise Rates#0#S#Desc.16")</f>
        <v>10M</v>
      </c>
      <c r="N1" s="73" t="str">
        <f t="array" ref="N1">RTD("tickerplantrtdserver",,"FWRC1#USDINR#Month Wise Rates#0#S#Desc.17")</f>
        <v>11M</v>
      </c>
      <c r="O1" s="74" t="str">
        <f t="array" ref="O1">RTD("tickerplantrtdserver",,"FWRC1#USDINR#Month Wise Rates#0#S#Desc.18")</f>
        <v>12M</v>
      </c>
    </row>
    <row r="2" spans="1:18" s="14" customFormat="1" ht="15.75" customHeight="1" x14ac:dyDescent="0.25">
      <c r="A2" s="159" t="s">
        <v>5</v>
      </c>
      <c r="B2" s="160"/>
      <c r="C2" s="72" t="str">
        <f t="array" ref="C2">RTD("tickerplantrtdserver",,"FWRC1#USDINR#Month Wise Rates#0#S#PillarDate2")</f>
        <v>06-Jul-2020</v>
      </c>
      <c r="D2" s="71" t="str">
        <f t="array" ref="D2">RTD("tickerplantrtdserver",,"FWRC1#USDINR#Month Wise Rates#0#S#PillarDate7")</f>
        <v>06-Aug-2020</v>
      </c>
      <c r="E2" s="71" t="str">
        <f t="array" ref="E2">RTD("tickerplantrtdserver",,"FWRC1#USDINR#Month Wise Rates#0#S#PillarDate8")</f>
        <v>08-Sep-2020</v>
      </c>
      <c r="F2" s="71" t="str">
        <f t="array" ref="F2">RTD("tickerplantrtdserver",,"FWRC1#USDINR#Month Wise Rates#0#S#PillarDate9")</f>
        <v>06-Oct-2020</v>
      </c>
      <c r="G2" s="71" t="str">
        <f t="array" ref="G2">RTD("tickerplantrtdserver",,"FWRC1#USDINR#Month Wise Rates#0#S#PillarDate10")</f>
        <v>06-Nov-2020</v>
      </c>
      <c r="H2" s="71" t="str">
        <f t="array" ref="H2">RTD("tickerplantrtdserver",,"FWRC1#USDINR#Month Wise Rates#0#S#PillarDate11")</f>
        <v>07-Dec-2020</v>
      </c>
      <c r="I2" s="71" t="str">
        <f t="array" ref="I2">RTD("tickerplantrtdserver",,"FWRC1#USDINR#Month Wise Rates#0#S#PillarDate12")</f>
        <v>06-Jan-2021</v>
      </c>
      <c r="J2" s="71" t="str">
        <f t="array" ref="J2">RTD("tickerplantrtdserver",,"FWRC1#USDINR#Month Wise Rates#0#S#PillarDate13")</f>
        <v>08-Feb-2021</v>
      </c>
      <c r="K2" s="71" t="str">
        <f t="array" ref="K2">RTD("tickerplantrtdserver",,"FWRC1#USDINR#Month Wise Rates#0#S#PillarDate14")</f>
        <v>08-Mar-2021</v>
      </c>
      <c r="L2" s="71" t="str">
        <f t="array" ref="L2">RTD("tickerplantrtdserver",,"FWRC1#USDINR#Month Wise Rates#0#S#PillarDate15")</f>
        <v>06-Apr-2021</v>
      </c>
      <c r="M2" s="71" t="str">
        <f t="array" ref="M2">RTD("tickerplantrtdserver",,"FWRC1#USDINR#Month Wise Rates#0#S#PillarDate16")</f>
        <v>06-May-2021</v>
      </c>
      <c r="N2" s="71" t="str">
        <f t="array" ref="N2">RTD("tickerplantrtdserver",,"FWRC1#USDINR#Month Wise Rates#0#S#PillarDate17")</f>
        <v>07-Jun-2021</v>
      </c>
      <c r="O2" s="75" t="str">
        <f t="array" ref="O2">RTD("tickerplantrtdserver",,"FWRC1#USDINR#Month Wise Rates#0#S#PillarDate18")</f>
        <v>06-Jul-2021</v>
      </c>
      <c r="P2" s="30"/>
    </row>
    <row r="3" spans="1:18" s="14" customFormat="1" x14ac:dyDescent="0.25">
      <c r="A3" s="161" t="s">
        <v>4</v>
      </c>
      <c r="B3" s="162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6"/>
      <c r="P3" s="15"/>
    </row>
    <row r="4" spans="1:18" s="14" customFormat="1" x14ac:dyDescent="0.25">
      <c r="A4" s="159" t="s">
        <v>47</v>
      </c>
      <c r="B4" s="160"/>
      <c r="C4" s="65">
        <f>RTD("tickerplantrtdserver",,"FWRC1#USDINR#Month Wise Rates#0#BidPrice2")</f>
        <v>0.25</v>
      </c>
      <c r="D4" s="65">
        <f t="array" ref="D4">RTD("tickerplantrtdserver",,"FWRC1#USDINR#Month Wise Rates#0#BidPrice7")</f>
        <v>20.008099999999999</v>
      </c>
      <c r="E4" s="65">
        <f t="array" ref="E4">RTD("tickerplantrtdserver",,"FWRC1#USDINR#Month Wise Rates#0#BidPrice8")</f>
        <v>43.616700000000002</v>
      </c>
      <c r="F4" s="65">
        <f t="array" ref="F4">RTD("tickerplantrtdserver",,"FWRC1#USDINR#Month Wise Rates#0#BidPrice9")</f>
        <v>64.508600000000001</v>
      </c>
      <c r="G4" s="65">
        <f t="array" ref="G4">RTD("tickerplantrtdserver",,"FWRC1#USDINR#Month Wise Rates#0#BidPrice10")</f>
        <v>89.025899999999993</v>
      </c>
      <c r="H4" s="65">
        <f t="array" ref="H4">RTD("tickerplantrtdserver",,"FWRC1#USDINR#Month Wise Rates#0#BidPrice11")</f>
        <v>113.3676</v>
      </c>
      <c r="I4" s="65">
        <f t="array" ref="I4">RTD("tickerplantrtdserver",,"FWRC1#USDINR#Month Wise Rates#0#BidPrice12")</f>
        <v>137.0086</v>
      </c>
      <c r="J4" s="65">
        <f t="array" ref="J4">RTD("tickerplantrtdserver",,"FWRC1#USDINR#Month Wise Rates#0#BidPrice13")</f>
        <v>163.1071</v>
      </c>
      <c r="K4" s="65">
        <f t="array" ref="K4">RTD("tickerplantrtdserver",,"FWRC1#USDINR#Month Wise Rates#0#BidPrice14")</f>
        <v>185.12880000000001</v>
      </c>
      <c r="L4" s="65">
        <f t="array" ref="L4">RTD("tickerplantrtdserver",,"FWRC1#USDINR#Month Wise Rates#0#BidPrice15")</f>
        <v>209.05</v>
      </c>
      <c r="M4" s="65">
        <f t="array" ref="M4">RTD("tickerplantrtdserver",,"FWRC1#USDINR#Month Wise Rates#0#BidPrice16")</f>
        <v>236.5565</v>
      </c>
      <c r="N4" s="65">
        <f t="array" ref="N4">RTD("tickerplantrtdserver",,"FWRC1#USDINR#Month Wise Rates#0#BidPrice17")</f>
        <v>260.68329999999997</v>
      </c>
      <c r="O4" s="67">
        <f t="array" ref="O4">RTD("tickerplantrtdserver",,"FWRC1#USDINR#Month Wise Rates#0#BidPrice18")</f>
        <v>286.3</v>
      </c>
      <c r="P4" s="20"/>
    </row>
    <row r="5" spans="1:18" s="14" customFormat="1" x14ac:dyDescent="0.25">
      <c r="A5" s="159" t="s">
        <v>48</v>
      </c>
      <c r="B5" s="160"/>
      <c r="C5" s="65">
        <f t="array" ref="C5">RTD("tickerplantrtdserver",,"FWRC1#USDINR#Month Wise Rates#0#AskPrice2")</f>
        <v>1.25</v>
      </c>
      <c r="D5" s="65">
        <f t="array" ref="D5">RTD("tickerplantrtdserver",,"FWRC1#USDINR#Month Wise Rates#0#AskPrice7")</f>
        <v>22.008099999999999</v>
      </c>
      <c r="E5" s="65">
        <f t="array" ref="E5">RTD("tickerplantrtdserver",,"FWRC1#USDINR#Month Wise Rates#0#AskPrice8")</f>
        <v>45.616700000000002</v>
      </c>
      <c r="F5" s="65">
        <f t="array" ref="F5">RTD("tickerplantrtdserver",,"FWRC1#USDINR#Month Wise Rates#0#AskPrice9")</f>
        <v>66.508600000000001</v>
      </c>
      <c r="G5" s="65">
        <f t="array" ref="G5">RTD("tickerplantrtdserver",,"FWRC1#USDINR#Month Wise Rates#0#AskPrice10")</f>
        <v>91.025899999999993</v>
      </c>
      <c r="H5" s="65">
        <f t="array" ref="H5">RTD("tickerplantrtdserver",,"FWRC1#USDINR#Month Wise Rates#0#AskPrice11")</f>
        <v>115.3676</v>
      </c>
      <c r="I5" s="65">
        <f t="array" ref="I5">RTD("tickerplantrtdserver",,"FWRC1#USDINR#Month Wise Rates#0#AskPrice12")</f>
        <v>139.0086</v>
      </c>
      <c r="J5" s="65">
        <f t="array" ref="J5">RTD("tickerplantrtdserver",,"FWRC1#USDINR#Month Wise Rates#0#AskPrice13")</f>
        <v>165.1071</v>
      </c>
      <c r="K5" s="65">
        <f t="array" ref="K5">RTD("tickerplantrtdserver",,"FWRC1#USDINR#Month Wise Rates#0#AskPrice14")</f>
        <v>187.12880000000001</v>
      </c>
      <c r="L5" s="65">
        <f t="array" ref="L5">RTD("tickerplantrtdserver",,"FWRC1#USDINR#Month Wise Rates#0#AskPrice15")</f>
        <v>211.05</v>
      </c>
      <c r="M5" s="65">
        <f t="array" ref="M5">RTD("tickerplantrtdserver",,"FWRC1#USDINR#Month Wise Rates#0#AskPrice16")</f>
        <v>238.5565</v>
      </c>
      <c r="N5" s="65">
        <f t="array" ref="N5">RTD("tickerplantrtdserver",,"FWRC1#USDINR#Month Wise Rates#0#AskPrice17")</f>
        <v>262.68329999999997</v>
      </c>
      <c r="O5" s="67">
        <f t="array" ref="O5">RTD("tickerplantrtdserver",,"FWRC1#USDINR#Month Wise Rates#0#AskPrice18")</f>
        <v>288.3</v>
      </c>
      <c r="P5" s="20"/>
    </row>
    <row r="6" spans="1:18" s="14" customFormat="1" x14ac:dyDescent="0.25">
      <c r="A6" s="161" t="s">
        <v>3</v>
      </c>
      <c r="B6" s="162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6"/>
      <c r="P6" s="20"/>
    </row>
    <row r="7" spans="1:18" s="14" customFormat="1" x14ac:dyDescent="0.25">
      <c r="A7" s="159" t="s">
        <v>47</v>
      </c>
      <c r="B7" s="160"/>
      <c r="C7" s="64">
        <f t="array" ref="C7">RTD("tickerplantrtdserver",,"FWRC1#USDINR#Month Wise Rates#0#FwdOutrightBid2")</f>
        <v>74.622500000000002</v>
      </c>
      <c r="D7" s="64">
        <f t="array" ref="D7">RTD("tickerplantrtdserver",,"FWRC1#USDINR#Month Wise Rates#0#FwdOutrightBid7")</f>
        <v>74.835099999999997</v>
      </c>
      <c r="E7" s="64">
        <f t="array" ref="E7">RTD("tickerplantrtdserver",,"FWRC1#USDINR#Month Wise Rates#0#FwdOutrightBid8")</f>
        <v>75.071200000000005</v>
      </c>
      <c r="F7" s="64">
        <f t="array" ref="F7">RTD("tickerplantrtdserver",,"FWRC1#USDINR#Month Wise Rates#0#FwdOutrightBid9")</f>
        <v>75.280100000000004</v>
      </c>
      <c r="G7" s="64">
        <f t="array" ref="G7">RTD("tickerplantrtdserver",,"FWRC1#USDINR#Month Wise Rates#0#FwdOutrightBid10")</f>
        <v>75.525300000000001</v>
      </c>
      <c r="H7" s="64">
        <f t="array" ref="H7">RTD("tickerplantrtdserver",,"FWRC1#USDINR#Month Wise Rates#0#FwdOutrightBid11")</f>
        <v>75.768699999999995</v>
      </c>
      <c r="I7" s="64">
        <f t="array" ref="I7">RTD("tickerplantrtdserver",,"FWRC1#USDINR#Month Wise Rates#0#FwdOutrightBid12")</f>
        <v>76.005099999999999</v>
      </c>
      <c r="J7" s="64">
        <f t="array" ref="J7">RTD("tickerplantrtdserver",,"FWRC1#USDINR#Month Wise Rates#0#FwdOutrightBid13")</f>
        <v>76.266099999999994</v>
      </c>
      <c r="K7" s="64">
        <f t="array" ref="K7">RTD("tickerplantrtdserver",,"FWRC1#USDINR#Month Wise Rates#0#FwdOutrightBid14")</f>
        <v>76.4863</v>
      </c>
      <c r="L7" s="64">
        <f t="array" ref="L7">RTD("tickerplantrtdserver",,"FWRC1#USDINR#Month Wise Rates#0#FwdOutrightBid15")</f>
        <v>76.725499999999997</v>
      </c>
      <c r="M7" s="64">
        <f t="array" ref="M7">RTD("tickerplantrtdserver",,"FWRC1#USDINR#Month Wise Rates#0#FwdOutrightBid16")</f>
        <v>76.985600000000005</v>
      </c>
      <c r="N7" s="64">
        <f t="array" ref="N7">RTD("tickerplantrtdserver",,"FWRC1#USDINR#Month Wise Rates#0#FwdOutrightBid17")</f>
        <v>77.226799999999997</v>
      </c>
      <c r="O7" s="68">
        <f t="array" ref="O7">RTD("tickerplantrtdserver",,"FWRC1#USDINR#Month Wise Rates#0#FwdOutrightBid18")</f>
        <v>77.483000000000004</v>
      </c>
      <c r="P7" s="20"/>
    </row>
    <row r="8" spans="1:18" s="14" customFormat="1" x14ac:dyDescent="0.25">
      <c r="A8" s="159" t="s">
        <v>48</v>
      </c>
      <c r="B8" s="160"/>
      <c r="C8" s="64">
        <f t="array" ref="C8">RTD("tickerplantrtdserver",,"FWRC1#USDINR#Month Wise Rates#0#FwdOutrightAsk2")</f>
        <v>74.642499999999998</v>
      </c>
      <c r="D8" s="64">
        <f t="array" ref="D8">RTD("tickerplantrtdserver",,"FWRC1#USDINR#Month Wise Rates#0#FwdOutrightAsk7")</f>
        <v>74.865099999999998</v>
      </c>
      <c r="E8" s="64">
        <f t="array" ref="E8">RTD("tickerplantrtdserver",,"FWRC1#USDINR#Month Wise Rates#0#FwdOutrightAsk8")</f>
        <v>75.101200000000006</v>
      </c>
      <c r="F8" s="64">
        <f t="array" ref="F8">RTD("tickerplantrtdserver",,"FWRC1#USDINR#Month Wise Rates#0#FwdOutrightAsk9")</f>
        <v>75.310100000000006</v>
      </c>
      <c r="G8" s="64">
        <f t="array" ref="G8">RTD("tickerplantrtdserver",,"FWRC1#USDINR#Month Wise Rates#0#FwdOutrightAsk10")</f>
        <v>75.555300000000003</v>
      </c>
      <c r="H8" s="64">
        <f t="array" ref="H8">RTD("tickerplantrtdserver",,"FWRC1#USDINR#Month Wise Rates#0#FwdOutrightAsk11")</f>
        <v>75.798699999999997</v>
      </c>
      <c r="I8" s="64">
        <f t="array" ref="I8">RTD("tickerplantrtdserver",,"FWRC1#USDINR#Month Wise Rates#0#FwdOutrightAsk12")</f>
        <v>76.0351</v>
      </c>
      <c r="J8" s="64">
        <f t="array" ref="J8">RTD("tickerplantrtdserver",,"FWRC1#USDINR#Month Wise Rates#0#FwdOutrightAsk13")</f>
        <v>76.296099999999996</v>
      </c>
      <c r="K8" s="64">
        <f t="array" ref="K8">RTD("tickerplantrtdserver",,"FWRC1#USDINR#Month Wise Rates#0#FwdOutrightAsk14")</f>
        <v>76.516300000000001</v>
      </c>
      <c r="L8" s="64">
        <f t="array" ref="L8">RTD("tickerplantrtdserver",,"FWRC1#USDINR#Month Wise Rates#0#FwdOutrightAsk15")</f>
        <v>76.755499999999998</v>
      </c>
      <c r="M8" s="64">
        <f t="array" ref="M8">RTD("tickerplantrtdserver",,"FWRC1#USDINR#Month Wise Rates#0#FwdOutrightAsk16")</f>
        <v>77.015600000000006</v>
      </c>
      <c r="N8" s="64">
        <f t="array" ref="N8">RTD("tickerplantrtdserver",,"FWRC1#USDINR#Month Wise Rates#0#FwdOutrightAsk17")</f>
        <v>77.256799999999998</v>
      </c>
      <c r="O8" s="68">
        <f t="array" ref="O8">RTD("tickerplantrtdserver",,"FWRC1#USDINR#Month Wise Rates#0#FwdOutrightAsk18")</f>
        <v>77.513000000000005</v>
      </c>
    </row>
    <row r="9" spans="1:18" s="14" customFormat="1" x14ac:dyDescent="0.25">
      <c r="A9" s="161" t="s">
        <v>2</v>
      </c>
      <c r="B9" s="162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6"/>
    </row>
    <row r="10" spans="1:18" s="14" customFormat="1" x14ac:dyDescent="0.25">
      <c r="A10" s="159" t="s">
        <v>47</v>
      </c>
      <c r="B10" s="160"/>
      <c r="C10" s="65">
        <f t="array" ref="C10">RTD("tickerplantrtdserver",,"FWRC1#USDINR#Month Wise Rates#0#Bid%2")</f>
        <v>0.40749999999999997</v>
      </c>
      <c r="D10" s="65">
        <f t="array" ref="D10">RTD("tickerplantrtdserver",,"FWRC1#USDINR#Month Wise Rates#0#Bid%7")</f>
        <v>3.1560000000000001</v>
      </c>
      <c r="E10" s="65">
        <f t="array" ref="E10">RTD("tickerplantrtdserver",,"FWRC1#USDINR#Month Wise Rates#0#Bid%8")</f>
        <v>3.3325</v>
      </c>
      <c r="F10" s="65">
        <f t="array" ref="F10">RTD("tickerplantrtdserver",,"FWRC1#USDINR#Month Wise Rates#0#Bid%9")</f>
        <v>3.4285999999999999</v>
      </c>
      <c r="G10" s="65">
        <f t="array" ref="G10">RTD("tickerplantrtdserver",,"FWRC1#USDINR#Month Wise Rates#0#Bid%10")</f>
        <v>3.5392000000000001</v>
      </c>
      <c r="H10" s="65">
        <f t="array" ref="H10">RTD("tickerplantrtdserver",,"FWRC1#USDINR#Month Wise Rates#0#Bid%11")</f>
        <v>3.5996999999999999</v>
      </c>
      <c r="I10" s="65">
        <f t="array" ref="I10">RTD("tickerplantrtdserver",,"FWRC1#USDINR#Month Wise Rates#0#Bid%12")</f>
        <v>3.641</v>
      </c>
      <c r="J10" s="65">
        <f t="array" ref="J10">RTD("tickerplantrtdserver",,"FWRC1#USDINR#Month Wise Rates#0#Bid%13")</f>
        <v>3.6753999999999998</v>
      </c>
      <c r="K10" s="65">
        <f t="array" ref="K10">RTD("tickerplantrtdserver",,"FWRC1#USDINR#Month Wise Rates#0#Bid%14")</f>
        <v>3.6949000000000001</v>
      </c>
      <c r="L10" s="65">
        <f t="array" ref="L10">RTD("tickerplantrtdserver",,"FWRC1#USDINR#Month Wise Rates#0#Bid%15")</f>
        <v>3.7307000000000001</v>
      </c>
      <c r="M10" s="65">
        <f t="array" ref="M10">RTD("tickerplantrtdserver",,"FWRC1#USDINR#Month Wise Rates#0#Bid%16")</f>
        <v>3.8058000000000001</v>
      </c>
      <c r="N10" s="65">
        <f t="array" ref="N10">RTD("tickerplantrtdserver",,"FWRC1#USDINR#Month Wise Rates#0#Bid%17")</f>
        <v>3.7945000000000002</v>
      </c>
      <c r="O10" s="67">
        <f t="array" ref="O10">RTD("tickerplantrtdserver",,"FWRC1#USDINR#Month Wise Rates#0#Bid%18")</f>
        <v>3.8363</v>
      </c>
    </row>
    <row r="11" spans="1:18" s="14" customFormat="1" ht="15.75" thickBot="1" x14ac:dyDescent="0.3">
      <c r="A11" s="163" t="s">
        <v>48</v>
      </c>
      <c r="B11" s="164"/>
      <c r="C11" s="69">
        <f t="array" ref="C11">RTD("tickerplantrtdserver",,"FWRC1#USDINR#Month Wise Rates#0#Ask%2")</f>
        <v>2.0377000000000001</v>
      </c>
      <c r="D11" s="69">
        <f t="array" ref="D11">RTD("tickerplantrtdserver",,"FWRC1#USDINR#Month Wise Rates#0#Ask%7")</f>
        <v>3.4719000000000002</v>
      </c>
      <c r="E11" s="69">
        <f t="array" ref="E11">RTD("tickerplantrtdserver",,"FWRC1#USDINR#Month Wise Rates#0#Ask%8")</f>
        <v>3.4857</v>
      </c>
      <c r="F11" s="69">
        <f t="array" ref="F11">RTD("tickerplantrtdserver",,"FWRC1#USDINR#Month Wise Rates#0#Ask%9")</f>
        <v>3.5354000000000001</v>
      </c>
      <c r="G11" s="69">
        <f t="array" ref="G11">RTD("tickerplantrtdserver",,"FWRC1#USDINR#Month Wise Rates#0#Ask%10")</f>
        <v>3.6192000000000002</v>
      </c>
      <c r="H11" s="69">
        <f t="array" ref="H11">RTD("tickerplantrtdserver",,"FWRC1#USDINR#Month Wise Rates#0#Ask%11")</f>
        <v>3.6636000000000002</v>
      </c>
      <c r="I11" s="69">
        <f t="array" ref="I11">RTD("tickerplantrtdserver",,"FWRC1#USDINR#Month Wise Rates#0#Ask%12")</f>
        <v>3.6947000000000001</v>
      </c>
      <c r="J11" s="69">
        <f t="array" ref="J11">RTD("tickerplantrtdserver",,"FWRC1#USDINR#Month Wise Rates#0#Ask%13")</f>
        <v>3.7210000000000001</v>
      </c>
      <c r="K11" s="69">
        <f t="array" ref="K11">RTD("tickerplantrtdserver",,"FWRC1#USDINR#Month Wise Rates#0#Ask%14")</f>
        <v>3.7353000000000001</v>
      </c>
      <c r="L11" s="69">
        <f t="array" ref="L11">RTD("tickerplantrtdserver",,"FWRC1#USDINR#Month Wise Rates#0#Ask%15")</f>
        <v>3.7669000000000001</v>
      </c>
      <c r="M11" s="69">
        <f t="array" ref="M11">RTD("tickerplantrtdserver",,"FWRC1#USDINR#Month Wise Rates#0#Ask%16")</f>
        <v>3.8384</v>
      </c>
      <c r="N11" s="69">
        <f t="array" ref="N11">RTD("tickerplantrtdserver",,"FWRC1#USDINR#Month Wise Rates#0#Ask%17")</f>
        <v>3.8241000000000001</v>
      </c>
      <c r="O11" s="70">
        <f t="array" ref="O11">RTD("tickerplantrtdserver",,"FWRC1#USDINR#Month Wise Rates#0#Ask%18")</f>
        <v>3.8635999999999999</v>
      </c>
    </row>
    <row r="12" spans="1:18" s="14" customFormat="1" ht="15.7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 x14ac:dyDescent="0.25">
      <c r="A13" s="13"/>
      <c r="B13" s="21"/>
      <c r="C13" s="21"/>
      <c r="D13" s="58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 x14ac:dyDescent="0.25">
      <c r="A14" s="13"/>
      <c r="B14" s="21"/>
      <c r="C14" s="21"/>
      <c r="D14" s="58"/>
      <c r="E14" s="21"/>
      <c r="F14" s="33"/>
      <c r="G14" s="34"/>
      <c r="H14" s="34"/>
      <c r="I14" s="34"/>
      <c r="J14" s="21"/>
      <c r="L14" s="58"/>
      <c r="M14" s="58"/>
      <c r="N14" s="58"/>
      <c r="P14" s="31"/>
      <c r="Q14" s="31"/>
      <c r="R14" s="31"/>
    </row>
    <row r="15" spans="1:18" s="14" customFormat="1" x14ac:dyDescent="0.25">
      <c r="A15" s="13"/>
      <c r="B15" s="21"/>
      <c r="C15" s="21"/>
      <c r="D15" s="58"/>
      <c r="E15" s="21"/>
      <c r="F15" s="33"/>
      <c r="G15" s="34"/>
      <c r="H15" s="34"/>
      <c r="I15" s="34"/>
      <c r="J15" s="21"/>
      <c r="L15" s="58"/>
      <c r="M15" s="58"/>
      <c r="N15" s="58"/>
      <c r="P15" s="31"/>
      <c r="Q15" s="31"/>
      <c r="R15" s="31"/>
    </row>
    <row r="16" spans="1:18" s="14" customFormat="1" x14ac:dyDescent="0.25">
      <c r="A16" s="13"/>
      <c r="B16" s="21"/>
      <c r="C16" s="21"/>
      <c r="D16" s="58"/>
      <c r="E16" s="21"/>
      <c r="F16" s="33"/>
      <c r="G16" s="34"/>
      <c r="H16" s="34"/>
      <c r="I16" s="34"/>
      <c r="J16" s="21"/>
      <c r="L16" s="58"/>
      <c r="M16" s="58"/>
      <c r="N16" s="58"/>
      <c r="P16" s="31"/>
      <c r="Q16" s="31"/>
      <c r="R16" s="31"/>
    </row>
    <row r="17" spans="1:18" s="14" customFormat="1" x14ac:dyDescent="0.25">
      <c r="A17" s="13"/>
      <c r="B17" s="21"/>
      <c r="C17" s="21"/>
      <c r="D17" s="58"/>
      <c r="E17" s="21"/>
      <c r="F17" s="33"/>
      <c r="G17" s="34"/>
      <c r="H17" s="34"/>
      <c r="I17" s="34"/>
      <c r="J17" s="21"/>
      <c r="L17" s="58"/>
      <c r="M17" s="58"/>
      <c r="N17" s="58"/>
      <c r="P17" s="31"/>
      <c r="Q17" s="31"/>
      <c r="R17" s="31"/>
    </row>
    <row r="18" spans="1:18" s="14" customFormat="1" x14ac:dyDescent="0.25">
      <c r="A18" s="13"/>
      <c r="B18" s="21"/>
      <c r="C18" s="21"/>
      <c r="D18" s="58"/>
      <c r="E18" s="21"/>
      <c r="F18" s="33"/>
      <c r="G18" s="34"/>
      <c r="H18" s="34"/>
      <c r="I18" s="34"/>
      <c r="J18" s="21"/>
      <c r="L18" s="58"/>
      <c r="M18" s="58"/>
      <c r="N18" s="58"/>
      <c r="P18" s="31"/>
      <c r="Q18" s="31"/>
      <c r="R18" s="31"/>
    </row>
    <row r="19" spans="1:18" s="14" customFormat="1" x14ac:dyDescent="0.25">
      <c r="A19" s="13"/>
      <c r="B19" s="21"/>
      <c r="C19" s="21"/>
      <c r="D19" s="58"/>
      <c r="E19" s="21"/>
      <c r="F19" s="33"/>
      <c r="G19" s="34"/>
      <c r="H19" s="34"/>
      <c r="I19" s="34"/>
      <c r="J19" s="21"/>
      <c r="L19" s="58"/>
      <c r="M19" s="58"/>
      <c r="N19" s="58"/>
      <c r="P19" s="31"/>
      <c r="Q19" s="31"/>
      <c r="R19" s="31"/>
    </row>
    <row r="20" spans="1:18" s="14" customFormat="1" x14ac:dyDescent="0.25">
      <c r="A20" s="13"/>
      <c r="B20" s="21"/>
      <c r="C20" s="21"/>
      <c r="D20" s="58"/>
      <c r="E20" s="21"/>
      <c r="F20" s="33"/>
      <c r="G20" s="34"/>
      <c r="H20" s="34"/>
      <c r="I20" s="34"/>
      <c r="J20" s="21"/>
      <c r="L20" s="58"/>
      <c r="M20" s="58"/>
      <c r="N20" s="58"/>
      <c r="P20" s="31"/>
      <c r="Q20" s="31"/>
      <c r="R20" s="31"/>
    </row>
    <row r="21" spans="1:18" x14ac:dyDescent="0.25">
      <c r="A21" s="13"/>
      <c r="B21" s="21"/>
      <c r="C21" s="21"/>
      <c r="D21" s="58"/>
      <c r="E21" s="21"/>
      <c r="F21" s="33"/>
      <c r="G21" s="34"/>
      <c r="H21" s="34"/>
      <c r="I21" s="34"/>
      <c r="J21" s="21"/>
      <c r="K21" s="14"/>
      <c r="L21" s="58"/>
      <c r="M21" s="58"/>
      <c r="N21" s="58"/>
      <c r="O21" s="14"/>
      <c r="P21" s="31"/>
      <c r="Q21" s="31"/>
      <c r="R21" s="31"/>
    </row>
    <row r="22" spans="1:18" x14ac:dyDescent="0.25">
      <c r="A22" s="13"/>
      <c r="B22" s="21"/>
      <c r="C22" s="21"/>
      <c r="D22" s="58"/>
      <c r="E22" s="21"/>
      <c r="F22" s="33"/>
      <c r="G22" s="34"/>
      <c r="H22" s="34"/>
      <c r="I22" s="34"/>
      <c r="J22" s="21"/>
      <c r="K22" s="14"/>
      <c r="L22" s="58"/>
      <c r="M22" s="58"/>
      <c r="N22" s="58"/>
      <c r="O22" s="14"/>
      <c r="P22" s="31"/>
      <c r="Q22" s="31"/>
      <c r="R22" s="31"/>
    </row>
    <row r="23" spans="1:18" x14ac:dyDescent="0.25">
      <c r="A23" s="13"/>
      <c r="B23" s="21"/>
      <c r="C23" s="21"/>
      <c r="D23" s="58"/>
      <c r="E23" s="21"/>
      <c r="F23" s="33"/>
      <c r="G23" s="34"/>
      <c r="H23" s="34"/>
      <c r="I23" s="34"/>
      <c r="J23" s="21"/>
      <c r="K23" s="14"/>
      <c r="L23" s="58"/>
      <c r="M23" s="58"/>
      <c r="N23" s="58"/>
      <c r="O23" s="14"/>
      <c r="P23" s="31"/>
      <c r="Q23" s="31"/>
      <c r="R23" s="31"/>
    </row>
    <row r="24" spans="1:18" s="2" customFormat="1" x14ac:dyDescent="0.25">
      <c r="A24" s="13"/>
      <c r="B24" s="21"/>
      <c r="C24" s="21"/>
      <c r="D24" s="58"/>
      <c r="E24" s="21"/>
      <c r="F24" s="33"/>
      <c r="G24" s="34"/>
      <c r="H24" s="34"/>
      <c r="I24" s="34"/>
      <c r="J24" s="21"/>
      <c r="K24" s="14"/>
      <c r="L24" s="58"/>
      <c r="M24" s="58"/>
      <c r="N24" s="58"/>
      <c r="O24" s="14"/>
      <c r="P24" s="31"/>
      <c r="Q24" s="31"/>
      <c r="R24" s="31"/>
    </row>
    <row r="25" spans="1:18" x14ac:dyDescent="0.25">
      <c r="A25" s="13"/>
      <c r="B25" s="21"/>
      <c r="C25" s="21"/>
      <c r="D25" s="58"/>
      <c r="E25" s="21"/>
      <c r="F25" s="33"/>
      <c r="G25" s="34"/>
      <c r="H25" s="34"/>
      <c r="I25" s="34"/>
      <c r="J25" s="21"/>
      <c r="K25" s="14"/>
      <c r="L25" s="58"/>
      <c r="M25" s="58"/>
      <c r="N25" s="58"/>
      <c r="O25" s="14"/>
      <c r="P25" s="31"/>
      <c r="Q25" s="31"/>
      <c r="R25" s="31"/>
    </row>
    <row r="26" spans="1:18" x14ac:dyDescent="0.25">
      <c r="A26" s="13"/>
      <c r="B26" s="21"/>
      <c r="C26" s="21"/>
      <c r="D26" s="58"/>
      <c r="E26" s="21"/>
      <c r="F26" s="33"/>
      <c r="G26" s="34"/>
      <c r="H26" s="34"/>
      <c r="I26" s="34"/>
      <c r="J26" s="21"/>
      <c r="K26" s="14"/>
      <c r="L26" s="58"/>
      <c r="M26" s="58"/>
      <c r="N26" s="58"/>
      <c r="O26" s="14"/>
      <c r="P26" s="31"/>
      <c r="Q26" s="31"/>
      <c r="R26" s="31"/>
    </row>
    <row r="27" spans="1:18" x14ac:dyDescent="0.25">
      <c r="A27" s="13"/>
      <c r="B27" s="21"/>
      <c r="C27" s="21"/>
      <c r="D27" s="58"/>
      <c r="E27" s="21"/>
      <c r="F27" s="33"/>
      <c r="G27" s="34"/>
      <c r="H27" s="34"/>
      <c r="I27" s="34"/>
      <c r="J27" s="21"/>
      <c r="K27" s="14"/>
      <c r="L27" s="58"/>
      <c r="M27" s="58"/>
      <c r="N27" s="58"/>
      <c r="O27" s="14"/>
      <c r="P27" s="31"/>
      <c r="Q27" s="31"/>
      <c r="R27" s="31"/>
    </row>
    <row r="28" spans="1:18" x14ac:dyDescent="0.25">
      <c r="A28" s="13"/>
      <c r="B28" s="21"/>
      <c r="C28" s="21"/>
      <c r="D28" s="58"/>
      <c r="E28" s="21"/>
      <c r="F28" s="33"/>
      <c r="G28" s="34"/>
      <c r="H28" s="34"/>
      <c r="I28" s="34"/>
      <c r="J28" s="21"/>
      <c r="K28" s="14"/>
      <c r="L28" s="58"/>
      <c r="M28" s="58"/>
      <c r="N28" s="58"/>
      <c r="O28" s="14"/>
      <c r="P28" s="31"/>
      <c r="Q28" s="31"/>
      <c r="R28" s="31"/>
    </row>
    <row r="29" spans="1:18" x14ac:dyDescent="0.25">
      <c r="A29" s="13"/>
      <c r="B29" s="21"/>
      <c r="C29" s="21"/>
      <c r="D29" s="58"/>
      <c r="E29" s="21"/>
      <c r="F29" s="33"/>
      <c r="G29" s="34"/>
      <c r="H29" s="34"/>
      <c r="I29" s="34"/>
      <c r="J29" s="21"/>
      <c r="K29" s="14"/>
      <c r="L29" s="58"/>
      <c r="M29" s="58"/>
      <c r="N29" s="58"/>
      <c r="O29" s="14"/>
      <c r="P29" s="31"/>
      <c r="Q29" s="31"/>
      <c r="R29" s="31"/>
    </row>
    <row r="30" spans="1:18" x14ac:dyDescent="0.25">
      <c r="A30" s="13"/>
      <c r="B30" s="21"/>
      <c r="C30" s="21"/>
      <c r="D30" s="58"/>
      <c r="E30" s="21"/>
      <c r="F30" s="33"/>
      <c r="G30" s="34"/>
      <c r="H30" s="34"/>
      <c r="I30" s="34"/>
      <c r="J30" s="21"/>
      <c r="K30" s="14"/>
      <c r="L30" s="58"/>
      <c r="M30" s="58"/>
      <c r="N30" s="58"/>
      <c r="O30" s="14"/>
      <c r="P30" s="31"/>
      <c r="Q30" s="31"/>
      <c r="R30" s="31"/>
    </row>
    <row r="31" spans="1:18" x14ac:dyDescent="0.25">
      <c r="A31" s="13"/>
      <c r="B31" s="21"/>
      <c r="C31" s="21"/>
      <c r="D31" s="58"/>
      <c r="E31" s="21"/>
      <c r="F31" s="33"/>
      <c r="G31" s="34"/>
      <c r="H31" s="34"/>
      <c r="I31" s="34"/>
      <c r="J31" s="21"/>
      <c r="K31" s="14"/>
      <c r="L31" s="58"/>
      <c r="M31" s="58"/>
      <c r="N31" s="58"/>
      <c r="O31" s="14"/>
      <c r="P31" s="31"/>
      <c r="Q31" s="31"/>
      <c r="R31" s="31"/>
    </row>
    <row r="32" spans="1:18" x14ac:dyDescent="0.25">
      <c r="A32" s="13"/>
      <c r="B32" s="21"/>
      <c r="C32" s="21"/>
      <c r="D32" s="58"/>
      <c r="E32" s="21"/>
      <c r="F32" s="33"/>
      <c r="G32" s="34"/>
      <c r="H32" s="34"/>
      <c r="I32" s="34"/>
      <c r="J32" s="21"/>
      <c r="K32" s="14"/>
      <c r="L32" s="58"/>
      <c r="M32" s="58"/>
      <c r="N32" s="58"/>
      <c r="O32" s="14"/>
      <c r="P32" s="31"/>
      <c r="Q32" s="31"/>
      <c r="R32" s="31"/>
    </row>
    <row r="33" spans="1:18" x14ac:dyDescent="0.25">
      <c r="A33" s="13"/>
      <c r="B33" s="21"/>
      <c r="C33" s="21"/>
      <c r="D33" s="58"/>
      <c r="E33" s="21"/>
      <c r="F33" s="33"/>
      <c r="G33" s="34"/>
      <c r="H33" s="34"/>
      <c r="I33" s="34"/>
      <c r="J33" s="21"/>
      <c r="K33" s="14"/>
      <c r="L33" s="58"/>
      <c r="M33" s="58"/>
      <c r="N33" s="58"/>
      <c r="O33" s="14"/>
      <c r="P33" s="31"/>
      <c r="Q33" s="31"/>
      <c r="R33" s="31"/>
    </row>
    <row r="36" spans="1:18" x14ac:dyDescent="0.25">
      <c r="A36" s="1"/>
      <c r="B36" s="1"/>
    </row>
    <row r="42" spans="1:18" x14ac:dyDescent="0.25">
      <c r="F42" s="56"/>
      <c r="G42" s="56"/>
    </row>
    <row r="43" spans="1:18" x14ac:dyDescent="0.25">
      <c r="F43" s="56"/>
      <c r="G43" s="56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R40"/>
  <sheetViews>
    <sheetView workbookViewId="0">
      <selection sqref="A1:B1"/>
    </sheetView>
  </sheetViews>
  <sheetFormatPr defaultRowHeight="15" x14ac:dyDescent="0.25"/>
  <cols>
    <col min="3" max="4" width="9.85546875" bestFit="1" customWidth="1"/>
    <col min="5" max="5" width="9.28515625" bestFit="1" customWidth="1"/>
    <col min="6" max="6" width="8.85546875" bestFit="1" customWidth="1"/>
    <col min="7" max="8" width="9.42578125" bestFit="1" customWidth="1"/>
    <col min="9" max="9" width="9.28515625" bestFit="1" customWidth="1"/>
    <col min="10" max="11" width="9.5703125" bestFit="1" customWidth="1"/>
    <col min="12" max="12" width="9.28515625" bestFit="1" customWidth="1"/>
    <col min="13" max="13" width="9.42578125" bestFit="1" customWidth="1"/>
    <col min="14" max="14" width="9.7109375" bestFit="1" customWidth="1"/>
    <col min="15" max="15" width="9.285156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 x14ac:dyDescent="0.25">
      <c r="A1" s="157" t="s">
        <v>6</v>
      </c>
      <c r="B1" s="158"/>
      <c r="C1" s="76" t="str">
        <f t="array" ref="C1">RTD("tickerplantrtdserver",,"FWRC1#EURINR#Month End Rates#0#S#Desc.2")</f>
        <v>CASH/SPOT</v>
      </c>
      <c r="D1" s="76" t="str">
        <f t="array" ref="D1">RTD("tickerplantrtdserver",,"FWRC1#EURINR#Month End Rates#0#S#Desc.4")</f>
        <v>JUL-2020</v>
      </c>
      <c r="E1" s="76" t="str">
        <f t="array" ref="E1">RTD("tickerplantrtdserver",,"FWRC1#EURINR#Month End Rates#0#S#Desc.5")</f>
        <v>AUG-2020</v>
      </c>
      <c r="F1" s="76" t="str">
        <f t="array" ref="F1">RTD("tickerplantrtdserver",,"FWRC1#EURINR#Month End Rates#0#S#Desc.6")</f>
        <v>SEP-2020</v>
      </c>
      <c r="G1" s="76" t="str">
        <f t="array" ref="G1">RTD("tickerplantrtdserver",,"FWRC1#EURINR#Month End Rates#0#S#Desc.7")</f>
        <v>OCT-2020</v>
      </c>
      <c r="H1" s="76" t="str">
        <f t="array" ref="H1">RTD("tickerplantrtdserver",,"FWRC1#EURINR#Month End Rates#0#S#Desc.8")</f>
        <v>NOV-2020</v>
      </c>
      <c r="I1" s="76" t="str">
        <f t="array" ref="I1">RTD("tickerplantrtdserver",,"FWRC1#EURINR#Month End Rates#0#S#Desc.9")</f>
        <v>DEC-2020</v>
      </c>
      <c r="J1" s="76" t="str">
        <f t="array" ref="J1">RTD("tickerplantrtdserver",,"FWRC1#EURINR#Month End Rates#0#S#Desc.10")</f>
        <v>JAN-2021</v>
      </c>
      <c r="K1" s="76" t="str">
        <f t="array" ref="K1">RTD("tickerplantrtdserver",,"FWRC1#EURINR#Month End Rates#0#S#Desc.11")</f>
        <v>FEB-2021</v>
      </c>
      <c r="L1" s="76" t="str">
        <f t="array" ref="L1">RTD("tickerplantrtdserver",,"FWRC1#EURINR#Month End Rates#0#S#Desc.12")</f>
        <v>MAR-2021</v>
      </c>
      <c r="M1" s="76" t="str">
        <f t="array" ref="M1">RTD("tickerplantrtdserver",,"FWRC1#EURINR#Month End Rates#0#S#Desc.13")</f>
        <v>APR-2021</v>
      </c>
      <c r="N1" s="76" t="str">
        <f t="array" ref="N1">RTD("tickerplantrtdserver",,"FWRC1#EURINR#Month End Rates#0#S#Desc.14")</f>
        <v>MAY-2021</v>
      </c>
      <c r="O1" s="77" t="str">
        <f t="array" ref="O1">RTD("tickerplantrtdserver",,"FWRC1#EURINR#Month End Rates#0#S#Desc.15")</f>
        <v>JUN-2021</v>
      </c>
    </row>
    <row r="2" spans="1:18" s="14" customFormat="1" ht="15.75" customHeight="1" x14ac:dyDescent="0.25">
      <c r="A2" s="159" t="s">
        <v>5</v>
      </c>
      <c r="B2" s="160"/>
      <c r="C2" s="71" t="str">
        <f t="array" ref="C2">RTD("tickerplantrtdserver",,"FWRC1#EURINR#Month End Rates#0#S#MonthEndDate2")</f>
        <v>06-Jul-2020</v>
      </c>
      <c r="D2" s="71" t="str">
        <f t="array" ref="D2">RTD("tickerplantrtdserver",,"FWRC1#EURINR#Month End Rates#0#S#MonthEndDate4")</f>
        <v>31-Jul-2020</v>
      </c>
      <c r="E2" s="71" t="str">
        <f t="array" ref="E2">RTD("tickerplantrtdserver",,"FWRC1#EURINR#Month End Rates#0#S#MonthEndDate5")</f>
        <v>31-Aug-2020</v>
      </c>
      <c r="F2" s="71" t="str">
        <f t="array" ref="F2">RTD("tickerplantrtdserver",,"FWRC1#EURINR#Month End Rates#0#S#MonthEndDate6")</f>
        <v>30-Sep-2020</v>
      </c>
      <c r="G2" s="71" t="str">
        <f t="array" ref="G2">RTD("tickerplantrtdserver",,"FWRC1#EURINR#Month End Rates#0#S#MonthEndDate7")</f>
        <v>29-Oct-2020</v>
      </c>
      <c r="H2" s="71" t="str">
        <f t="array" ref="H2">RTD("tickerplantrtdserver",,"FWRC1#EURINR#Month End Rates#0#S#MonthEndDate8")</f>
        <v>27-Nov-2020</v>
      </c>
      <c r="I2" s="71" t="str">
        <f t="array" ref="I2">RTD("tickerplantrtdserver",,"FWRC1#EURINR#Month End Rates#0#S#MonthEndDate9")</f>
        <v>31-Dec-2020</v>
      </c>
      <c r="J2" s="71" t="str">
        <f t="array" ref="J2">RTD("tickerplantrtdserver",,"FWRC1#EURINR#Month End Rates#0#S#MonthEndDate10")</f>
        <v>29-Jan-2021</v>
      </c>
      <c r="K2" s="71" t="str">
        <f t="array" ref="K2">RTD("tickerplantrtdserver",,"FWRC1#EURINR#Month End Rates#0#S#MonthEndDate11")</f>
        <v>26-Feb-2021</v>
      </c>
      <c r="L2" s="71" t="str">
        <f t="array" ref="L2">RTD("tickerplantrtdserver",,"FWRC1#EURINR#Month End Rates#0#S#MonthEndDate12")</f>
        <v>31-Mar-2021</v>
      </c>
      <c r="M2" s="71" t="str">
        <f t="array" ref="M2">RTD("tickerplantrtdserver",,"FWRC1#EURINR#Month End Rates#0#S#MonthEndDate13")</f>
        <v>30-Apr-2021</v>
      </c>
      <c r="N2" s="71" t="str">
        <f t="array" ref="N2">RTD("tickerplantrtdserver",,"FWRC1#EURINR#Month End Rates#0#S#MonthEndDate14")</f>
        <v>31-May-2021</v>
      </c>
      <c r="O2" s="75" t="str">
        <f t="array" ref="O2">RTD("tickerplantrtdserver",,"FWRC1#EURINR#Month End Rates#0#S#MonthEndDate15")</f>
        <v>30-Jun-2021</v>
      </c>
      <c r="P2" s="30"/>
    </row>
    <row r="3" spans="1:18" s="14" customFormat="1" x14ac:dyDescent="0.25">
      <c r="A3" s="161" t="s">
        <v>4</v>
      </c>
      <c r="B3" s="162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6"/>
      <c r="P3" s="15"/>
    </row>
    <row r="4" spans="1:18" s="14" customFormat="1" x14ac:dyDescent="0.25">
      <c r="A4" s="159" t="s">
        <v>47</v>
      </c>
      <c r="B4" s="160"/>
      <c r="C4" s="65">
        <f t="array" ref="C4">RTD("tickerplantrtdserver",,"FWRC1#EURINR#Month End Rates#0#BidPrice2")</f>
        <v>2.1055000000000001</v>
      </c>
      <c r="D4" s="65">
        <f t="array" ref="D4">RTD("tickerplantrtdserver",,"FWRC1#EURINR#Month End Rates#0#BidPrice4")</f>
        <v>20.45</v>
      </c>
      <c r="E4" s="65">
        <f t="array" ref="E4">RTD("tickerplantrtdserver",,"FWRC1#EURINR#Month End Rates#0#BidPrice5")</f>
        <v>53.112499999999997</v>
      </c>
      <c r="F4" s="65">
        <f t="array" ref="F4">RTD("tickerplantrtdserver",,"FWRC1#EURINR#Month End Rates#0#BidPrice6")</f>
        <v>82.417500000000004</v>
      </c>
      <c r="G4" s="65">
        <f t="array" ref="G4">RTD("tickerplantrtdserver",,"FWRC1#EURINR#Month End Rates#0#BidPrice7")</f>
        <v>114.7675</v>
      </c>
      <c r="H4" s="65">
        <f t="array" ref="H4">RTD("tickerplantrtdserver",,"FWRC1#EURINR#Month End Rates#0#BidPrice8")</f>
        <v>145.9325</v>
      </c>
      <c r="I4" s="65">
        <f t="array" ref="I4">RTD("tickerplantrtdserver",,"FWRC1#EURINR#Month End Rates#0#BidPrice9")</f>
        <v>185.89500000000001</v>
      </c>
      <c r="J4" s="65">
        <f t="array" ref="J4">RTD("tickerplantrtdserver",,"FWRC1#EURINR#Month End Rates#0#BidPrice10")</f>
        <v>217.4075</v>
      </c>
      <c r="K4" s="65">
        <f t="array" ref="K4">RTD("tickerplantrtdserver",,"FWRC1#EURINR#Month End Rates#0#BidPrice11")</f>
        <v>247.5275</v>
      </c>
      <c r="L4" s="65">
        <f t="array" ref="L4">RTD("tickerplantrtdserver",,"FWRC1#EURINR#Month End Rates#0#BidPrice12")</f>
        <v>284.73500000000001</v>
      </c>
      <c r="M4" s="65">
        <f t="array" ref="M4">RTD("tickerplantrtdserver",,"FWRC1#EURINR#Month End Rates#0#BidPrice13")</f>
        <v>321.36500000000001</v>
      </c>
      <c r="N4" s="65">
        <f t="array" ref="N4">RTD("tickerplantrtdserver",,"FWRC1#EURINR#Month End Rates#0#BidPrice14")</f>
        <v>353.51499999999999</v>
      </c>
      <c r="O4" s="67">
        <f t="array" ref="O4">RTD("tickerplantrtdserver",,"FWRC1#EURINR#Month End Rates#0#BidPrice15")</f>
        <v>389.99250000000001</v>
      </c>
      <c r="P4" s="20"/>
    </row>
    <row r="5" spans="1:18" s="14" customFormat="1" x14ac:dyDescent="0.25">
      <c r="A5" s="159" t="s">
        <v>48</v>
      </c>
      <c r="B5" s="160"/>
      <c r="C5" s="65">
        <f t="array" ref="C5">RTD("tickerplantrtdserver",,"FWRC1#EURINR#Month End Rates#0#AskPrice2")</f>
        <v>5.5594000000000001</v>
      </c>
      <c r="D5" s="65">
        <f t="array" ref="D5">RTD("tickerplantrtdserver",,"FWRC1#EURINR#Month End Rates#0#AskPrice4")</f>
        <v>22.145</v>
      </c>
      <c r="E5" s="65">
        <f t="array" ref="E5">RTD("tickerplantrtdserver",,"FWRC1#EURINR#Month End Rates#0#AskPrice5")</f>
        <v>55.2575</v>
      </c>
      <c r="F5" s="65">
        <f t="array" ref="F5">RTD("tickerplantrtdserver",,"FWRC1#EURINR#Month End Rates#0#AskPrice6")</f>
        <v>84.484999999999999</v>
      </c>
      <c r="G5" s="65">
        <f t="array" ref="G5">RTD("tickerplantrtdserver",,"FWRC1#EURINR#Month End Rates#0#AskPrice7")</f>
        <v>116.94750000000001</v>
      </c>
      <c r="H5" s="65">
        <f t="array" ref="H5">RTD("tickerplantrtdserver",,"FWRC1#EURINR#Month End Rates#0#AskPrice8")</f>
        <v>148.51499999999999</v>
      </c>
      <c r="I5" s="65">
        <f t="array" ref="I5">RTD("tickerplantrtdserver",,"FWRC1#EURINR#Month End Rates#0#AskPrice9")</f>
        <v>188.595</v>
      </c>
      <c r="J5" s="65">
        <f t="array" ref="J5">RTD("tickerplantrtdserver",,"FWRC1#EURINR#Month End Rates#0#AskPrice10")</f>
        <v>222.12</v>
      </c>
      <c r="K5" s="65">
        <f t="array" ref="K5">RTD("tickerplantrtdserver",,"FWRC1#EURINR#Month End Rates#0#AskPrice11")</f>
        <v>251.32749999999999</v>
      </c>
      <c r="L5" s="65">
        <f t="array" ref="L5">RTD("tickerplantrtdserver",,"FWRC1#EURINR#Month End Rates#0#AskPrice12")</f>
        <v>288.83249999999998</v>
      </c>
      <c r="M5" s="65">
        <f t="array" ref="M5">RTD("tickerplantrtdserver",,"FWRC1#EURINR#Month End Rates#0#AskPrice13")</f>
        <v>327.36500000000001</v>
      </c>
      <c r="N5" s="65">
        <f t="array" ref="N5">RTD("tickerplantrtdserver",,"FWRC1#EURINR#Month End Rates#0#AskPrice14")</f>
        <v>359.92</v>
      </c>
      <c r="O5" s="67">
        <f t="array" ref="O5">RTD("tickerplantrtdserver",,"FWRC1#EURINR#Month End Rates#0#AskPrice15")</f>
        <v>394.45</v>
      </c>
      <c r="P5" s="20"/>
    </row>
    <row r="6" spans="1:18" s="14" customFormat="1" x14ac:dyDescent="0.25">
      <c r="A6" s="161" t="s">
        <v>3</v>
      </c>
      <c r="B6" s="162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6"/>
      <c r="P6" s="20"/>
    </row>
    <row r="7" spans="1:18" s="14" customFormat="1" x14ac:dyDescent="0.25">
      <c r="A7" s="159" t="s">
        <v>47</v>
      </c>
      <c r="B7" s="160"/>
      <c r="C7" s="64">
        <f t="array" ref="C7">RTD("tickerplantrtdserver",,"FWRC1#EURINR#Month End Rates#0#FwdOutrightBid1")</f>
        <v>84.654399999999995</v>
      </c>
      <c r="D7" s="64">
        <f t="array" ref="D7">RTD("tickerplantrtdserver",,"FWRC1#EURINR#Month End Rates#0#FwdOutrightBid4")</f>
        <v>84.914500000000004</v>
      </c>
      <c r="E7" s="64">
        <f t="array" ref="E7">RTD("tickerplantrtdserver",,"FWRC1#EURINR#Month End Rates#0#FwdOutrightBid5")</f>
        <v>85.241100000000003</v>
      </c>
      <c r="F7" s="64">
        <f t="array" ref="F7">RTD("tickerplantrtdserver",,"FWRC1#EURINR#Month End Rates#0#FwdOutrightBid6")</f>
        <v>85.534199999999998</v>
      </c>
      <c r="G7" s="64">
        <f t="array" ref="G7">RTD("tickerplantrtdserver",,"FWRC1#EURINR#Month End Rates#0#FwdOutrightBid7")</f>
        <v>85.857699999999994</v>
      </c>
      <c r="H7" s="64">
        <f t="array" ref="H7">RTD("tickerplantrtdserver",,"FWRC1#EURINR#Month End Rates#0#FwdOutrightBid8")</f>
        <v>86.169300000000007</v>
      </c>
      <c r="I7" s="64">
        <f t="array" ref="I7">RTD("tickerplantrtdserver",,"FWRC1#EURINR#Month End Rates#0#FwdOutrightBid9")</f>
        <v>86.569000000000003</v>
      </c>
      <c r="J7" s="64">
        <f t="array" ref="J7">RTD("tickerplantrtdserver",,"FWRC1#EURINR#Month End Rates#0#FwdOutrightBid10")</f>
        <v>86.884100000000004</v>
      </c>
      <c r="K7" s="64">
        <f t="array" ref="K7">RTD("tickerplantrtdserver",,"FWRC1#EURINR#Month End Rates#0#FwdOutrightBid11")</f>
        <v>87.185299999999998</v>
      </c>
      <c r="L7" s="64">
        <f t="array" ref="L7">RTD("tickerplantrtdserver",,"FWRC1#EURINR#Month End Rates#0#FwdOutrightBid12")</f>
        <v>87.557400000000001</v>
      </c>
      <c r="M7" s="64">
        <f t="array" ref="M7">RTD("tickerplantrtdserver",,"FWRC1#EURINR#Month End Rates#0#FwdOutrightBid13")</f>
        <v>87.923699999999997</v>
      </c>
      <c r="N7" s="64">
        <f t="array" ref="N7">RTD("tickerplantrtdserver",,"FWRC1#EURINR#Month End Rates#0#FwdOutrightBid14")</f>
        <v>88.245199999999997</v>
      </c>
      <c r="O7" s="68">
        <f t="array" ref="O7">RTD("tickerplantrtdserver",,"FWRC1#EURINR#Month End Rates#0#FwdOutrightBid15")</f>
        <v>88.609899999999996</v>
      </c>
      <c r="P7" s="20"/>
    </row>
    <row r="8" spans="1:18" s="14" customFormat="1" x14ac:dyDescent="0.25">
      <c r="A8" s="159" t="s">
        <v>48</v>
      </c>
      <c r="B8" s="160"/>
      <c r="C8" s="64">
        <f t="array" ref="C8">RTD("tickerplantrtdserver",,"FWRC1#EURINR#Month End Rates#0#FwdOutrightAsk1")</f>
        <v>84.706400000000002</v>
      </c>
      <c r="D8" s="64">
        <f t="array" ref="D8">RTD("tickerplantrtdserver",,"FWRC1#EURINR#Month End Rates#0#FwdOutrightAsk4")</f>
        <v>84.948999999999998</v>
      </c>
      <c r="E8" s="64">
        <f t="array" ref="E8">RTD("tickerplantrtdserver",,"FWRC1#EURINR#Month End Rates#0#FwdOutrightAsk5")</f>
        <v>85.280100000000004</v>
      </c>
      <c r="F8" s="64">
        <f t="array" ref="F8">RTD("tickerplantrtdserver",,"FWRC1#EURINR#Month End Rates#0#FwdOutrightAsk6")</f>
        <v>85.572400000000002</v>
      </c>
      <c r="G8" s="64">
        <f t="array" ref="G8">RTD("tickerplantrtdserver",,"FWRC1#EURINR#Month End Rates#0#FwdOutrightAsk7")</f>
        <v>85.897000000000006</v>
      </c>
      <c r="H8" s="64">
        <f t="array" ref="H8">RTD("tickerplantrtdserver",,"FWRC1#EURINR#Month End Rates#0#FwdOutrightAsk8")</f>
        <v>86.212699999999998</v>
      </c>
      <c r="I8" s="64">
        <f t="array" ref="I8">RTD("tickerplantrtdserver",,"FWRC1#EURINR#Month End Rates#0#FwdOutrightAsk9")</f>
        <v>86.613500000000002</v>
      </c>
      <c r="J8" s="64">
        <f t="array" ref="J8">RTD("tickerplantrtdserver",,"FWRC1#EURINR#Month End Rates#0#FwdOutrightAsk10")</f>
        <v>86.948700000000002</v>
      </c>
      <c r="K8" s="64">
        <f t="array" ref="K8">RTD("tickerplantrtdserver",,"FWRC1#EURINR#Month End Rates#0#FwdOutrightAsk11")</f>
        <v>87.240799999999993</v>
      </c>
      <c r="L8" s="64">
        <f t="array" ref="L8">RTD("tickerplantrtdserver",,"FWRC1#EURINR#Month End Rates#0#FwdOutrightAsk12")</f>
        <v>87.615799999999993</v>
      </c>
      <c r="M8" s="64">
        <f t="array" ref="M8">RTD("tickerplantrtdserver",,"FWRC1#EURINR#Month End Rates#0#FwdOutrightAsk13")</f>
        <v>88.001199999999997</v>
      </c>
      <c r="N8" s="64">
        <f t="array" ref="N8">RTD("tickerplantrtdserver",,"FWRC1#EURINR#Month End Rates#0#FwdOutrightAsk14")</f>
        <v>88.326700000000002</v>
      </c>
      <c r="O8" s="68">
        <f t="array" ref="O8">RTD("tickerplantrtdserver",,"FWRC1#EURINR#Month End Rates#0#FwdOutrightAsk15")</f>
        <v>88.671999999999997</v>
      </c>
    </row>
    <row r="9" spans="1:18" s="14" customFormat="1" x14ac:dyDescent="0.25">
      <c r="A9" s="161" t="s">
        <v>2</v>
      </c>
      <c r="B9" s="162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6"/>
    </row>
    <row r="10" spans="1:18" s="14" customFormat="1" x14ac:dyDescent="0.25">
      <c r="A10" s="159" t="s">
        <v>47</v>
      </c>
      <c r="B10" s="160"/>
      <c r="C10" s="65">
        <f t="array" ref="C10">RTD("tickerplantrtdserver",,"FWRC1#EURINR#Month End Rates#0#Bid%2")</f>
        <v>2.2675999999999998</v>
      </c>
      <c r="D10" s="65">
        <f t="array" ref="D10">RTD("tickerplantrtdserver",,"FWRC1#EURINR#Month End Rates#0#Bid%4")</f>
        <v>3.5238999999999998</v>
      </c>
      <c r="E10" s="65">
        <f t="array" ref="E10">RTD("tickerplantrtdserver",,"FWRC1#EURINR#Month End Rates#0#Bid%5")</f>
        <v>4.0857999999999999</v>
      </c>
      <c r="F10" s="65">
        <f t="array" ref="F10">RTD("tickerplantrtdserver",,"FWRC1#EURINR#Month End Rates#0#Bid%6")</f>
        <v>4.1284999999999998</v>
      </c>
      <c r="G10" s="65">
        <f t="array" ref="G10">RTD("tickerplantrtdserver",,"FWRC1#EURINR#Month End Rates#0#Bid%7")</f>
        <v>4.2991999999999999</v>
      </c>
      <c r="H10" s="65">
        <f t="array" ref="H10">RTD("tickerplantrtdserver",,"FWRC1#EURINR#Month End Rates#0#Bid%8")</f>
        <v>4.3657000000000004</v>
      </c>
      <c r="I10" s="65">
        <f t="array" ref="I10">RTD("tickerplantrtdserver",,"FWRC1#EURINR#Month End Rates#0#Bid%9")</f>
        <v>4.4989999999999997</v>
      </c>
      <c r="J10" s="65">
        <f t="array" ref="J10">RTD("tickerplantrtdserver",,"FWRC1#EURINR#Month End Rates#0#Bid%10")</f>
        <v>4.5244999999999997</v>
      </c>
      <c r="K10" s="65">
        <f t="array" ref="K10">RTD("tickerplantrtdserver",,"FWRC1#EURINR#Month End Rates#0#Bid%11")</f>
        <v>4.5376000000000003</v>
      </c>
      <c r="L10" s="65">
        <f t="array" ref="L10">RTD("tickerplantrtdserver",,"FWRC1#EURINR#Month End Rates#0#Bid%12")</f>
        <v>4.5769000000000002</v>
      </c>
      <c r="M10" s="65">
        <f t="array" ref="M10">RTD("tickerplantrtdserver",,"FWRC1#EURINR#Month End Rates#0#Bid%13")</f>
        <v>4.6456999999999997</v>
      </c>
      <c r="N10" s="65">
        <f t="array" ref="N10">RTD("tickerplantrtdserver",,"FWRC1#EURINR#Month End Rates#0#Bid%14")</f>
        <v>4.6288999999999998</v>
      </c>
      <c r="O10" s="67">
        <f t="array" ref="O10">RTD("tickerplantrtdserver",,"FWRC1#EURINR#Month End Rates#0#Bid%15")</f>
        <v>4.6798000000000002</v>
      </c>
    </row>
    <row r="11" spans="1:18" s="14" customFormat="1" ht="15.75" thickBot="1" x14ac:dyDescent="0.3">
      <c r="A11" s="163" t="s">
        <v>48</v>
      </c>
      <c r="B11" s="164"/>
      <c r="C11" s="69">
        <f t="array" ref="C11">RTD("tickerplantrtdserver",,"FWRC1#EURINR#Month End Rates#0#Ask%2")</f>
        <v>5.9885999999999999</v>
      </c>
      <c r="D11" s="69">
        <f t="array" ref="D11">RTD("tickerplantrtdserver",,"FWRC1#EURINR#Month End Rates#0#Ask%4")</f>
        <v>3.8168000000000002</v>
      </c>
      <c r="E11" s="69">
        <f t="array" ref="E11">RTD("tickerplantrtdserver",,"FWRC1#EURINR#Month End Rates#0#Ask%5")</f>
        <v>4.2516999999999996</v>
      </c>
      <c r="F11" s="69">
        <f t="array" ref="F11">RTD("tickerplantrtdserver",,"FWRC1#EURINR#Month End Rates#0#Ask%6")</f>
        <v>4.2328999999999999</v>
      </c>
      <c r="G11" s="69">
        <f t="array" ref="G11">RTD("tickerplantrtdserver",,"FWRC1#EURINR#Month End Rates#0#Ask%7")</f>
        <v>4.3818000000000001</v>
      </c>
      <c r="H11" s="69">
        <f t="array" ref="H11">RTD("tickerplantrtdserver",,"FWRC1#EURINR#Month End Rates#0#Ask%8")</f>
        <v>4.4439000000000002</v>
      </c>
      <c r="I11" s="69">
        <f t="array" ref="I11">RTD("tickerplantrtdserver",,"FWRC1#EURINR#Month End Rates#0#Ask%9")</f>
        <v>4.5652999999999997</v>
      </c>
      <c r="J11" s="69">
        <f t="array" ref="J11">RTD("tickerplantrtdserver",,"FWRC1#EURINR#Month End Rates#0#Ask%10")</f>
        <v>4.6234999999999999</v>
      </c>
      <c r="K11" s="69">
        <f t="array" ref="K11">RTD("tickerplantrtdserver",,"FWRC1#EURINR#Month End Rates#0#Ask%11")</f>
        <v>4.6082000000000001</v>
      </c>
      <c r="L11" s="69">
        <f t="array" ref="L11">RTD("tickerplantrtdserver",,"FWRC1#EURINR#Month End Rates#0#Ask%12")</f>
        <v>4.6437999999999997</v>
      </c>
      <c r="M11" s="69">
        <f t="array" ref="M11">RTD("tickerplantrtdserver",,"FWRC1#EURINR#Month End Rates#0#Ask%13")</f>
        <v>4.7333999999999996</v>
      </c>
      <c r="N11" s="69">
        <f t="array" ref="N11">RTD("tickerplantrtdserver",,"FWRC1#EURINR#Month End Rates#0#Ask%14")</f>
        <v>4.7138</v>
      </c>
      <c r="O11" s="70">
        <f t="array" ref="O11">RTD("tickerplantrtdserver",,"FWRC1#EURINR#Month End Rates#0#Ask%15")</f>
        <v>4.7343000000000002</v>
      </c>
    </row>
    <row r="12" spans="1:18" s="14" customFormat="1" ht="15.7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 x14ac:dyDescent="0.25">
      <c r="A13" s="13"/>
      <c r="B13" s="21"/>
      <c r="C13" s="21"/>
      <c r="D13" s="58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 x14ac:dyDescent="0.25">
      <c r="A14" s="13"/>
      <c r="B14" s="21"/>
      <c r="C14" s="21"/>
      <c r="D14" s="58"/>
      <c r="E14" s="21"/>
      <c r="F14" s="21"/>
      <c r="G14" s="21"/>
      <c r="H14" s="32"/>
      <c r="I14" s="32"/>
      <c r="J14" s="32"/>
      <c r="L14" s="31"/>
      <c r="M14" s="31"/>
      <c r="N14" s="31"/>
      <c r="P14" s="31"/>
      <c r="Q14" s="31"/>
      <c r="R14" s="31"/>
    </row>
    <row r="15" spans="1:18" s="14" customFormat="1" x14ac:dyDescent="0.25">
      <c r="A15" s="13"/>
      <c r="B15" s="21"/>
      <c r="C15" s="21"/>
      <c r="D15" s="58"/>
      <c r="E15" s="21"/>
      <c r="F15" s="21"/>
      <c r="G15" s="21"/>
      <c r="H15" s="32"/>
      <c r="I15" s="32"/>
      <c r="J15" s="32"/>
      <c r="L15" s="31"/>
      <c r="M15" s="31"/>
      <c r="N15" s="31"/>
      <c r="P15" s="15"/>
      <c r="Q15" s="15"/>
      <c r="R15" s="15"/>
    </row>
    <row r="16" spans="1:18" s="14" customFormat="1" x14ac:dyDescent="0.25">
      <c r="A16" s="13"/>
      <c r="B16" s="21"/>
      <c r="C16" s="21"/>
      <c r="D16" s="58"/>
      <c r="E16" s="21"/>
      <c r="F16" s="21"/>
      <c r="G16" s="21"/>
      <c r="H16" s="32"/>
      <c r="I16" s="32"/>
      <c r="J16" s="32"/>
      <c r="L16" s="31"/>
      <c r="M16" s="31"/>
      <c r="N16" s="31"/>
      <c r="P16" s="13"/>
    </row>
    <row r="17" spans="1:16" s="14" customFormat="1" x14ac:dyDescent="0.25">
      <c r="A17" s="13"/>
      <c r="B17" s="21"/>
      <c r="C17" s="21"/>
      <c r="D17" s="58"/>
      <c r="E17" s="21"/>
      <c r="F17" s="21"/>
      <c r="G17" s="21"/>
      <c r="H17" s="32"/>
      <c r="I17" s="32"/>
      <c r="J17" s="32"/>
      <c r="L17" s="31"/>
      <c r="M17" s="31"/>
      <c r="N17" s="31"/>
      <c r="P17" s="13"/>
    </row>
    <row r="18" spans="1:16" s="14" customFormat="1" x14ac:dyDescent="0.25">
      <c r="A18" s="13"/>
      <c r="B18" s="21"/>
      <c r="C18" s="21"/>
      <c r="D18" s="58"/>
      <c r="E18" s="21"/>
      <c r="F18" s="21"/>
      <c r="G18" s="21"/>
      <c r="H18" s="32"/>
      <c r="I18" s="32"/>
      <c r="J18" s="32"/>
      <c r="L18" s="31"/>
      <c r="M18" s="31"/>
      <c r="N18" s="31"/>
      <c r="P18" s="13"/>
    </row>
    <row r="19" spans="1:16" s="14" customFormat="1" x14ac:dyDescent="0.25">
      <c r="A19" s="13"/>
      <c r="B19" s="21"/>
      <c r="C19" s="21"/>
      <c r="D19" s="58"/>
      <c r="E19" s="21"/>
      <c r="F19" s="21"/>
      <c r="G19" s="21"/>
      <c r="H19" s="32"/>
      <c r="I19" s="32"/>
      <c r="J19" s="32"/>
      <c r="L19" s="31"/>
      <c r="M19" s="31"/>
      <c r="N19" s="31"/>
      <c r="P19" s="15"/>
    </row>
    <row r="20" spans="1:16" s="14" customFormat="1" x14ac:dyDescent="0.25">
      <c r="A20" s="13"/>
      <c r="B20" s="21"/>
      <c r="C20" s="21"/>
      <c r="D20" s="58"/>
      <c r="E20" s="21"/>
      <c r="F20" s="21"/>
      <c r="G20" s="21"/>
      <c r="H20" s="32"/>
      <c r="I20" s="32"/>
      <c r="J20" s="32"/>
      <c r="L20" s="31"/>
      <c r="M20" s="31"/>
      <c r="N20" s="31"/>
    </row>
    <row r="21" spans="1:16" x14ac:dyDescent="0.25">
      <c r="A21" s="13"/>
      <c r="B21" s="21"/>
      <c r="C21" s="21"/>
      <c r="D21" s="58"/>
      <c r="E21" s="21"/>
      <c r="F21" s="21"/>
      <c r="G21" s="21"/>
      <c r="H21" s="32"/>
      <c r="I21" s="32"/>
      <c r="J21" s="32"/>
      <c r="K21" s="14"/>
      <c r="L21" s="31"/>
      <c r="M21" s="31"/>
      <c r="N21" s="31"/>
      <c r="O21" s="14"/>
    </row>
    <row r="22" spans="1:16" x14ac:dyDescent="0.25">
      <c r="A22" s="13"/>
      <c r="B22" s="21"/>
      <c r="C22" s="21"/>
      <c r="D22" s="58"/>
      <c r="E22" s="21"/>
      <c r="F22" s="21"/>
      <c r="G22" s="21"/>
      <c r="H22" s="32"/>
      <c r="I22" s="32"/>
      <c r="J22" s="32"/>
      <c r="K22" s="14"/>
      <c r="L22" s="31"/>
      <c r="M22" s="31"/>
      <c r="N22" s="31"/>
      <c r="O22" s="14"/>
    </row>
    <row r="23" spans="1:16" x14ac:dyDescent="0.25">
      <c r="A23" s="13"/>
      <c r="B23" s="21"/>
      <c r="C23" s="21"/>
      <c r="D23" s="58"/>
      <c r="E23" s="21"/>
      <c r="F23" s="21"/>
      <c r="G23" s="21"/>
      <c r="H23" s="32"/>
      <c r="I23" s="32"/>
      <c r="J23" s="32"/>
      <c r="K23" s="14"/>
      <c r="L23" s="31"/>
      <c r="M23" s="31"/>
      <c r="N23" s="31"/>
      <c r="O23" s="14"/>
    </row>
    <row r="24" spans="1:16" s="2" customFormat="1" x14ac:dyDescent="0.25">
      <c r="A24" s="13"/>
      <c r="B24" s="21"/>
      <c r="C24" s="21"/>
      <c r="D24" s="58"/>
      <c r="E24" s="21"/>
      <c r="F24" s="21"/>
      <c r="G24" s="21"/>
      <c r="H24" s="32"/>
      <c r="I24" s="32"/>
      <c r="J24" s="32"/>
      <c r="K24" s="14"/>
      <c r="L24" s="31"/>
      <c r="M24" s="31"/>
      <c r="N24" s="31"/>
      <c r="O24" s="14"/>
    </row>
    <row r="25" spans="1:16" x14ac:dyDescent="0.25">
      <c r="A25" s="13"/>
      <c r="B25" s="21"/>
      <c r="C25" s="21"/>
      <c r="D25" s="58"/>
      <c r="E25" s="21"/>
      <c r="F25" s="21"/>
      <c r="G25" s="21"/>
      <c r="H25" s="32"/>
      <c r="I25" s="32"/>
      <c r="J25" s="32"/>
      <c r="K25" s="14"/>
      <c r="L25" s="31"/>
      <c r="M25" s="31"/>
      <c r="N25" s="31"/>
      <c r="O25" s="14"/>
    </row>
    <row r="26" spans="1:16" x14ac:dyDescent="0.25">
      <c r="A26" s="13"/>
      <c r="B26" s="21"/>
      <c r="C26" s="21"/>
      <c r="D26" s="58"/>
      <c r="E26" s="21"/>
      <c r="F26" s="21"/>
      <c r="G26" s="21"/>
      <c r="H26" s="32"/>
      <c r="I26" s="32"/>
      <c r="J26" s="32"/>
      <c r="K26" s="14"/>
      <c r="L26" s="31"/>
      <c r="M26" s="31"/>
      <c r="N26" s="31"/>
      <c r="O26" s="14"/>
    </row>
    <row r="27" spans="1:16" x14ac:dyDescent="0.25">
      <c r="A27" s="13"/>
      <c r="B27" s="21"/>
      <c r="C27" s="21"/>
      <c r="D27" s="58"/>
      <c r="E27" s="21"/>
      <c r="F27" s="21"/>
      <c r="G27" s="21"/>
      <c r="H27" s="32"/>
      <c r="I27" s="32"/>
      <c r="J27" s="32"/>
      <c r="K27" s="14"/>
      <c r="L27" s="31"/>
      <c r="M27" s="31"/>
      <c r="N27" s="31"/>
      <c r="O27" s="14"/>
    </row>
    <row r="28" spans="1:16" x14ac:dyDescent="0.25">
      <c r="A28" s="13"/>
      <c r="B28" s="21"/>
      <c r="C28" s="21"/>
      <c r="D28" s="58"/>
      <c r="E28" s="21"/>
      <c r="F28" s="21"/>
      <c r="G28" s="21"/>
      <c r="H28" s="32"/>
      <c r="I28" s="32"/>
      <c r="J28" s="32"/>
      <c r="K28" s="14"/>
      <c r="L28" s="31"/>
      <c r="M28" s="31"/>
      <c r="N28" s="31"/>
      <c r="O28" s="14"/>
    </row>
    <row r="29" spans="1:16" x14ac:dyDescent="0.25">
      <c r="A29" s="13"/>
      <c r="B29" s="21"/>
      <c r="C29" s="21"/>
      <c r="D29" s="58"/>
      <c r="E29" s="21"/>
      <c r="F29" s="21"/>
      <c r="G29" s="21"/>
      <c r="H29" s="32"/>
      <c r="I29" s="32"/>
      <c r="J29" s="32"/>
      <c r="K29" s="14"/>
      <c r="L29" s="31"/>
      <c r="M29" s="31"/>
      <c r="N29" s="31"/>
      <c r="O29" s="14"/>
    </row>
    <row r="30" spans="1:16" x14ac:dyDescent="0.25">
      <c r="A30" s="13"/>
      <c r="B30" s="21"/>
      <c r="C30" s="21"/>
      <c r="D30" s="58"/>
      <c r="E30" s="21"/>
      <c r="F30" s="21"/>
      <c r="G30" s="21"/>
      <c r="H30" s="32"/>
      <c r="I30" s="32"/>
      <c r="J30" s="32"/>
      <c r="K30" s="14"/>
      <c r="L30" s="31"/>
      <c r="M30" s="31"/>
      <c r="N30" s="31"/>
      <c r="O30" s="14"/>
    </row>
    <row r="31" spans="1:16" x14ac:dyDescent="0.25">
      <c r="A31" s="13"/>
      <c r="B31" s="21"/>
      <c r="C31" s="21"/>
      <c r="D31" s="58"/>
      <c r="E31" s="21"/>
      <c r="F31" s="21"/>
      <c r="G31" s="21"/>
      <c r="H31" s="32"/>
      <c r="I31" s="32"/>
      <c r="J31" s="32"/>
      <c r="K31" s="14"/>
      <c r="L31" s="31"/>
      <c r="M31" s="31"/>
      <c r="N31" s="31"/>
      <c r="O31" s="14"/>
    </row>
    <row r="36" spans="1:5" x14ac:dyDescent="0.25">
      <c r="A36" s="1"/>
      <c r="B36" s="1"/>
    </row>
    <row r="40" spans="1:5" x14ac:dyDescent="0.25">
      <c r="E40" s="55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39"/>
  <sheetViews>
    <sheetView workbookViewId="0">
      <selection sqref="A1:B1"/>
    </sheetView>
  </sheetViews>
  <sheetFormatPr defaultColWidth="8.85546875" defaultRowHeight="15" x14ac:dyDescent="0.25"/>
  <cols>
    <col min="3" max="4" width="9.42578125" bestFit="1" customWidth="1"/>
    <col min="5" max="5" width="9.28515625" bestFit="1" customWidth="1"/>
    <col min="6" max="6" width="9" bestFit="1" customWidth="1"/>
    <col min="7" max="7" width="9.42578125" bestFit="1" customWidth="1"/>
    <col min="8" max="8" width="9" bestFit="1" customWidth="1"/>
    <col min="9" max="9" width="9.28515625" bestFit="1" customWidth="1"/>
    <col min="10" max="10" width="9.42578125" bestFit="1" customWidth="1"/>
    <col min="11" max="11" width="9.28515625" bestFit="1" customWidth="1"/>
    <col min="12" max="12" width="9.140625" bestFit="1" customWidth="1"/>
    <col min="13" max="13" width="9" bestFit="1" customWidth="1"/>
    <col min="14" max="14" width="9.7109375" bestFit="1" customWidth="1"/>
    <col min="15" max="15" width="9.285156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 x14ac:dyDescent="0.25">
      <c r="A1" s="157" t="s">
        <v>6</v>
      </c>
      <c r="B1" s="158"/>
      <c r="C1" s="76" t="str">
        <f t="array" ref="C1">RTD("tickerplantrtdserver",,"FWRC1#GBPINR#Month End Rates#0#S#Desc.2")</f>
        <v>CASH/SPOT</v>
      </c>
      <c r="D1" s="76" t="str">
        <f t="array" ref="D1">RTD("tickerplantrtdserver",,"FWRC1#GBPINR#Month End Rates#0#S#Desc.4")</f>
        <v>JUL-2020</v>
      </c>
      <c r="E1" s="76" t="str">
        <f t="array" ref="E1">RTD("tickerplantrtdserver",,"FWRC1#GBPINR#Month End Rates#0#S#Desc.5")</f>
        <v>AUG-2020</v>
      </c>
      <c r="F1" s="76" t="str">
        <f t="array" ref="F1">RTD("tickerplantrtdserver",,"FWRC1#GBPINR#Month End Rates#0#S#Desc.6")</f>
        <v>SEP-2020</v>
      </c>
      <c r="G1" s="76" t="str">
        <f t="array" ref="G1">RTD("tickerplantrtdserver",,"FWRC1#GBPINR#Month End Rates#0#S#Desc.7")</f>
        <v>OCT-2020</v>
      </c>
      <c r="H1" s="76" t="str">
        <f t="array" ref="H1">RTD("tickerplantrtdserver",,"FWRC1#GBPINR#Month End Rates#0#S#Desc.8")</f>
        <v>NOV-2020</v>
      </c>
      <c r="I1" s="76" t="str">
        <f t="array" ref="I1">RTD("tickerplantrtdserver",,"FWRC1#GBPINR#Month End Rates#0#S#Desc.9")</f>
        <v>DEC-2020</v>
      </c>
      <c r="J1" s="76" t="str">
        <f t="array" ref="J1">RTD("tickerplantrtdserver",,"FWRC1#GBPINR#Month End Rates#0#S#Desc.10")</f>
        <v>JAN-2021</v>
      </c>
      <c r="K1" s="76" t="str">
        <f t="array" ref="K1">RTD("tickerplantrtdserver",,"FWRC1#GBPINR#Month End Rates#0#S#Desc.11")</f>
        <v>FEB-2021</v>
      </c>
      <c r="L1" s="76" t="str">
        <f t="array" ref="L1">RTD("tickerplantrtdserver",,"FWRC1#GBPINR#Month End Rates#0#S#Desc.12")</f>
        <v>MAR-2021</v>
      </c>
      <c r="M1" s="76" t="str">
        <f t="array" ref="M1">RTD("tickerplantrtdserver",,"FWRC1#GBPINR#Month End Rates#0#S#Desc.13")</f>
        <v>APR-2021</v>
      </c>
      <c r="N1" s="76" t="str">
        <f t="array" ref="N1">RTD("tickerplantrtdserver",,"FWRC1#GBPINR#Month End Rates#0#S#Desc.14")</f>
        <v>MAY-2021</v>
      </c>
      <c r="O1" s="77" t="str">
        <f t="array" ref="O1">RTD("tickerplantrtdserver",,"FWRC1#GBPINR#Month End Rates#0#S#Desc.15")</f>
        <v>JUN-2021</v>
      </c>
    </row>
    <row r="2" spans="1:18" s="14" customFormat="1" ht="15.75" customHeight="1" x14ac:dyDescent="0.25">
      <c r="A2" s="159" t="s">
        <v>5</v>
      </c>
      <c r="B2" s="160"/>
      <c r="C2" s="71" t="str">
        <f t="array" ref="C2">RTD("tickerplantrtdserver",,"FWRC1#GBPINR#Month End Rates#0#S#PillarDate2")</f>
        <v>06-Jul-2020</v>
      </c>
      <c r="D2" s="71" t="str">
        <f t="array" ref="D2">RTD("tickerplantrtdserver",,"FWRC1#GBPINR#Month End Rates#0#S#PillarDate4")</f>
        <v>31-Jul-2020</v>
      </c>
      <c r="E2" s="71" t="str">
        <f t="array" ref="E2">RTD("tickerplantrtdserver",,"FWRC1#GBPINR#Month End Rates#0#S#PillarDate5")</f>
        <v>28-Aug-2020</v>
      </c>
      <c r="F2" s="71" t="str">
        <f t="array" ref="F2">RTD("tickerplantrtdserver",,"FWRC1#GBPINR#Month End Rates#0#S#PillarDate6")</f>
        <v>30-Sep-2020</v>
      </c>
      <c r="G2" s="71" t="str">
        <f t="array" ref="G2">RTD("tickerplantrtdserver",,"FWRC1#GBPINR#Month End Rates#0#S#PillarDate7")</f>
        <v>29-Oct-2020</v>
      </c>
      <c r="H2" s="71" t="str">
        <f t="array" ref="H2">RTD("tickerplantrtdserver",,"FWRC1#GBPINR#Month End Rates#0#S#PillarDate8")</f>
        <v>27-Nov-2020</v>
      </c>
      <c r="I2" s="71" t="str">
        <f t="array" ref="I2">RTD("tickerplantrtdserver",,"FWRC1#GBPINR#Month End Rates#0#S#PillarDate9")</f>
        <v>31-Dec-2020</v>
      </c>
      <c r="J2" s="71" t="str">
        <f t="array" ref="J2">RTD("tickerplantrtdserver",,"FWRC1#GBPINR#Month End Rates#0#S#PillarDate10")</f>
        <v>29-Jan-2021</v>
      </c>
      <c r="K2" s="71" t="str">
        <f t="array" ref="K2">RTD("tickerplantrtdserver",,"FWRC1#GBPINR#Month End Rates#0#S#PillarDate11")</f>
        <v>26-Feb-2021</v>
      </c>
      <c r="L2" s="71" t="str">
        <f t="array" ref="L2">RTD("tickerplantrtdserver",,"FWRC1#GBPINR#Month End Rates#0#S#PillarDate12")</f>
        <v>31-Mar-2021</v>
      </c>
      <c r="M2" s="71" t="str">
        <f t="array" ref="M2">RTD("tickerplantrtdserver",,"FWRC1#GBPINR#Month End Rates#0#S#PillarDate13")</f>
        <v>30-Apr-2021</v>
      </c>
      <c r="N2" s="71" t="str">
        <f t="array" ref="N2">RTD("tickerplantrtdserver",,"FWRC1#GBPINR#Month End Rates#0#S#PillarDate14")</f>
        <v>31-May-2021</v>
      </c>
      <c r="O2" s="75" t="str">
        <f t="array" ref="O2">RTD("tickerplantrtdserver",,"FWRC1#GBPINR#Month End Rates#0#S#PillarDate15")</f>
        <v>30-Jun-2021</v>
      </c>
      <c r="P2" s="30"/>
    </row>
    <row r="3" spans="1:18" s="14" customFormat="1" x14ac:dyDescent="0.25">
      <c r="A3" s="161" t="s">
        <v>4</v>
      </c>
      <c r="B3" s="162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6"/>
      <c r="P3" s="15"/>
    </row>
    <row r="4" spans="1:18" s="14" customFormat="1" x14ac:dyDescent="0.25">
      <c r="A4" s="159" t="s">
        <v>47</v>
      </c>
      <c r="B4" s="160"/>
      <c r="C4" s="65">
        <f>RTD("tickerplantrtdserver",,"FWRC1#GBPINR#Month End Rates#0#BidPrice2")/100</f>
        <v>1.6616089999999999</v>
      </c>
      <c r="D4" s="65">
        <f>RTD("tickerplantrtdserver",,"FWRC1#GBPINR#Month End Rates#0#BidPrice4")/100</f>
        <v>19.416250000000002</v>
      </c>
      <c r="E4" s="65">
        <f>RTD("tickerplantrtdserver",,"FWRC1#GBPINR#Month End Rates#0#BidPrice5")/100</f>
        <v>50.433925000000002</v>
      </c>
      <c r="F4" s="65">
        <f>RTD("tickerplantrtdserver",,"FWRC1#GBPINR#Month End Rates#0#BidPrice6")/100</f>
        <v>78.164749999999998</v>
      </c>
      <c r="G4" s="65">
        <f>RTD("tickerplantrtdserver",,"FWRC1#GBPINR#Month End Rates#0#BidPrice7")/100</f>
        <v>108.69605</v>
      </c>
      <c r="H4" s="65">
        <f>RTD("tickerplantrtdserver",,"FWRC1#GBPINR#Month End Rates#0#BidPrice8")/100</f>
        <v>138.2441</v>
      </c>
      <c r="I4" s="65">
        <f>RTD("tickerplantrtdserver",,"FWRC1#GBPINR#Month End Rates#0#BidPrice9")/100</f>
        <v>176.13862499999999</v>
      </c>
      <c r="J4" s="65">
        <f>RTD("tickerplantrtdserver",,"FWRC1#GBPINR#Month End Rates#0#BidPrice10")/100</f>
        <v>205.46665000000002</v>
      </c>
      <c r="K4" s="65">
        <f>RTD("tickerplantrtdserver",,"FWRC1#GBPINR#Month End Rates#0#BidPrice11")/100</f>
        <v>233.81177500000001</v>
      </c>
      <c r="L4" s="65">
        <f>RTD("tickerplantrtdserver",,"FWRC1#GBPINR#Month End Rates#0#BidPrice12")/100</f>
        <v>269.53207500000002</v>
      </c>
      <c r="M4" s="65">
        <f>RTD("tickerplantrtdserver",,"FWRC1#GBPINR#Month End Rates#0#BidPrice13")/100</f>
        <v>303.72687500000001</v>
      </c>
      <c r="N4" s="65">
        <f>RTD("tickerplantrtdserver",,"FWRC1#GBPINR#Month End Rates#0#BidPrice14")/100</f>
        <v>333.82622499999997</v>
      </c>
      <c r="O4" s="67">
        <f>RTD("tickerplantrtdserver",,"FWRC1#GBPINR#Month End Rates#0#BidPrice15")/100</f>
        <v>367.85782499999999</v>
      </c>
      <c r="P4" s="20"/>
    </row>
    <row r="5" spans="1:18" s="14" customFormat="1" x14ac:dyDescent="0.25">
      <c r="A5" s="159" t="s">
        <v>48</v>
      </c>
      <c r="B5" s="160"/>
      <c r="C5" s="65">
        <f>RTD("tickerplantrtdserver",,"FWRC1#GBPINR#Month End Rates#0#AskPrice2")/100</f>
        <v>5.5359169999999995</v>
      </c>
      <c r="D5" s="65">
        <f>RTD("tickerplantrtdserver",,"FWRC1#GBPINR#Month End Rates#0#AskPrice4")/100</f>
        <v>21.338750000000001</v>
      </c>
      <c r="E5" s="65">
        <f>RTD("tickerplantrtdserver",,"FWRC1#GBPINR#Month End Rates#0#AskPrice5")/100</f>
        <v>52.940300000000001</v>
      </c>
      <c r="F5" s="65">
        <f>RTD("tickerplantrtdserver",,"FWRC1#GBPINR#Month End Rates#0#AskPrice6")/100</f>
        <v>80.896024999999995</v>
      </c>
      <c r="G5" s="65">
        <f>RTD("tickerplantrtdserver",,"FWRC1#GBPINR#Month End Rates#0#AskPrice7")/100</f>
        <v>111.644425</v>
      </c>
      <c r="H5" s="65">
        <f>RTD("tickerplantrtdserver",,"FWRC1#GBPINR#Month End Rates#0#AskPrice8")/100</f>
        <v>141.40479999999999</v>
      </c>
      <c r="I5" s="65">
        <f>RTD("tickerplantrtdserver",,"FWRC1#GBPINR#Month End Rates#0#AskPrice9")/100</f>
        <v>179.28200000000001</v>
      </c>
      <c r="J5" s="65">
        <f>RTD("tickerplantrtdserver",,"FWRC1#GBPINR#Month End Rates#0#AskPrice10")/100</f>
        <v>208.95917499999999</v>
      </c>
      <c r="K5" s="65">
        <f>RTD("tickerplantrtdserver",,"FWRC1#GBPINR#Month End Rates#0#AskPrice11")/100</f>
        <v>237.46732499999999</v>
      </c>
      <c r="L5" s="65">
        <f>RTD("tickerplantrtdserver",,"FWRC1#GBPINR#Month End Rates#0#AskPrice12")/100</f>
        <v>273.59379999999999</v>
      </c>
      <c r="M5" s="65">
        <f>RTD("tickerplantrtdserver",,"FWRC1#GBPINR#Month End Rates#0#AskPrice13")/100</f>
        <v>307.79685000000001</v>
      </c>
      <c r="N5" s="65">
        <f>RTD("tickerplantrtdserver",,"FWRC1#GBPINR#Month End Rates#0#AskPrice14")/100</f>
        <v>338.07455000000004</v>
      </c>
      <c r="O5" s="67">
        <f>RTD("tickerplantrtdserver",,"FWRC1#GBPINR#Month End Rates#0#AskPrice15")/100</f>
        <v>372.2783</v>
      </c>
      <c r="P5" s="20"/>
    </row>
    <row r="6" spans="1:18" s="14" customFormat="1" x14ac:dyDescent="0.25">
      <c r="A6" s="161" t="s">
        <v>3</v>
      </c>
      <c r="B6" s="162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6"/>
      <c r="P6" s="20"/>
    </row>
    <row r="7" spans="1:18" s="14" customFormat="1" x14ac:dyDescent="0.25">
      <c r="A7" s="159" t="s">
        <v>47</v>
      </c>
      <c r="B7" s="160"/>
      <c r="C7" s="72">
        <f t="array" ref="C7">RTD("tickerplantrtdserver",,"FWRC1#GBPINR#Month End Rates#0#FwdOutrightBid1")</f>
        <v>93.819599999999994</v>
      </c>
      <c r="D7" s="64">
        <f t="array" ref="D7">RTD("tickerplantrtdserver",,"FWRC1#GBPINR#Month End Rates#0#FwdOutrightBid4")</f>
        <v>94.069199999999995</v>
      </c>
      <c r="E7" s="64">
        <f t="array" ref="E7">RTD("tickerplantrtdserver",,"FWRC1#GBPINR#Month End Rates#0#FwdOutrightBid5")</f>
        <v>94.379300000000001</v>
      </c>
      <c r="F7" s="64">
        <f t="array" ref="F7">RTD("tickerplantrtdserver",,"FWRC1#GBPINR#Month End Rates#0#FwdOutrightBid6")</f>
        <v>94.656599999999997</v>
      </c>
      <c r="G7" s="64">
        <f t="array" ref="G7">RTD("tickerplantrtdserver",,"FWRC1#GBPINR#Month End Rates#0#FwdOutrightBid7")</f>
        <v>94.962000000000003</v>
      </c>
      <c r="H7" s="64">
        <f t="array" ref="H7">RTD("tickerplantrtdserver",,"FWRC1#GBPINR#Month End Rates#0#FwdOutrightBid8")</f>
        <v>95.257400000000004</v>
      </c>
      <c r="I7" s="64">
        <f t="array" ref="I7">RTD("tickerplantrtdserver",,"FWRC1#GBPINR#Month End Rates#0#FwdOutrightBid9")</f>
        <v>95.636399999999995</v>
      </c>
      <c r="J7" s="64">
        <f t="array" ref="J7">RTD("tickerplantrtdserver",,"FWRC1#GBPINR#Month End Rates#0#FwdOutrightBid10")</f>
        <v>95.929699999999997</v>
      </c>
      <c r="K7" s="64">
        <f t="array" ref="K7">RTD("tickerplantrtdserver",,"FWRC1#GBPINR#Month End Rates#0#FwdOutrightBid11")</f>
        <v>96.213099999999997</v>
      </c>
      <c r="L7" s="64">
        <f t="array" ref="L7">RTD("tickerplantrtdserver",,"FWRC1#GBPINR#Month End Rates#0#FwdOutrightBid12")</f>
        <v>96.570300000000003</v>
      </c>
      <c r="M7" s="64">
        <f t="array" ref="M7">RTD("tickerplantrtdserver",,"FWRC1#GBPINR#Month End Rates#0#FwdOutrightBid13")</f>
        <v>96.912300000000002</v>
      </c>
      <c r="N7" s="64">
        <f t="array" ref="N7">RTD("tickerplantrtdserver",,"FWRC1#GBPINR#Month End Rates#0#FwdOutrightBid14")</f>
        <v>97.213300000000004</v>
      </c>
      <c r="O7" s="68">
        <f t="array" ref="O7">RTD("tickerplantrtdserver",,"FWRC1#GBPINR#Month End Rates#0#FwdOutrightBid15")</f>
        <v>97.553600000000003</v>
      </c>
      <c r="P7" s="20"/>
    </row>
    <row r="8" spans="1:18" s="14" customFormat="1" x14ac:dyDescent="0.25">
      <c r="A8" s="159" t="s">
        <v>48</v>
      </c>
      <c r="B8" s="160"/>
      <c r="C8" s="72">
        <f t="array" ref="C8">RTD("tickerplantrtdserver",,"FWRC1#GBPINR#Month End Rates#0#FwdOutrightAsk1")</f>
        <v>93.9084</v>
      </c>
      <c r="D8" s="64">
        <f t="array" ref="D8">RTD("tickerplantrtdserver",,"FWRC1#GBPINR#Month End Rates#0#FwdOutrightAsk4")</f>
        <v>94.138400000000004</v>
      </c>
      <c r="E8" s="64">
        <f t="array" ref="E8">RTD("tickerplantrtdserver",,"FWRC1#GBPINR#Month End Rates#0#FwdOutrightAsk5")</f>
        <v>94.454400000000007</v>
      </c>
      <c r="F8" s="64">
        <f t="array" ref="F8">RTD("tickerplantrtdserver",,"FWRC1#GBPINR#Month End Rates#0#FwdOutrightAsk6")</f>
        <v>94.733999999999995</v>
      </c>
      <c r="G8" s="64">
        <f t="array" ref="G8">RTD("tickerplantrtdserver",,"FWRC1#GBPINR#Month End Rates#0#FwdOutrightAsk7")</f>
        <v>95.041399999999996</v>
      </c>
      <c r="H8" s="64">
        <f t="array" ref="H8">RTD("tickerplantrtdserver",,"FWRC1#GBPINR#Month End Rates#0#FwdOutrightAsk8")</f>
        <v>95.338999999999999</v>
      </c>
      <c r="I8" s="64">
        <f t="array" ref="I8">RTD("tickerplantrtdserver",,"FWRC1#GBPINR#Month End Rates#0#FwdOutrightAsk9")</f>
        <v>95.717799999999997</v>
      </c>
      <c r="J8" s="64">
        <f t="array" ref="J8">RTD("tickerplantrtdserver",,"FWRC1#GBPINR#Month End Rates#0#FwdOutrightAsk10")</f>
        <v>96.014600000000002</v>
      </c>
      <c r="K8" s="64">
        <f t="array" ref="K8">RTD("tickerplantrtdserver",,"FWRC1#GBPINR#Month End Rates#0#FwdOutrightAsk11")</f>
        <v>96.299700000000001</v>
      </c>
      <c r="L8" s="64">
        <f t="array" ref="L8">RTD("tickerplantrtdserver",,"FWRC1#GBPINR#Month End Rates#0#FwdOutrightAsk12")</f>
        <v>96.660899999999998</v>
      </c>
      <c r="M8" s="64">
        <f t="array" ref="M8">RTD("tickerplantrtdserver",,"FWRC1#GBPINR#Month End Rates#0#FwdOutrightAsk13")</f>
        <v>97.003</v>
      </c>
      <c r="N8" s="64">
        <f t="array" ref="N8">RTD("tickerplantrtdserver",,"FWRC1#GBPINR#Month End Rates#0#FwdOutrightAsk14")</f>
        <v>97.305700000000002</v>
      </c>
      <c r="O8" s="68">
        <f t="array" ref="O8">RTD("tickerplantrtdserver",,"FWRC1#GBPINR#Month End Rates#0#FwdOutrightAsk15")</f>
        <v>97.647800000000004</v>
      </c>
    </row>
    <row r="9" spans="1:18" s="14" customFormat="1" x14ac:dyDescent="0.25">
      <c r="A9" s="161" t="s">
        <v>2</v>
      </c>
      <c r="B9" s="162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6"/>
    </row>
    <row r="10" spans="1:18" s="14" customFormat="1" x14ac:dyDescent="0.25">
      <c r="A10" s="159" t="s">
        <v>47</v>
      </c>
      <c r="B10" s="160"/>
      <c r="C10" s="65">
        <f t="array" ref="C10">RTD("tickerplantrtdserver",,"FWRC1#GBPINR#Month End Rates#0#Bid%2")</f>
        <v>1.6143000000000001</v>
      </c>
      <c r="D10" s="65">
        <f t="array" ref="D10">RTD("tickerplantrtdserver",,"FWRC1#GBPINR#Month End Rates#0#Bid%4")</f>
        <v>3.0181</v>
      </c>
      <c r="E10" s="65">
        <f t="array" ref="E10">RTD("tickerplantrtdserver",,"FWRC1#GBPINR#Month End Rates#0#Bid%5")</f>
        <v>3.6979000000000002</v>
      </c>
      <c r="F10" s="65">
        <f t="array" ref="F10">RTD("tickerplantrtdserver",,"FWRC1#GBPINR#Month End Rates#0#Bid%6")</f>
        <v>3.532</v>
      </c>
      <c r="G10" s="65">
        <f t="array" ref="G10">RTD("tickerplantrtdserver",,"FWRC1#GBPINR#Month End Rates#0#Bid%7")</f>
        <v>3.6730999999999998</v>
      </c>
      <c r="H10" s="65">
        <f t="array" ref="H10">RTD("tickerplantrtdserver",,"FWRC1#GBPINR#Month End Rates#0#Bid%8")</f>
        <v>3.7307000000000001</v>
      </c>
      <c r="I10" s="65">
        <f t="array" ref="I10">RTD("tickerplantrtdserver",,"FWRC1#GBPINR#Month End Rates#0#Bid%9")</f>
        <v>3.8454000000000002</v>
      </c>
      <c r="J10" s="65">
        <f t="array" ref="J10">RTD("tickerplantrtdserver",,"FWRC1#GBPINR#Month End Rates#0#Bid%10")</f>
        <v>3.8573</v>
      </c>
      <c r="K10" s="65">
        <f t="array" ref="K10">RTD("tickerplantrtdserver",,"FWRC1#GBPINR#Month End Rates#0#Bid%11")</f>
        <v>3.8664000000000001</v>
      </c>
      <c r="L10" s="65">
        <f t="array" ref="L10">RTD("tickerplantrtdserver",,"FWRC1#GBPINR#Month End Rates#0#Bid%12")</f>
        <v>3.9083000000000001</v>
      </c>
      <c r="M10" s="65">
        <f t="array" ref="M10">RTD("tickerplantrtdserver",,"FWRC1#GBPINR#Month End Rates#0#Bid%13")</f>
        <v>3.9607999999999999</v>
      </c>
      <c r="N10" s="65">
        <f t="array" ref="N10">RTD("tickerplantrtdserver",,"FWRC1#GBPINR#Month End Rates#0#Bid%14")</f>
        <v>3.9430999999999998</v>
      </c>
      <c r="O10" s="67">
        <f t="array" ref="O10">RTD("tickerplantrtdserver",,"FWRC1#GBPINR#Month End Rates#0#Bid%15")</f>
        <v>3.9820000000000002</v>
      </c>
    </row>
    <row r="11" spans="1:18" s="14" customFormat="1" ht="15.75" thickBot="1" x14ac:dyDescent="0.3">
      <c r="A11" s="163" t="s">
        <v>48</v>
      </c>
      <c r="B11" s="164"/>
      <c r="C11" s="69">
        <f t="array" ref="C11">RTD("tickerplantrtdserver",,"FWRC1#GBPINR#Month End Rates#0#Ask%2")</f>
        <v>5.3811</v>
      </c>
      <c r="D11" s="69">
        <f t="array" ref="D11">RTD("tickerplantrtdserver",,"FWRC1#GBPINR#Month End Rates#0#Ask%4")</f>
        <v>3.3187000000000002</v>
      </c>
      <c r="E11" s="69">
        <f t="array" ref="E11">RTD("tickerplantrtdserver",,"FWRC1#GBPINR#Month End Rates#0#Ask%5")</f>
        <v>3.8837999999999999</v>
      </c>
      <c r="F11" s="69">
        <f t="array" ref="F11">RTD("tickerplantrtdserver",,"FWRC1#GBPINR#Month End Rates#0#Ask%6")</f>
        <v>3.6574</v>
      </c>
      <c r="G11" s="69">
        <f t="array" ref="G11">RTD("tickerplantrtdserver",,"FWRC1#GBPINR#Month End Rates#0#Ask%7")</f>
        <v>3.7747000000000002</v>
      </c>
      <c r="H11" s="69">
        <f t="array" ref="H11">RTD("tickerplantrtdserver",,"FWRC1#GBPINR#Month End Rates#0#Ask%8")</f>
        <v>3.8180999999999998</v>
      </c>
      <c r="I11" s="69">
        <f t="array" ref="I11">RTD("tickerplantrtdserver",,"FWRC1#GBPINR#Month End Rates#0#Ask%9")</f>
        <v>3.9161999999999999</v>
      </c>
      <c r="J11" s="69">
        <f t="array" ref="J11">RTD("tickerplantrtdserver",,"FWRC1#GBPINR#Month End Rates#0#Ask%10")</f>
        <v>3.9249000000000001</v>
      </c>
      <c r="K11" s="69">
        <f t="array" ref="K11">RTD("tickerplantrtdserver",,"FWRC1#GBPINR#Month End Rates#0#Ask%11")</f>
        <v>3.9289999999999998</v>
      </c>
      <c r="L11" s="69">
        <f t="array" ref="L11">RTD("tickerplantrtdserver",,"FWRC1#GBPINR#Month End Rates#0#Ask%12")</f>
        <v>3.9693000000000001</v>
      </c>
      <c r="M11" s="69">
        <f t="array" ref="M11">RTD("tickerplantrtdserver",,"FWRC1#GBPINR#Month End Rates#0#Ask%13")</f>
        <v>4.016</v>
      </c>
      <c r="N11" s="69">
        <f t="array" ref="N11">RTD("tickerplantrtdserver",,"FWRC1#GBPINR#Month End Rates#0#Ask%14")</f>
        <v>3.9954000000000001</v>
      </c>
      <c r="O11" s="70">
        <f t="array" ref="O11">RTD("tickerplantrtdserver",,"FWRC1#GBPINR#Month End Rates#0#Ask%15")</f>
        <v>4.032</v>
      </c>
    </row>
    <row r="12" spans="1:18" s="14" customFormat="1" ht="15.7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 x14ac:dyDescent="0.25">
      <c r="A13" s="13"/>
      <c r="B13" s="21"/>
      <c r="C13" s="21"/>
      <c r="D13" s="58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 x14ac:dyDescent="0.25">
      <c r="A14" s="13"/>
      <c r="B14" s="21"/>
      <c r="C14" s="21"/>
      <c r="D14" s="58"/>
      <c r="E14" s="21"/>
      <c r="F14" s="21"/>
      <c r="G14" s="21"/>
      <c r="H14" s="32"/>
      <c r="I14" s="32"/>
      <c r="J14" s="32"/>
      <c r="L14" s="31"/>
      <c r="M14" s="31"/>
      <c r="N14" s="31"/>
      <c r="Q14" s="23"/>
      <c r="R14" s="23"/>
    </row>
    <row r="15" spans="1:18" s="14" customFormat="1" x14ac:dyDescent="0.25">
      <c r="A15" s="13"/>
      <c r="B15" s="21"/>
      <c r="C15" s="21"/>
      <c r="D15" s="58"/>
      <c r="E15" s="21"/>
      <c r="F15" s="21"/>
      <c r="G15" s="21"/>
      <c r="H15" s="32"/>
      <c r="I15" s="32"/>
      <c r="J15" s="32"/>
      <c r="L15" s="31"/>
      <c r="M15" s="31"/>
      <c r="N15" s="31"/>
      <c r="Q15" s="23"/>
      <c r="R15" s="23"/>
    </row>
    <row r="16" spans="1:18" s="14" customFormat="1" x14ac:dyDescent="0.25">
      <c r="A16" s="13"/>
      <c r="B16" s="21"/>
      <c r="C16" s="21"/>
      <c r="D16" s="58"/>
      <c r="E16" s="21"/>
      <c r="F16" s="21"/>
      <c r="G16" s="21"/>
      <c r="H16" s="32"/>
      <c r="I16" s="32"/>
      <c r="J16" s="32"/>
      <c r="L16" s="31"/>
      <c r="M16" s="31"/>
      <c r="N16" s="31"/>
      <c r="Q16" s="23"/>
      <c r="R16" s="23"/>
    </row>
    <row r="17" spans="1:19" s="14" customFormat="1" x14ac:dyDescent="0.25">
      <c r="A17" s="13"/>
      <c r="B17" s="21"/>
      <c r="C17" s="21"/>
      <c r="D17" s="58"/>
      <c r="E17" s="21"/>
      <c r="F17" s="21"/>
      <c r="G17" s="21"/>
      <c r="H17" s="32"/>
      <c r="I17" s="32"/>
      <c r="J17" s="32"/>
      <c r="L17" s="31"/>
      <c r="M17" s="31"/>
      <c r="N17" s="31"/>
      <c r="Q17" s="23"/>
      <c r="R17" s="23"/>
    </row>
    <row r="18" spans="1:19" s="14" customFormat="1" x14ac:dyDescent="0.25">
      <c r="A18" s="13"/>
      <c r="B18" s="21"/>
      <c r="C18" s="21"/>
      <c r="D18" s="58"/>
      <c r="E18" s="21"/>
      <c r="F18" s="21"/>
      <c r="G18" s="21"/>
      <c r="H18" s="32"/>
      <c r="I18" s="32"/>
      <c r="J18" s="32"/>
      <c r="L18" s="31"/>
      <c r="M18" s="31"/>
      <c r="N18" s="31"/>
      <c r="Q18" s="23"/>
      <c r="R18" s="23"/>
    </row>
    <row r="19" spans="1:19" s="14" customFormat="1" x14ac:dyDescent="0.25">
      <c r="A19" s="13"/>
      <c r="B19" s="21"/>
      <c r="C19" s="21"/>
      <c r="D19" s="58"/>
      <c r="E19" s="21"/>
      <c r="F19" s="21"/>
      <c r="G19" s="21"/>
      <c r="H19" s="32"/>
      <c r="I19" s="32"/>
      <c r="J19" s="32"/>
      <c r="L19" s="31"/>
      <c r="M19" s="31"/>
      <c r="N19" s="31"/>
      <c r="Q19" s="23"/>
      <c r="R19" s="23"/>
    </row>
    <row r="20" spans="1:19" s="14" customFormat="1" x14ac:dyDescent="0.25">
      <c r="A20" s="13"/>
      <c r="B20" s="21"/>
      <c r="C20" s="21"/>
      <c r="D20" s="58"/>
      <c r="E20" s="21"/>
      <c r="F20" s="21"/>
      <c r="G20" s="21"/>
      <c r="H20" s="32"/>
      <c r="I20" s="32"/>
      <c r="J20" s="32"/>
      <c r="L20" s="31"/>
      <c r="M20" s="31"/>
      <c r="N20" s="31"/>
      <c r="Q20" s="23"/>
      <c r="R20" s="23"/>
    </row>
    <row r="21" spans="1:19" x14ac:dyDescent="0.25">
      <c r="A21" s="13"/>
      <c r="B21" s="21"/>
      <c r="C21" s="21"/>
      <c r="D21" s="58"/>
      <c r="E21" s="21"/>
      <c r="F21" s="21"/>
      <c r="G21" s="21"/>
      <c r="H21" s="32"/>
      <c r="I21" s="32"/>
      <c r="J21" s="32"/>
      <c r="K21" s="14"/>
      <c r="L21" s="31"/>
      <c r="M21" s="31"/>
      <c r="N21" s="31"/>
      <c r="O21" s="14"/>
      <c r="P21" s="14"/>
      <c r="Q21" s="23"/>
      <c r="R21" s="23"/>
      <c r="S21" s="14"/>
    </row>
    <row r="22" spans="1:19" x14ac:dyDescent="0.25">
      <c r="A22" s="13"/>
      <c r="B22" s="21"/>
      <c r="C22" s="21"/>
      <c r="D22" s="58"/>
      <c r="E22" s="21"/>
      <c r="F22" s="21"/>
      <c r="G22" s="21"/>
      <c r="H22" s="32"/>
      <c r="I22" s="32"/>
      <c r="J22" s="32"/>
      <c r="K22" s="14"/>
      <c r="L22" s="31"/>
      <c r="M22" s="31"/>
      <c r="N22" s="31"/>
      <c r="O22" s="14"/>
      <c r="P22" s="14"/>
      <c r="Q22" s="23"/>
      <c r="R22" s="23"/>
      <c r="S22" s="14"/>
    </row>
    <row r="23" spans="1:19" x14ac:dyDescent="0.25">
      <c r="A23" s="13"/>
      <c r="B23" s="21"/>
      <c r="C23" s="21"/>
      <c r="D23" s="58"/>
      <c r="E23" s="21"/>
      <c r="F23" s="21"/>
      <c r="G23" s="21"/>
      <c r="H23" s="32"/>
      <c r="I23" s="32"/>
      <c r="J23" s="32"/>
      <c r="K23" s="14"/>
      <c r="L23" s="31"/>
      <c r="M23" s="31"/>
      <c r="N23" s="31"/>
      <c r="O23" s="14"/>
      <c r="P23" s="14"/>
      <c r="Q23" s="23"/>
      <c r="R23" s="23"/>
      <c r="S23" s="14"/>
    </row>
    <row r="24" spans="1:19" s="2" customFormat="1" x14ac:dyDescent="0.25">
      <c r="A24" s="13"/>
      <c r="B24" s="21"/>
      <c r="C24" s="21"/>
      <c r="D24" s="58"/>
      <c r="E24" s="21"/>
      <c r="F24" s="21"/>
      <c r="G24" s="21"/>
      <c r="H24" s="32"/>
      <c r="I24" s="32"/>
      <c r="J24" s="32"/>
      <c r="K24" s="14"/>
      <c r="L24" s="31"/>
      <c r="M24" s="31"/>
      <c r="N24" s="31"/>
      <c r="O24" s="14"/>
      <c r="P24" s="14"/>
      <c r="Q24" s="23"/>
      <c r="R24" s="23"/>
      <c r="S24" s="14"/>
    </row>
    <row r="25" spans="1:19" x14ac:dyDescent="0.25">
      <c r="A25" s="13"/>
      <c r="B25" s="21"/>
      <c r="C25" s="21"/>
      <c r="D25" s="58"/>
      <c r="E25" s="21"/>
      <c r="F25" s="21"/>
      <c r="G25" s="21"/>
      <c r="H25" s="32"/>
      <c r="I25" s="32"/>
      <c r="J25" s="32"/>
      <c r="K25" s="14"/>
      <c r="L25" s="31"/>
      <c r="M25" s="31"/>
      <c r="N25" s="31"/>
      <c r="O25" s="14"/>
      <c r="P25" s="14"/>
      <c r="Q25" s="23"/>
      <c r="R25" s="23"/>
      <c r="S25" s="14"/>
    </row>
    <row r="26" spans="1:19" x14ac:dyDescent="0.25">
      <c r="A26" s="13"/>
      <c r="B26" s="21"/>
      <c r="C26" s="21"/>
      <c r="D26" s="58"/>
      <c r="E26" s="21"/>
      <c r="F26" s="21"/>
      <c r="G26" s="21"/>
      <c r="H26" s="32"/>
      <c r="I26" s="32"/>
      <c r="J26" s="32"/>
      <c r="K26" s="14"/>
      <c r="L26" s="31"/>
      <c r="M26" s="31"/>
      <c r="N26" s="31"/>
      <c r="O26" s="14"/>
      <c r="P26" s="14"/>
      <c r="Q26" s="23"/>
      <c r="R26" s="23"/>
      <c r="S26" s="14"/>
    </row>
    <row r="27" spans="1:19" x14ac:dyDescent="0.25">
      <c r="A27" s="13"/>
      <c r="B27" s="21"/>
      <c r="C27" s="21"/>
      <c r="D27" s="58"/>
      <c r="E27" s="21"/>
      <c r="F27" s="21"/>
      <c r="G27" s="21"/>
      <c r="H27" s="32"/>
      <c r="I27" s="32"/>
      <c r="J27" s="32"/>
      <c r="K27" s="14"/>
      <c r="L27" s="31"/>
      <c r="M27" s="31"/>
      <c r="N27" s="31"/>
      <c r="O27" s="14"/>
      <c r="P27" s="14"/>
      <c r="Q27" s="23"/>
      <c r="R27" s="23"/>
      <c r="S27" s="14"/>
    </row>
    <row r="28" spans="1:19" x14ac:dyDescent="0.25">
      <c r="A28" s="13"/>
      <c r="B28" s="21"/>
      <c r="C28" s="21"/>
      <c r="D28" s="58"/>
      <c r="E28" s="21"/>
      <c r="F28" s="21"/>
      <c r="G28" s="21"/>
      <c r="H28" s="32"/>
      <c r="I28" s="32"/>
      <c r="J28" s="32"/>
      <c r="K28" s="14"/>
      <c r="L28" s="31"/>
      <c r="M28" s="31"/>
      <c r="N28" s="31"/>
      <c r="O28" s="14"/>
      <c r="P28" s="14"/>
      <c r="Q28" s="23"/>
      <c r="R28" s="23"/>
      <c r="S28" s="14"/>
    </row>
    <row r="29" spans="1:19" x14ac:dyDescent="0.25">
      <c r="A29" s="13"/>
      <c r="B29" s="21"/>
      <c r="C29" s="21"/>
      <c r="D29" s="58"/>
      <c r="E29" s="21"/>
      <c r="F29" s="21"/>
      <c r="G29" s="21"/>
      <c r="H29" s="32"/>
      <c r="I29" s="32"/>
      <c r="J29" s="32"/>
      <c r="K29" s="14"/>
      <c r="L29" s="31"/>
      <c r="M29" s="31"/>
      <c r="N29" s="31"/>
      <c r="O29" s="14"/>
      <c r="P29" s="14"/>
      <c r="Q29" s="23"/>
      <c r="R29" s="23"/>
      <c r="S29" s="14"/>
    </row>
    <row r="30" spans="1:19" x14ac:dyDescent="0.25">
      <c r="A30" s="13"/>
      <c r="B30" s="21"/>
      <c r="C30" s="21"/>
      <c r="D30" s="58"/>
      <c r="E30" s="21"/>
      <c r="F30" s="21"/>
      <c r="G30" s="21"/>
      <c r="H30" s="32"/>
      <c r="I30" s="32"/>
      <c r="J30" s="32"/>
      <c r="K30" s="14"/>
      <c r="L30" s="31"/>
      <c r="M30" s="31"/>
      <c r="N30" s="31"/>
      <c r="O30" s="14"/>
      <c r="P30" s="14"/>
      <c r="Q30" s="23"/>
      <c r="R30" s="23"/>
      <c r="S30" s="14"/>
    </row>
    <row r="31" spans="1:19" x14ac:dyDescent="0.25">
      <c r="A31" s="13"/>
      <c r="B31" s="21"/>
      <c r="C31" s="21"/>
      <c r="D31" s="58"/>
      <c r="E31" s="21"/>
      <c r="F31" s="21"/>
      <c r="G31" s="21"/>
      <c r="H31" s="32"/>
      <c r="I31" s="32"/>
      <c r="J31" s="32"/>
      <c r="K31" s="14"/>
      <c r="L31" s="31"/>
      <c r="M31" s="31"/>
      <c r="N31" s="31"/>
      <c r="O31" s="14"/>
      <c r="P31" s="14"/>
      <c r="Q31" s="23"/>
      <c r="R31" s="23"/>
      <c r="S31" s="14"/>
    </row>
    <row r="32" spans="1:19" x14ac:dyDescent="0.25">
      <c r="A32" s="13"/>
      <c r="B32" s="21"/>
      <c r="C32" s="21"/>
      <c r="D32" s="58"/>
      <c r="E32" s="21"/>
      <c r="F32" s="21"/>
      <c r="G32" s="21"/>
      <c r="H32" s="32"/>
      <c r="I32" s="32"/>
      <c r="J32" s="32"/>
      <c r="K32" s="14"/>
      <c r="L32" s="31"/>
      <c r="M32" s="31"/>
      <c r="N32" s="31"/>
      <c r="O32" s="14"/>
      <c r="P32" s="14"/>
      <c r="Q32" s="23"/>
      <c r="R32" s="23"/>
      <c r="S32" s="14"/>
    </row>
    <row r="33" spans="1:19" x14ac:dyDescent="0.25">
      <c r="A33" s="13"/>
      <c r="B33" s="21"/>
      <c r="C33" s="21"/>
      <c r="D33" s="58"/>
      <c r="E33" s="21"/>
      <c r="F33" s="21"/>
      <c r="G33" s="21"/>
      <c r="H33" s="32"/>
      <c r="I33" s="32"/>
      <c r="J33" s="32"/>
      <c r="K33" s="14"/>
      <c r="L33" s="31"/>
      <c r="M33" s="31"/>
      <c r="N33" s="31"/>
      <c r="O33" s="14"/>
      <c r="P33" s="14"/>
      <c r="Q33" s="23"/>
      <c r="R33" s="23"/>
      <c r="S33" s="14"/>
    </row>
    <row r="34" spans="1:19" x14ac:dyDescent="0.25">
      <c r="A34" s="13"/>
      <c r="B34" s="21"/>
      <c r="C34" s="21"/>
      <c r="D34" s="58"/>
      <c r="E34" s="21"/>
      <c r="F34" s="21"/>
      <c r="G34" s="21"/>
      <c r="H34" s="32"/>
      <c r="I34" s="32"/>
      <c r="J34" s="32"/>
      <c r="K34" s="14"/>
      <c r="L34" s="31"/>
      <c r="M34" s="31"/>
      <c r="N34" s="31"/>
      <c r="O34" s="14"/>
      <c r="P34" s="14"/>
      <c r="Q34" s="23"/>
      <c r="R34" s="23"/>
      <c r="S34" s="14"/>
    </row>
    <row r="35" spans="1:19" x14ac:dyDescent="0.25">
      <c r="A35" s="13"/>
      <c r="B35" s="21"/>
      <c r="C35" s="21"/>
      <c r="D35" s="58"/>
      <c r="E35" s="21"/>
      <c r="F35" s="21"/>
      <c r="G35" s="21"/>
      <c r="H35" s="32"/>
      <c r="I35" s="32"/>
      <c r="J35" s="32"/>
      <c r="K35" s="14"/>
      <c r="L35" s="31"/>
      <c r="M35" s="31"/>
      <c r="N35" s="31"/>
      <c r="O35" s="14"/>
      <c r="P35" s="14"/>
      <c r="Q35" s="23"/>
      <c r="R35" s="23"/>
      <c r="S35" s="14"/>
    </row>
    <row r="36" spans="1:19" x14ac:dyDescent="0.25">
      <c r="A36" s="13"/>
      <c r="B36" s="21"/>
      <c r="C36" s="21"/>
      <c r="D36" s="58"/>
      <c r="E36" s="21"/>
      <c r="F36" s="21"/>
      <c r="G36" s="21"/>
      <c r="H36" s="32"/>
      <c r="I36" s="32"/>
      <c r="J36" s="32"/>
      <c r="K36" s="14"/>
      <c r="L36" s="31"/>
      <c r="M36" s="31"/>
      <c r="N36" s="31"/>
      <c r="O36" s="14"/>
      <c r="P36" s="14"/>
      <c r="Q36" s="23"/>
      <c r="R36" s="23"/>
      <c r="S36" s="14"/>
    </row>
    <row r="37" spans="1:19" x14ac:dyDescent="0.25">
      <c r="A37" s="13"/>
      <c r="B37" s="21"/>
      <c r="C37" s="21"/>
      <c r="D37" s="58"/>
      <c r="E37" s="21"/>
      <c r="F37" s="21"/>
      <c r="G37" s="21"/>
      <c r="H37" s="32"/>
      <c r="I37" s="32"/>
      <c r="J37" s="32"/>
      <c r="K37" s="14"/>
      <c r="L37" s="31"/>
      <c r="M37" s="31"/>
      <c r="N37" s="31"/>
      <c r="O37" s="14"/>
      <c r="P37" s="14"/>
      <c r="Q37" s="23"/>
      <c r="R37" s="23"/>
      <c r="S37" s="14"/>
    </row>
    <row r="38" spans="1:19" x14ac:dyDescent="0.25">
      <c r="A38" s="13"/>
      <c r="B38" s="21"/>
      <c r="C38" s="21"/>
      <c r="D38" s="58"/>
      <c r="E38" s="21"/>
      <c r="F38" s="21"/>
      <c r="G38" s="21"/>
      <c r="H38" s="32"/>
      <c r="I38" s="32"/>
      <c r="J38" s="32"/>
      <c r="K38" s="14"/>
      <c r="L38" s="31"/>
      <c r="M38" s="31"/>
      <c r="N38" s="31"/>
      <c r="O38" s="14"/>
      <c r="P38" s="14"/>
      <c r="Q38" s="23"/>
      <c r="R38" s="23"/>
      <c r="S38" s="14"/>
    </row>
    <row r="39" spans="1:19" x14ac:dyDescent="0.25">
      <c r="A39" s="13"/>
      <c r="B39" s="21"/>
      <c r="C39" s="21"/>
      <c r="D39" s="58"/>
      <c r="E39" s="21"/>
      <c r="F39" s="21"/>
      <c r="G39" s="21"/>
      <c r="H39" s="32"/>
      <c r="I39" s="32"/>
      <c r="J39" s="32"/>
      <c r="K39" s="14"/>
      <c r="L39" s="31"/>
      <c r="M39" s="31"/>
      <c r="N39" s="31"/>
      <c r="O39" s="14"/>
      <c r="P39" s="14"/>
      <c r="Q39" s="23"/>
      <c r="R39" s="23"/>
      <c r="S39" s="14"/>
    </row>
  </sheetData>
  <mergeCells count="14">
    <mergeCell ref="A9:B9"/>
    <mergeCell ref="C9:O9"/>
    <mergeCell ref="A10:B10"/>
    <mergeCell ref="A11:B11"/>
    <mergeCell ref="A5:B5"/>
    <mergeCell ref="A6:B6"/>
    <mergeCell ref="C6:O6"/>
    <mergeCell ref="A7:B7"/>
    <mergeCell ref="A8:B8"/>
    <mergeCell ref="A1:B1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36"/>
  <sheetViews>
    <sheetView workbookViewId="0">
      <selection sqref="A1:B1"/>
    </sheetView>
  </sheetViews>
  <sheetFormatPr defaultColWidth="8.85546875" defaultRowHeight="15" x14ac:dyDescent="0.25"/>
  <cols>
    <col min="4" max="4" width="9.28515625" bestFit="1" customWidth="1"/>
    <col min="5" max="5" width="9" bestFit="1" customWidth="1"/>
    <col min="6" max="6" width="9.42578125" bestFit="1" customWidth="1"/>
    <col min="7" max="7" width="9" bestFit="1" customWidth="1"/>
    <col min="8" max="8" width="9.28515625" bestFit="1" customWidth="1"/>
    <col min="9" max="9" width="9.42578125" bestFit="1" customWidth="1"/>
    <col min="10" max="10" width="9.28515625" bestFit="1" customWidth="1"/>
    <col min="11" max="11" width="9.140625" bestFit="1" customWidth="1"/>
    <col min="12" max="12" width="9" bestFit="1" customWidth="1"/>
    <col min="13" max="13" width="9.7109375" bestFit="1" customWidth="1"/>
    <col min="14" max="14" width="9.28515625" bestFit="1" customWidth="1"/>
    <col min="15" max="15" width="9.425781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 x14ac:dyDescent="0.25">
      <c r="A1" s="157" t="s">
        <v>6</v>
      </c>
      <c r="B1" s="158"/>
      <c r="C1" s="76" t="str">
        <f t="array" ref="C1">RTD("tickerplantrtdserver",,"FWRC1#JPYINR#Month End Rates#0#S#Desc.2")</f>
        <v>CASH/SPOT</v>
      </c>
      <c r="D1" s="76" t="str">
        <f t="array" ref="D1">RTD("tickerplantrtdserver",,"FWRC1#JPYINR#Month End Rates#0#S#Desc.4")</f>
        <v>JUL-2020</v>
      </c>
      <c r="E1" s="76" t="str">
        <f t="array" ref="E1">RTD("tickerplantrtdserver",,"FWRC1#JPYINR#Month End Rates#0#S#Desc.5")</f>
        <v>AUG-2020</v>
      </c>
      <c r="F1" s="76" t="str">
        <f t="array" ref="F1">RTD("tickerplantrtdserver",,"FWRC1#JPYINR#Month End Rates#0#S#Desc.6")</f>
        <v>SEP-2020</v>
      </c>
      <c r="G1" s="76" t="str">
        <f t="array" ref="G1">RTD("tickerplantrtdserver",,"FWRC1#JPYINR#Month End Rates#0#S#Desc.7")</f>
        <v>OCT-2020</v>
      </c>
      <c r="H1" s="76" t="str">
        <f t="array" ref="H1">RTD("tickerplantrtdserver",,"FWRC1#JPYINR#Month End Rates#0#S#Desc.8")</f>
        <v>NOV-2020</v>
      </c>
      <c r="I1" s="76" t="str">
        <f t="array" ref="I1">RTD("tickerplantrtdserver",,"FWRC1#JPYINR#Month End Rates#0#S#Desc.9")</f>
        <v>DEC-2020</v>
      </c>
      <c r="J1" s="76" t="str">
        <f t="array" ref="J1">RTD("tickerplantrtdserver",,"FWRC1#JPYINR#Month End Rates#0#S#Desc.10")</f>
        <v>JAN-2021</v>
      </c>
      <c r="K1" s="76" t="str">
        <f t="array" ref="K1">RTD("tickerplantrtdserver",,"FWRC1#JPYINR#Month End Rates#0#S#Desc.11")</f>
        <v>FEB-2021</v>
      </c>
      <c r="L1" s="76" t="str">
        <f t="array" ref="L1">RTD("tickerplantrtdserver",,"FWRC1#JPYINR#Month End Rates#0#S#Desc.12")</f>
        <v>MAR-2021</v>
      </c>
      <c r="M1" s="76" t="str">
        <f t="array" ref="M1">RTD("tickerplantrtdserver",,"FWRC1#JPYINR#Month End Rates#0#S#Desc.13")</f>
        <v>APR-2021</v>
      </c>
      <c r="N1" s="76" t="str">
        <f t="array" ref="N1">RTD("tickerplantrtdserver",,"FWRC1#JPYINR#Month End Rates#0#S#Desc.14")</f>
        <v>MAY-2021</v>
      </c>
      <c r="O1" s="77" t="str">
        <f t="array" ref="O1">RTD("tickerplantrtdserver",,"FWRC1#JPYINR#Month End Rates#0#S#Desc.15")</f>
        <v>JUN-2021</v>
      </c>
    </row>
    <row r="2" spans="1:18" s="14" customFormat="1" ht="15.75" customHeight="1" x14ac:dyDescent="0.25">
      <c r="A2" s="159" t="s">
        <v>5</v>
      </c>
      <c r="B2" s="160"/>
      <c r="C2" s="71" t="str">
        <f t="array" ref="C2">RTD("tickerplantrtdserver",,"FWRC1#JPYINR#Month End Rates#0#S#PillarDate2")</f>
        <v>06-Jul-2020</v>
      </c>
      <c r="D2" s="71" t="str">
        <f t="array" ref="D2">RTD("tickerplantrtdserver",,"FWRC1#JPYINR#Month End Rates#0#S#PillarDate4")</f>
        <v>31-Jul-2020</v>
      </c>
      <c r="E2" s="71" t="str">
        <f t="array" ref="E2">RTD("tickerplantrtdserver",,"FWRC1#JPYINR#Month End Rates#0#S#PillarDate5")</f>
        <v>31-Aug-2020</v>
      </c>
      <c r="F2" s="71" t="str">
        <f t="array" ref="F2">RTD("tickerplantrtdserver",,"FWRC1#JPYINR#Month End Rates#0#S#PillarDate6")</f>
        <v>30-Sep-2020</v>
      </c>
      <c r="G2" s="71" t="str">
        <f t="array" ref="G2">RTD("tickerplantrtdserver",,"FWRC1#JPYINR#Month End Rates#0#S#PillarDate7")</f>
        <v>29-Oct-2020</v>
      </c>
      <c r="H2" s="71" t="str">
        <f t="array" ref="H2">RTD("tickerplantrtdserver",,"FWRC1#JPYINR#Month End Rates#0#S#PillarDate8")</f>
        <v>27-Nov-2020</v>
      </c>
      <c r="I2" s="71" t="str">
        <f t="array" ref="I2">RTD("tickerplantrtdserver",,"FWRC1#JPYINR#Month End Rates#0#S#PillarDate9")</f>
        <v>31-Dec-2020</v>
      </c>
      <c r="J2" s="71" t="str">
        <f t="array" ref="J2">RTD("tickerplantrtdserver",,"FWRC1#JPYINR#Month End Rates#0#S#PillarDate10")</f>
        <v>29-Jan-2021</v>
      </c>
      <c r="K2" s="71" t="str">
        <f t="array" ref="K2">RTD("tickerplantrtdserver",,"FWRC1#JPYINR#Month End Rates#0#S#PillarDate11")</f>
        <v>26-Feb-2021</v>
      </c>
      <c r="L2" s="71" t="str">
        <f t="array" ref="L2">RTD("tickerplantrtdserver",,"FWRC1#JPYINR#Month End Rates#0#S#PillarDate12")</f>
        <v>31-Mar-2021</v>
      </c>
      <c r="M2" s="71" t="str">
        <f t="array" ref="M2">RTD("tickerplantrtdserver",,"FWRC1#JPYINR#Month End Rates#0#S#PillarDate13")</f>
        <v>30-Apr-2021</v>
      </c>
      <c r="N2" s="71" t="str">
        <f t="array" ref="N2">RTD("tickerplantrtdserver",,"FWRC1#JPYINR#Month End Rates#0#S#PillarDate14")</f>
        <v>31-May-2021</v>
      </c>
      <c r="O2" s="75" t="str">
        <f t="array" ref="O2">RTD("tickerplantrtdserver",,"FWRC1#JPYINR#Month End Rates#0#S#PillarDate15")</f>
        <v>30-Jun-2021</v>
      </c>
      <c r="P2" s="30"/>
    </row>
    <row r="3" spans="1:18" s="14" customFormat="1" x14ac:dyDescent="0.25">
      <c r="A3" s="161" t="s">
        <v>4</v>
      </c>
      <c r="B3" s="162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6"/>
      <c r="P3" s="15"/>
    </row>
    <row r="4" spans="1:18" s="14" customFormat="1" x14ac:dyDescent="0.25">
      <c r="A4" s="159" t="s">
        <v>47</v>
      </c>
      <c r="B4" s="160"/>
      <c r="C4" s="65">
        <f>RTD("tickerplantrtdserver",,"FWRC1#JPYINR#Month End Rates#0#BidPrice2")/100</f>
        <v>1.3953100000000001</v>
      </c>
      <c r="D4" s="65">
        <f>RTD("tickerplantrtdserver",,"FWRC1#JPYINR#Month End Rates#0#BidPrice4")/100</f>
        <v>15.506525</v>
      </c>
      <c r="E4" s="65">
        <f>RTD("tickerplantrtdserver",,"FWRC1#JPYINR#Month End Rates#0#BidPrice5")/100</f>
        <v>40.204074999999996</v>
      </c>
      <c r="F4" s="65">
        <f>RTD("tickerplantrtdserver",,"FWRC1#JPYINR#Month End Rates#0#BidPrice6")/100</f>
        <v>63.144624999999998</v>
      </c>
      <c r="G4" s="65">
        <f>RTD("tickerplantrtdserver",,"FWRC1#JPYINR#Month End Rates#0#BidPrice7")/100</f>
        <v>87.256950000000003</v>
      </c>
      <c r="H4" s="65">
        <f>RTD("tickerplantrtdserver",,"FWRC1#JPYINR#Month End Rates#0#BidPrice8")/100</f>
        <v>111.590425</v>
      </c>
      <c r="I4" s="65">
        <f>RTD("tickerplantrtdserver",,"FWRC1#JPYINR#Month End Rates#0#BidPrice9")/100</f>
        <v>145.54114999999999</v>
      </c>
      <c r="J4" s="65">
        <f>RTD("tickerplantrtdserver",,"FWRC1#JPYINR#Month End Rates#0#BidPrice10")/100</f>
        <v>169.9666</v>
      </c>
      <c r="K4" s="65">
        <f>RTD("tickerplantrtdserver",,"FWRC1#JPYINR#Month End Rates#0#BidPrice11")/100</f>
        <v>193.48050000000001</v>
      </c>
      <c r="L4" s="65">
        <f>RTD("tickerplantrtdserver",,"FWRC1#JPYINR#Month End Rates#0#BidPrice12")/100</f>
        <v>223.31742500000001</v>
      </c>
      <c r="M4" s="65">
        <f>RTD("tickerplantrtdserver",,"FWRC1#JPYINR#Month End Rates#0#BidPrice13")/100</f>
        <v>252.31145000000001</v>
      </c>
      <c r="N4" s="65">
        <f>RTD("tickerplantrtdserver",,"FWRC1#JPYINR#Month End Rates#0#BidPrice14")/100</f>
        <v>277.21460000000002</v>
      </c>
      <c r="O4" s="67">
        <f>RTD("tickerplantrtdserver",,"FWRC1#JPYINR#Month End Rates#0#BidPrice15")/100</f>
        <v>306.30040000000002</v>
      </c>
      <c r="P4" s="20"/>
    </row>
    <row r="5" spans="1:18" s="14" customFormat="1" x14ac:dyDescent="0.25">
      <c r="A5" s="159" t="s">
        <v>48</v>
      </c>
      <c r="B5" s="160"/>
      <c r="C5" s="65">
        <f>RTD("tickerplantrtdserver",,"FWRC1#JPYINR#Month End Rates#0#AskPrice2")/100</f>
        <v>4.3813909999999998</v>
      </c>
      <c r="D5" s="65">
        <f>RTD("tickerplantrtdserver",,"FWRC1#JPYINR#Month End Rates#0#AskPrice4")/100</f>
        <v>16.870925</v>
      </c>
      <c r="E5" s="65">
        <f>RTD("tickerplantrtdserver",,"FWRC1#JPYINR#Month End Rates#0#AskPrice5")/100</f>
        <v>41.999075000000005</v>
      </c>
      <c r="F5" s="65">
        <f>RTD("tickerplantrtdserver",,"FWRC1#JPYINR#Month End Rates#0#AskPrice6")/100</f>
        <v>64.981875000000002</v>
      </c>
      <c r="G5" s="65">
        <f>RTD("tickerplantrtdserver",,"FWRC1#JPYINR#Month End Rates#0#AskPrice7")/100</f>
        <v>89.88655</v>
      </c>
      <c r="H5" s="65">
        <f>RTD("tickerplantrtdserver",,"FWRC1#JPYINR#Month End Rates#0#AskPrice8")/100</f>
        <v>114.343825</v>
      </c>
      <c r="I5" s="65">
        <f>RTD("tickerplantrtdserver",,"FWRC1#JPYINR#Month End Rates#0#AskPrice9")/100</f>
        <v>148.309325</v>
      </c>
      <c r="J5" s="65">
        <f>RTD("tickerplantrtdserver",,"FWRC1#JPYINR#Month End Rates#0#AskPrice10")/100</f>
        <v>173.06549999999999</v>
      </c>
      <c r="K5" s="65">
        <f>RTD("tickerplantrtdserver",,"FWRC1#JPYINR#Month End Rates#0#AskPrice11")/100</f>
        <v>196.608125</v>
      </c>
      <c r="L5" s="65">
        <f>RTD("tickerplantrtdserver",,"FWRC1#JPYINR#Month End Rates#0#AskPrice12")/100</f>
        <v>226.18265</v>
      </c>
      <c r="M5" s="65">
        <f>RTD("tickerplantrtdserver",,"FWRC1#JPYINR#Month End Rates#0#AskPrice13")/100</f>
        <v>255.19709999999998</v>
      </c>
      <c r="N5" s="65">
        <f>RTD("tickerplantrtdserver",,"FWRC1#JPYINR#Month End Rates#0#AskPrice14")/100</f>
        <v>281.39569999999998</v>
      </c>
      <c r="O5" s="67">
        <f>RTD("tickerplantrtdserver",,"FWRC1#JPYINR#Month End Rates#0#AskPrice15")/100</f>
        <v>309.50302500000004</v>
      </c>
      <c r="P5" s="20"/>
    </row>
    <row r="6" spans="1:18" s="14" customFormat="1" x14ac:dyDescent="0.25">
      <c r="A6" s="161" t="s">
        <v>3</v>
      </c>
      <c r="B6" s="162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6"/>
      <c r="P6" s="20"/>
    </row>
    <row r="7" spans="1:18" s="14" customFormat="1" x14ac:dyDescent="0.25">
      <c r="A7" s="159" t="s">
        <v>47</v>
      </c>
      <c r="B7" s="160"/>
      <c r="C7" s="64">
        <f t="array" ref="C7">RTD("tickerplantrtdserver",,"FWRC1#JPYINR#Month End Rates#0#FwdOutrightBid1")</f>
        <v>69.791200000000003</v>
      </c>
      <c r="D7" s="64">
        <f t="array" ref="D7">RTD("tickerplantrtdserver",,"FWRC1#JPYINR#Month End Rates#0#FwdOutrightBid4")</f>
        <v>69.990099999999998</v>
      </c>
      <c r="E7" s="64">
        <f t="array" ref="E7">RTD("tickerplantrtdserver",,"FWRC1#JPYINR#Month End Rates#0#FwdOutrightBid5")</f>
        <v>70.236999999999995</v>
      </c>
      <c r="F7" s="64">
        <f t="array" ref="F7">RTD("tickerplantrtdserver",,"FWRC1#JPYINR#Month End Rates#0#FwdOutrightBid6")</f>
        <v>70.466399999999993</v>
      </c>
      <c r="G7" s="64">
        <f t="array" ref="G7">RTD("tickerplantrtdserver",,"FWRC1#JPYINR#Month End Rates#0#FwdOutrightBid7")</f>
        <v>70.707599999999999</v>
      </c>
      <c r="H7" s="64">
        <f t="array" ref="H7">RTD("tickerplantrtdserver",,"FWRC1#JPYINR#Month End Rates#0#FwdOutrightBid8")</f>
        <v>70.950900000000004</v>
      </c>
      <c r="I7" s="64">
        <f t="array" ref="I7">RTD("tickerplantrtdserver",,"FWRC1#JPYINR#Month End Rates#0#FwdOutrightBid9")</f>
        <v>71.290400000000005</v>
      </c>
      <c r="J7" s="64">
        <f t="array" ref="J7">RTD("tickerplantrtdserver",,"FWRC1#JPYINR#Month End Rates#0#FwdOutrightBid10")</f>
        <v>71.534700000000001</v>
      </c>
      <c r="K7" s="64">
        <f t="array" ref="K7">RTD("tickerplantrtdserver",,"FWRC1#JPYINR#Month End Rates#0#FwdOutrightBid11")</f>
        <v>71.769800000000004</v>
      </c>
      <c r="L7" s="64">
        <f t="array" ref="L7">RTD("tickerplantrtdserver",,"FWRC1#JPYINR#Month End Rates#0#FwdOutrightBid12")</f>
        <v>72.068200000000004</v>
      </c>
      <c r="M7" s="64">
        <f t="array" ref="M7">RTD("tickerplantrtdserver",,"FWRC1#JPYINR#Month End Rates#0#FwdOutrightBid13")</f>
        <v>72.358099999999993</v>
      </c>
      <c r="N7" s="64">
        <f t="array" ref="N7">RTD("tickerplantrtdserver",,"FWRC1#JPYINR#Month End Rates#0#FwdOutrightBid14")</f>
        <v>72.607100000000003</v>
      </c>
      <c r="O7" s="68">
        <f t="array" ref="O7">RTD("tickerplantrtdserver",,"FWRC1#JPYINR#Month End Rates#0#FwdOutrightBid15")</f>
        <v>72.897999999999996</v>
      </c>
      <c r="P7" s="20"/>
    </row>
    <row r="8" spans="1:18" s="14" customFormat="1" x14ac:dyDescent="0.25">
      <c r="A8" s="159" t="s">
        <v>48</v>
      </c>
      <c r="B8" s="160"/>
      <c r="C8" s="64">
        <f t="array" ref="C8">RTD("tickerplantrtdserver",,"FWRC1#JPYINR#Month End Rates#0#FwdOutrightAsk1")</f>
        <v>69.855999999999995</v>
      </c>
      <c r="D8" s="64">
        <f t="array" ref="D8">RTD("tickerplantrtdserver",,"FWRC1#JPYINR#Month End Rates#0#FwdOutrightAsk4")</f>
        <v>70.038700000000006</v>
      </c>
      <c r="E8" s="64">
        <f t="array" ref="E8">RTD("tickerplantrtdserver",,"FWRC1#JPYINR#Month End Rates#0#FwdOutrightAsk5")</f>
        <v>70.290000000000006</v>
      </c>
      <c r="F8" s="64">
        <f t="array" ref="F8">RTD("tickerplantrtdserver",,"FWRC1#JPYINR#Month End Rates#0#FwdOutrightAsk6")</f>
        <v>70.519800000000004</v>
      </c>
      <c r="G8" s="64">
        <f t="array" ref="G8">RTD("tickerplantrtdserver",,"FWRC1#JPYINR#Month End Rates#0#FwdOutrightAsk7")</f>
        <v>70.768900000000002</v>
      </c>
      <c r="H8" s="64">
        <f t="array" ref="H8">RTD("tickerplantrtdserver",,"FWRC1#JPYINR#Month End Rates#0#FwdOutrightAsk8")</f>
        <v>71.013400000000004</v>
      </c>
      <c r="I8" s="64">
        <f t="array" ref="I8">RTD("tickerplantrtdserver",,"FWRC1#JPYINR#Month End Rates#0#FwdOutrightAsk9")</f>
        <v>71.353099999999998</v>
      </c>
      <c r="J8" s="64">
        <f t="array" ref="J8">RTD("tickerplantrtdserver",,"FWRC1#JPYINR#Month End Rates#0#FwdOutrightAsk10")</f>
        <v>71.600700000000003</v>
      </c>
      <c r="K8" s="64">
        <f t="array" ref="K8">RTD("tickerplantrtdserver",,"FWRC1#JPYINR#Month End Rates#0#FwdOutrightAsk11")</f>
        <v>71.836100000000002</v>
      </c>
      <c r="L8" s="64">
        <f t="array" ref="L8">RTD("tickerplantrtdserver",,"FWRC1#JPYINR#Month End Rates#0#FwdOutrightAsk12")</f>
        <v>72.131799999999998</v>
      </c>
      <c r="M8" s="64">
        <f t="array" ref="M8">RTD("tickerplantrtdserver",,"FWRC1#JPYINR#Month End Rates#0#FwdOutrightAsk13")</f>
        <v>72.421999999999997</v>
      </c>
      <c r="N8" s="64">
        <f t="array" ref="N8">RTD("tickerplantrtdserver",,"FWRC1#JPYINR#Month End Rates#0#FwdOutrightAsk14")</f>
        <v>72.683999999999997</v>
      </c>
      <c r="O8" s="68">
        <f t="array" ref="O8">RTD("tickerplantrtdserver",,"FWRC1#JPYINR#Month End Rates#0#FwdOutrightAsk15")</f>
        <v>72.965000000000003</v>
      </c>
    </row>
    <row r="9" spans="1:18" s="14" customFormat="1" x14ac:dyDescent="0.25">
      <c r="A9" s="161" t="s">
        <v>2</v>
      </c>
      <c r="B9" s="162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6"/>
    </row>
    <row r="10" spans="1:18" s="14" customFormat="1" x14ac:dyDescent="0.25">
      <c r="A10" s="159" t="s">
        <v>47</v>
      </c>
      <c r="B10" s="160"/>
      <c r="C10" s="65">
        <f t="array" ref="C10">RTD("tickerplantrtdserver",,"FWRC1#JPYINR#Month End Rates#0#Bid%2")</f>
        <v>1.8223</v>
      </c>
      <c r="D10" s="65">
        <f t="array" ref="D10">RTD("tickerplantrtdserver",,"FWRC1#JPYINR#Month End Rates#0#Bid%4")</f>
        <v>3.2402000000000002</v>
      </c>
      <c r="E10" s="65">
        <f t="array" ref="E10">RTD("tickerplantrtdserver",,"FWRC1#JPYINR#Month End Rates#0#Bid%5")</f>
        <v>3.7505000000000002</v>
      </c>
      <c r="F10" s="65">
        <f t="array" ref="F10">RTD("tickerplantrtdserver",,"FWRC1#JPYINR#Month End Rates#0#Bid%6")</f>
        <v>3.8357000000000001</v>
      </c>
      <c r="G10" s="65">
        <f t="array" ref="G10">RTD("tickerplantrtdserver",,"FWRC1#JPYINR#Month End Rates#0#Bid%7")</f>
        <v>3.9636999999999998</v>
      </c>
      <c r="H10" s="65">
        <f t="array" ref="H10">RTD("tickerplantrtdserver",,"FWRC1#JPYINR#Month End Rates#0#Bid%8")</f>
        <v>4.0481999999999996</v>
      </c>
      <c r="I10" s="65">
        <f t="array" ref="I10">RTD("tickerplantrtdserver",,"FWRC1#JPYINR#Month End Rates#0#Bid%9")</f>
        <v>4.2713999999999999</v>
      </c>
      <c r="J10" s="65">
        <f t="array" ref="J10">RTD("tickerplantrtdserver",,"FWRC1#JPYINR#Month End Rates#0#Bid%10")</f>
        <v>4.2893999999999997</v>
      </c>
      <c r="K10" s="65">
        <f t="array" ref="K10">RTD("tickerplantrtdserver",,"FWRC1#JPYINR#Month End Rates#0#Bid%11")</f>
        <v>4.3010000000000002</v>
      </c>
      <c r="L10" s="65">
        <f t="array" ref="L10">RTD("tickerplantrtdserver",,"FWRC1#JPYINR#Month End Rates#0#Bid%12")</f>
        <v>4.3529999999999998</v>
      </c>
      <c r="M10" s="65">
        <f t="array" ref="M10">RTD("tickerplantrtdserver",,"FWRC1#JPYINR#Month End Rates#0#Bid%13")</f>
        <v>4.4230999999999998</v>
      </c>
      <c r="N10" s="65">
        <f t="array" ref="N10">RTD("tickerplantrtdserver",,"FWRC1#JPYINR#Month End Rates#0#Bid%14")</f>
        <v>4.4016999999999999</v>
      </c>
      <c r="O10" s="67">
        <f t="array" ref="O10">RTD("tickerplantrtdserver",,"FWRC1#JPYINR#Month End Rates#0#Bid%15")</f>
        <v>4.4570999999999996</v>
      </c>
    </row>
    <row r="11" spans="1:18" s="14" customFormat="1" ht="15.75" thickBot="1" x14ac:dyDescent="0.3">
      <c r="A11" s="163" t="s">
        <v>48</v>
      </c>
      <c r="B11" s="164"/>
      <c r="C11" s="69">
        <f t="array" ref="C11">RTD("tickerplantrtdserver",,"FWRC1#JPYINR#Month End Rates#0#Ask%2")</f>
        <v>5.7249999999999996</v>
      </c>
      <c r="D11" s="69">
        <f t="array" ref="D11">RTD("tickerplantrtdserver",,"FWRC1#JPYINR#Month End Rates#0#Ask%4")</f>
        <v>3.5270999999999999</v>
      </c>
      <c r="E11" s="69">
        <f t="array" ref="E11">RTD("tickerplantrtdserver",,"FWRC1#JPYINR#Month End Rates#0#Ask%5")</f>
        <v>3.9199000000000002</v>
      </c>
      <c r="F11" s="69">
        <f t="array" ref="F11">RTD("tickerplantrtdserver",,"FWRC1#JPYINR#Month End Rates#0#Ask%6")</f>
        <v>3.9491999999999998</v>
      </c>
      <c r="G11" s="69">
        <f t="array" ref="G11">RTD("tickerplantrtdserver",,"FWRC1#JPYINR#Month End Rates#0#Ask%7")</f>
        <v>4.0852000000000004</v>
      </c>
      <c r="H11" s="69">
        <f t="array" ref="H11">RTD("tickerplantrtdserver",,"FWRC1#JPYINR#Month End Rates#0#Ask%8")</f>
        <v>4.1501999999999999</v>
      </c>
      <c r="I11" s="69">
        <f t="array" ref="I11">RTD("tickerplantrtdserver",,"FWRC1#JPYINR#Month End Rates#0#Ask%9")</f>
        <v>4.3548</v>
      </c>
      <c r="J11" s="69">
        <f t="array" ref="J11">RTD("tickerplantrtdserver",,"FWRC1#JPYINR#Month End Rates#0#Ask%10")</f>
        <v>4.3697999999999997</v>
      </c>
      <c r="K11" s="69">
        <f t="array" ref="K11">RTD("tickerplantrtdserver",,"FWRC1#JPYINR#Month End Rates#0#Ask%11")</f>
        <v>4.3727</v>
      </c>
      <c r="L11" s="69">
        <f t="array" ref="L11">RTD("tickerplantrtdserver",,"FWRC1#JPYINR#Month End Rates#0#Ask%12")</f>
        <v>4.4111000000000002</v>
      </c>
      <c r="M11" s="69">
        <f t="array" ref="M11">RTD("tickerplantrtdserver",,"FWRC1#JPYINR#Month End Rates#0#Ask%13")</f>
        <v>4.4759000000000002</v>
      </c>
      <c r="N11" s="69">
        <f t="array" ref="N11">RTD("tickerplantrtdserver",,"FWRC1#JPYINR#Month End Rates#0#Ask%14")</f>
        <v>4.4702999999999999</v>
      </c>
      <c r="O11" s="70">
        <f t="array" ref="O11">RTD("tickerplantrtdserver",,"FWRC1#JPYINR#Month End Rates#0#Ask%15")</f>
        <v>4.5060000000000002</v>
      </c>
    </row>
    <row r="12" spans="1:18" s="14" customFormat="1" ht="15.7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 x14ac:dyDescent="0.25">
      <c r="A13" s="13"/>
      <c r="B13" s="21"/>
      <c r="C13" s="21"/>
      <c r="D13" s="58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s="14" customForma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s="14" customForma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14" customForma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s="14" customForma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s="14" customForma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s="14" customForma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s="2" customForma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6" spans="1:2" x14ac:dyDescent="0.25">
      <c r="A36" s="1"/>
      <c r="B36" s="1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T36"/>
  <sheetViews>
    <sheetView workbookViewId="0">
      <selection activeCell="H20" sqref="H20"/>
    </sheetView>
  </sheetViews>
  <sheetFormatPr defaultRowHeight="15" x14ac:dyDescent="0.25"/>
  <cols>
    <col min="4" max="4" width="9.28515625" bestFit="1" customWidth="1"/>
    <col min="5" max="5" width="9" bestFit="1" customWidth="1"/>
    <col min="6" max="6" width="9.42578125" bestFit="1" customWidth="1"/>
    <col min="7" max="7" width="9" bestFit="1" customWidth="1"/>
    <col min="8" max="8" width="9.28515625" bestFit="1" customWidth="1"/>
    <col min="9" max="9" width="9.42578125" bestFit="1" customWidth="1"/>
    <col min="10" max="10" width="9.28515625" bestFit="1" customWidth="1"/>
    <col min="11" max="11" width="9.140625" bestFit="1" customWidth="1"/>
    <col min="12" max="12" width="9" bestFit="1" customWidth="1"/>
    <col min="13" max="13" width="9.7109375" bestFit="1" customWidth="1"/>
    <col min="14" max="14" width="9.28515625" bestFit="1" customWidth="1"/>
    <col min="15" max="15" width="9.425781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 x14ac:dyDescent="0.25">
      <c r="A1" s="157" t="s">
        <v>6</v>
      </c>
      <c r="B1" s="158"/>
      <c r="C1" s="76" t="str">
        <f t="array" ref="C1">RTD("tickerplantrtdserver",,"FWRC1#EURUSD#Month Wise Rates#0#S#Desc.2")</f>
        <v>TN</v>
      </c>
      <c r="D1" s="76" t="str">
        <f t="array" ref="D1">RTD("tickerplantrtdserver",,"FWRC1#EURUSD#Month Wise Rates#0#S#Desc.7")</f>
        <v>1M</v>
      </c>
      <c r="E1" s="76" t="str">
        <f t="array" ref="E1">RTD("tickerplantrtdserver",,"FWRC1#EURUSD#Month Wise Rates#0#S#Desc.8")</f>
        <v>2M</v>
      </c>
      <c r="F1" s="76" t="str">
        <f t="array" ref="F1">RTD("tickerplantrtdserver",,"FWRC1#EURUSD#Month Wise Rates#0#S#Desc.9")</f>
        <v>3M</v>
      </c>
      <c r="G1" s="76" t="str">
        <f t="array" ref="G1">RTD("tickerplantrtdserver",,"FWRC1#EURUSD#Month Wise Rates#0#S#Desc.10")</f>
        <v>4M</v>
      </c>
      <c r="H1" s="76" t="str">
        <f t="array" ref="H1">RTD("tickerplantrtdserver",,"FWRC1#EURUSD#Month Wise Rates#0#S#Desc.11")</f>
        <v>5M</v>
      </c>
      <c r="I1" s="76" t="str">
        <f t="array" ref="I1">RTD("tickerplantrtdserver",,"FWRC1#EURUSD#Month Wise Rates#0#S#Desc.12")</f>
        <v>6M</v>
      </c>
      <c r="J1" s="76" t="str">
        <f t="array" ref="J1">RTD("tickerplantrtdserver",,"FWRC1#EURUSD#Month Wise Rates#0#S#Desc.13")</f>
        <v>7M</v>
      </c>
      <c r="K1" s="76" t="str">
        <f t="array" ref="K1">RTD("tickerplantrtdserver",,"FWRC1#EURUSD#Month Wise Rates#0#S#Desc.14")</f>
        <v>8M</v>
      </c>
      <c r="L1" s="76" t="str">
        <f t="array" ref="L1">RTD("tickerplantrtdserver",,"FWRC1#EURUSD#Month Wise Rates#0#S#Desc.15")</f>
        <v>9M</v>
      </c>
      <c r="M1" s="76" t="str">
        <f t="array" ref="M1">RTD("tickerplantrtdserver",,"FWRC1#EURUSD#Month Wise Rates#0#S#Desc.16")</f>
        <v>10M</v>
      </c>
      <c r="N1" s="76" t="str">
        <f t="array" ref="N1">RTD("tickerplantrtdserver",,"FWRC1#EURUSD#Month Wise Rates#0#S#Desc.17")</f>
        <v>11M</v>
      </c>
      <c r="O1" s="77" t="str">
        <f t="array" ref="O1">RTD("tickerplantrtdserver",,"FWRC1#EURUSD#Month Wise Rates#0#S#Desc.18")</f>
        <v>12M</v>
      </c>
    </row>
    <row r="2" spans="1:18" s="14" customFormat="1" ht="15.75" customHeight="1" x14ac:dyDescent="0.25">
      <c r="A2" s="159" t="s">
        <v>5</v>
      </c>
      <c r="B2" s="160"/>
      <c r="C2" s="71" t="str">
        <f t="array" ref="C2">RTD("tickerplantrtdserver",,"FWRC1#EURUSD#Month Wise Rates#0#S#PillarDate2")</f>
        <v>06-Jul-2020</v>
      </c>
      <c r="D2" s="71" t="str">
        <f t="array" ref="D2">RTD("tickerplantrtdserver",,"FWRC1#EURUSD#Month Wise Rates#0#S#PillarDate7")</f>
        <v>06-Aug-2020</v>
      </c>
      <c r="E2" s="71" t="str">
        <f t="array" ref="E2">RTD("tickerplantrtdserver",,"FWRC1#EURUSD#Month Wise Rates#0#S#PillarDate8")</f>
        <v>08-Sep-2020</v>
      </c>
      <c r="F2" s="71" t="str">
        <f t="array" ref="F2">RTD("tickerplantrtdserver",,"FWRC1#EURUSD#Month Wise Rates#0#S#PillarDate9")</f>
        <v>06-Oct-2020</v>
      </c>
      <c r="G2" s="71" t="str">
        <f t="array" ref="G2">RTD("tickerplantrtdserver",,"FWRC1#EURUSD#Month Wise Rates#0#S#PillarDate10")</f>
        <v>06-Nov-2020</v>
      </c>
      <c r="H2" s="71" t="str">
        <f t="array" ref="H2">RTD("tickerplantrtdserver",,"FWRC1#EURUSD#Month Wise Rates#0#S#PillarDate11")</f>
        <v>07-Dec-2020</v>
      </c>
      <c r="I2" s="71" t="str">
        <f t="array" ref="I2">RTD("tickerplantrtdserver",,"FWRC1#EURUSD#Month Wise Rates#0#S#PillarDate12")</f>
        <v>06-Jan-2021</v>
      </c>
      <c r="J2" s="71" t="str">
        <f t="array" ref="J2">RTD("tickerplantrtdserver",,"FWRC1#EURUSD#Month Wise Rates#0#S#PillarDate13")</f>
        <v>08-Feb-2021</v>
      </c>
      <c r="K2" s="71" t="str">
        <f t="array" ref="K2">RTD("tickerplantrtdserver",,"FWRC1#EURUSD#Month Wise Rates#0#S#PillarDate14")</f>
        <v>08-Mar-2021</v>
      </c>
      <c r="L2" s="71" t="str">
        <f t="array" ref="L2">RTD("tickerplantrtdserver",,"FWRC1#EURUSD#Month Wise Rates#0#S#PillarDate15")</f>
        <v>06-Apr-2021</v>
      </c>
      <c r="M2" s="71" t="str">
        <f t="array" ref="M2">RTD("tickerplantrtdserver",,"FWRC1#EURUSD#Month Wise Rates#0#S#PillarDate16")</f>
        <v>06-May-2021</v>
      </c>
      <c r="N2" s="71" t="str">
        <f t="array" ref="N2">RTD("tickerplantrtdserver",,"FWRC1#EURUSD#Month Wise Rates#0#S#PillarDate17")</f>
        <v>07-Jun-2021</v>
      </c>
      <c r="O2" s="75" t="str">
        <f t="array" ref="O2">RTD("tickerplantrtdserver",,"FWRC1#EURUSD#Month Wise Rates#0#S#PillarDate18")</f>
        <v>06-Jul-2021</v>
      </c>
      <c r="P2" s="30"/>
    </row>
    <row r="3" spans="1:18" s="14" customFormat="1" x14ac:dyDescent="0.25">
      <c r="A3" s="161" t="s">
        <v>4</v>
      </c>
      <c r="B3" s="162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6"/>
      <c r="P3" s="15"/>
    </row>
    <row r="4" spans="1:18" s="14" customFormat="1" x14ac:dyDescent="0.25">
      <c r="A4" s="159" t="s">
        <v>47</v>
      </c>
      <c r="B4" s="160"/>
      <c r="C4" s="65">
        <f t="array" ref="C4">RTD("tickerplantrtdserver",,"FWRC1#EURUSD#Month Wise Rates#0#BidPrice2")</f>
        <v>0.249</v>
      </c>
      <c r="D4" s="65">
        <f t="array" ref="D4">RTD("tickerplantrtdserver",,"FWRC1#EURUSD#Month Wise Rates#0#BidPrice7")</f>
        <v>7.57</v>
      </c>
      <c r="E4" s="65">
        <f t="array" ref="E4">RTD("tickerplantrtdserver",,"FWRC1#EURUSD#Month Wise Rates#0#BidPrice8")</f>
        <v>15.603999999999999</v>
      </c>
      <c r="F4" s="65">
        <f t="array" ref="F4">RTD("tickerplantrtdserver",,"FWRC1#EURUSD#Month Wise Rates#0#BidPrice9")</f>
        <v>22.99</v>
      </c>
      <c r="G4" s="65">
        <f t="array" ref="G4">RTD("tickerplantrtdserver",,"FWRC1#EURUSD#Month Wise Rates#0#BidPrice10")</f>
        <v>30.99</v>
      </c>
      <c r="H4" s="65">
        <f t="array" ref="H4">RTD("tickerplantrtdserver",,"FWRC1#EURUSD#Month Wise Rates#0#BidPrice11")</f>
        <v>37.659999999999997</v>
      </c>
      <c r="I4" s="65">
        <f t="array" ref="I4">RTD("tickerplantrtdserver",,"FWRC1#EURUSD#Month Wise Rates#0#BidPrice12")</f>
        <v>50.54</v>
      </c>
      <c r="J4" s="65">
        <f t="array" ref="J4">RTD("tickerplantrtdserver",,"FWRC1#EURUSD#Month Wise Rates#0#BidPrice13")</f>
        <v>58.33</v>
      </c>
      <c r="K4" s="65">
        <f t="array" ref="K4">RTD("tickerplantrtdserver",,"FWRC1#EURUSD#Month Wise Rates#0#BidPrice14")</f>
        <v>65.05</v>
      </c>
      <c r="L4" s="65">
        <f t="array" ref="L4">RTD("tickerplantrtdserver",,"FWRC1#EURUSD#Month Wise Rates#0#BidPrice15")</f>
        <v>73.3</v>
      </c>
      <c r="M4" s="65">
        <f t="array" ref="M4">RTD("tickerplantrtdserver",,"FWRC1#EURUSD#Month Wise Rates#0#BidPrice16")</f>
        <v>79.8</v>
      </c>
      <c r="N4" s="65">
        <f t="array" ref="N4">RTD("tickerplantrtdserver",,"FWRC1#EURUSD#Month Wise Rates#0#BidPrice17")</f>
        <v>88.88</v>
      </c>
      <c r="O4" s="67">
        <f t="array" ref="O4">RTD("tickerplantrtdserver",,"FWRC1#EURUSD#Month Wise Rates#0#BidPrice18")</f>
        <v>96.72</v>
      </c>
      <c r="P4" s="20"/>
    </row>
    <row r="5" spans="1:18" s="14" customFormat="1" x14ac:dyDescent="0.25">
      <c r="A5" s="159" t="s">
        <v>48</v>
      </c>
      <c r="B5" s="160"/>
      <c r="C5" s="65">
        <f t="array" ref="C5">RTD("tickerplantrtdserver",,"FWRC1#EURUSD#Month Wise Rates#0#AskPrice2")</f>
        <v>0.33200000000000002</v>
      </c>
      <c r="D5" s="65">
        <f t="array" ref="D5">RTD("tickerplantrtdserver",,"FWRC1#EURUSD#Month Wise Rates#0#AskPrice7")</f>
        <v>7.77</v>
      </c>
      <c r="E5" s="65">
        <f t="array" ref="E5">RTD("tickerplantrtdserver",,"FWRC1#EURUSD#Month Wise Rates#0#AskPrice8")</f>
        <v>15.635999999999999</v>
      </c>
      <c r="F5" s="65">
        <f t="array" ref="F5">RTD("tickerplantrtdserver",,"FWRC1#EURUSD#Month Wise Rates#0#AskPrice9")</f>
        <v>23.24</v>
      </c>
      <c r="G5" s="65">
        <f t="array" ref="G5">RTD("tickerplantrtdserver",,"FWRC1#EURUSD#Month Wise Rates#0#AskPrice10")</f>
        <v>31.42</v>
      </c>
      <c r="H5" s="65">
        <f t="array" ref="H5">RTD("tickerplantrtdserver",,"FWRC1#EURUSD#Month Wise Rates#0#AskPrice11")</f>
        <v>38.26</v>
      </c>
      <c r="I5" s="65">
        <f t="array" ref="I5">RTD("tickerplantrtdserver",,"FWRC1#EURUSD#Month Wise Rates#0#AskPrice12")</f>
        <v>51.34</v>
      </c>
      <c r="J5" s="65">
        <f t="array" ref="J5">RTD("tickerplantrtdserver",,"FWRC1#EURUSD#Month Wise Rates#0#AskPrice13")</f>
        <v>61.83</v>
      </c>
      <c r="K5" s="65">
        <f t="array" ref="K5">RTD("tickerplantrtdserver",,"FWRC1#EURUSD#Month Wise Rates#0#AskPrice14")</f>
        <v>67.25</v>
      </c>
      <c r="L5" s="65">
        <f t="array" ref="L5">RTD("tickerplantrtdserver",,"FWRC1#EURUSD#Month Wise Rates#0#AskPrice15")</f>
        <v>75.8</v>
      </c>
      <c r="M5" s="65">
        <f t="array" ref="M5">RTD("tickerplantrtdserver",,"FWRC1#EURUSD#Month Wise Rates#0#AskPrice16")</f>
        <v>84.8</v>
      </c>
      <c r="N5" s="65">
        <f t="array" ref="N5">RTD("tickerplantrtdserver",,"FWRC1#EURUSD#Month Wise Rates#0#AskPrice17")</f>
        <v>94.38</v>
      </c>
      <c r="O5" s="67">
        <f t="array" ref="O5">RTD("tickerplantrtdserver",,"FWRC1#EURUSD#Month Wise Rates#0#AskPrice18")</f>
        <v>99.62</v>
      </c>
      <c r="P5" s="20"/>
    </row>
    <row r="6" spans="1:18" s="14" customFormat="1" x14ac:dyDescent="0.25">
      <c r="A6" s="161" t="s">
        <v>3</v>
      </c>
      <c r="B6" s="162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6"/>
      <c r="P6" s="20"/>
    </row>
    <row r="7" spans="1:18" s="14" customFormat="1" x14ac:dyDescent="0.25">
      <c r="A7" s="159" t="s">
        <v>47</v>
      </c>
      <c r="B7" s="160"/>
      <c r="C7" s="64">
        <f t="array" ref="C7">RTD("tickerplantrtdserver",,"FWRC1#EURUSD#Month Wise Rates#0#FwdOutrightBid2")</f>
        <v>1.1228</v>
      </c>
      <c r="D7" s="64">
        <f t="array" ref="D7">RTD("tickerplantrtdserver",,"FWRC1#EURUSD#Month Wise Rates#0#FwdOutrightBid7")</f>
        <v>1.1235999999999999</v>
      </c>
      <c r="E7" s="64">
        <f t="array" ref="E7">RTD("tickerplantrtdserver",,"FWRC1#EURUSD#Month Wise Rates#0#FwdOutrightBid8")</f>
        <v>1.1245000000000001</v>
      </c>
      <c r="F7" s="64">
        <f t="array" ref="F7">RTD("tickerplantrtdserver",,"FWRC1#EURUSD#Month Wise Rates#0#FwdOutrightBid9")</f>
        <v>1.1252</v>
      </c>
      <c r="G7" s="64">
        <f t="array" ref="G7">RTD("tickerplantrtdserver",,"FWRC1#EURUSD#Month Wise Rates#0#FwdOutrightBid10")</f>
        <v>1.1258999999999999</v>
      </c>
      <c r="H7" s="64">
        <f t="array" ref="H7">RTD("tickerplantrtdserver",,"FWRC1#EURUSD#Month Wise Rates#0#FwdOutrightBid11")</f>
        <v>1.1266</v>
      </c>
      <c r="I7" s="64">
        <f t="array" ref="I7">RTD("tickerplantrtdserver",,"FWRC1#EURUSD#Month Wise Rates#0#FwdOutrightBid12")</f>
        <v>1.1278999999999999</v>
      </c>
      <c r="J7" s="64">
        <f t="array" ref="J7">RTD("tickerplantrtdserver",,"FWRC1#EURUSD#Month Wise Rates#0#FwdOutrightBid13")</f>
        <v>1.1287</v>
      </c>
      <c r="K7" s="64">
        <f t="array" ref="K7">RTD("tickerplantrtdserver",,"FWRC1#EURUSD#Month Wise Rates#0#FwdOutrightBid14")</f>
        <v>1.1294</v>
      </c>
      <c r="L7" s="64">
        <f t="array" ref="L7">RTD("tickerplantrtdserver",,"FWRC1#EURUSD#Month Wise Rates#0#FwdOutrightBid15")</f>
        <v>1.1302000000000001</v>
      </c>
      <c r="M7" s="64">
        <f t="array" ref="M7">RTD("tickerplantrtdserver",,"FWRC1#EURUSD#Month Wise Rates#0#FwdOutrightBid16")</f>
        <v>1.1309</v>
      </c>
      <c r="N7" s="64">
        <f t="array" ref="N7">RTD("tickerplantrtdserver",,"FWRC1#EURUSD#Month Wise Rates#0#FwdOutrightBid17")</f>
        <v>1.1317999999999999</v>
      </c>
      <c r="O7" s="68">
        <f t="array" ref="O7">RTD("tickerplantrtdserver",,"FWRC1#EURUSD#Month Wise Rates#0#FwdOutrightBid18")</f>
        <v>1.1326000000000001</v>
      </c>
      <c r="P7" s="20"/>
    </row>
    <row r="8" spans="1:18" s="14" customFormat="1" x14ac:dyDescent="0.25">
      <c r="A8" s="159" t="s">
        <v>48</v>
      </c>
      <c r="B8" s="160"/>
      <c r="C8" s="64">
        <f t="array" ref="C8">RTD("tickerplantrtdserver",,"FWRC1#EURUSD#Month Wise Rates#0#FwdOutrightAsk2")</f>
        <v>1.1231</v>
      </c>
      <c r="D8" s="64">
        <f t="array" ref="D8">RTD("tickerplantrtdserver",,"FWRC1#EURUSD#Month Wise Rates#0#FwdOutrightAsk7")</f>
        <v>1.1238999999999999</v>
      </c>
      <c r="E8" s="64">
        <f t="array" ref="E8">RTD("tickerplantrtdserver",,"FWRC1#EURUSD#Month Wise Rates#0#FwdOutrightAsk8")</f>
        <v>1.1245000000000001</v>
      </c>
      <c r="F8" s="64">
        <f t="array" ref="F8">RTD("tickerplantrtdserver",,"FWRC1#EURUSD#Month Wise Rates#0#FwdOutrightAsk9")</f>
        <v>1.1253</v>
      </c>
      <c r="G8" s="64">
        <f t="array" ref="G8">RTD("tickerplantrtdserver",,"FWRC1#EURUSD#Month Wise Rates#0#FwdOutrightAsk10")</f>
        <v>1.1259999999999999</v>
      </c>
      <c r="H8" s="64">
        <f t="array" ref="H8">RTD("tickerplantrtdserver",,"FWRC1#EURUSD#Month Wise Rates#0#FwdOutrightAsk11")</f>
        <v>1.127</v>
      </c>
      <c r="I8" s="64">
        <f t="array" ref="I8">RTD("tickerplantrtdserver",,"FWRC1#EURUSD#Month Wise Rates#0#FwdOutrightAsk12")</f>
        <v>1.1282000000000001</v>
      </c>
      <c r="J8" s="64">
        <f t="array" ref="J8">RTD("tickerplantrtdserver",,"FWRC1#EURUSD#Month Wise Rates#0#FwdOutrightAsk13")</f>
        <v>1.1294</v>
      </c>
      <c r="K8" s="64">
        <f t="array" ref="K8">RTD("tickerplantrtdserver",,"FWRC1#EURUSD#Month Wise Rates#0#FwdOutrightAsk14")</f>
        <v>1.1296999999999999</v>
      </c>
      <c r="L8" s="64">
        <f t="array" ref="L8">RTD("tickerplantrtdserver",,"FWRC1#EURUSD#Month Wise Rates#0#FwdOutrightAsk15")</f>
        <v>1.1309</v>
      </c>
      <c r="M8" s="64">
        <f t="array" ref="M8">RTD("tickerplantrtdserver",,"FWRC1#EURUSD#Month Wise Rates#0#FwdOutrightAsk16")</f>
        <v>1.1315</v>
      </c>
      <c r="N8" s="64">
        <f t="array" ref="N8">RTD("tickerplantrtdserver",,"FWRC1#EURUSD#Month Wise Rates#0#FwdOutrightAsk17")</f>
        <v>1.1325000000000001</v>
      </c>
      <c r="O8" s="68">
        <f t="array" ref="O8">RTD("tickerplantrtdserver",,"FWRC1#EURUSD#Month Wise Rates#0#FwdOutrightAsk18")</f>
        <v>1.133</v>
      </c>
    </row>
    <row r="9" spans="1:18" s="14" customFormat="1" x14ac:dyDescent="0.25">
      <c r="A9" s="161" t="s">
        <v>2</v>
      </c>
      <c r="B9" s="162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6"/>
    </row>
    <row r="10" spans="1:18" s="14" customFormat="1" x14ac:dyDescent="0.25">
      <c r="A10" s="159" t="s">
        <v>47</v>
      </c>
      <c r="B10" s="160"/>
      <c r="C10" s="65">
        <f>RTD("tickerplantrtdserver",,"FWRC1#EURUSD#Month Wise Rates#0#Bid%2")</f>
        <v>0.2697</v>
      </c>
      <c r="D10" s="65">
        <f t="array" ref="D10">RTD("tickerplantrtdserver",,"FWRC1#EURUSD#Month Wise Rates#0#Bid%7")</f>
        <v>0.79359999999999997</v>
      </c>
      <c r="E10" s="65">
        <f t="array" ref="E10">RTD("tickerplantrtdserver",,"FWRC1#EURUSD#Month Wise Rates#0#Bid%8")</f>
        <v>0.79249999999999998</v>
      </c>
      <c r="F10" s="65">
        <f t="array" ref="F10">RTD("tickerplantrtdserver",,"FWRC1#EURUSD#Month Wise Rates#0#Bid%9")</f>
        <v>0.81220000000000003</v>
      </c>
      <c r="G10" s="65">
        <f t="array" ref="G10">RTD("tickerplantrtdserver",,"FWRC1#EURUSD#Month Wise Rates#0#Bid%10")</f>
        <v>0.81899999999999995</v>
      </c>
      <c r="H10" s="65">
        <f t="array" ref="H10">RTD("tickerplantrtdserver",,"FWRC1#EURUSD#Month Wise Rates#0#Bid%11")</f>
        <v>0.79469999999999996</v>
      </c>
      <c r="I10" s="65">
        <f t="array" ref="I10">RTD("tickerplantrtdserver",,"FWRC1#EURUSD#Month Wise Rates#0#Bid%12")</f>
        <v>0.89270000000000005</v>
      </c>
      <c r="J10" s="65">
        <f t="array" ref="J10">RTD("tickerplantrtdserver",,"FWRC1#EURUSD#Month Wise Rates#0#Bid%13")</f>
        <v>0.87350000000000005</v>
      </c>
      <c r="K10" s="65">
        <f t="array" ref="K10">RTD("tickerplantrtdserver",,"FWRC1#EURUSD#Month Wise Rates#0#Bid%14")</f>
        <v>0.86299999999999999</v>
      </c>
      <c r="L10" s="65">
        <f t="array" ref="L10">RTD("tickerplantrtdserver",,"FWRC1#EURUSD#Month Wise Rates#0#Bid%15")</f>
        <v>0.86929999999999996</v>
      </c>
      <c r="M10" s="65">
        <f t="array" ref="M10">RTD("tickerplantrtdserver",,"FWRC1#EURUSD#Month Wise Rates#0#Bid%16")</f>
        <v>0.85319999999999996</v>
      </c>
      <c r="N10" s="65">
        <f t="array" ref="N10">RTD("tickerplantrtdserver",,"FWRC1#EURUSD#Month Wise Rates#0#Bid%17")</f>
        <v>0.85970000000000002</v>
      </c>
      <c r="O10" s="67">
        <f t="array" ref="O10">RTD("tickerplantrtdserver",,"FWRC1#EURUSD#Month Wise Rates#0#Bid%18")</f>
        <v>0.86129999999999995</v>
      </c>
    </row>
    <row r="11" spans="1:18" s="14" customFormat="1" ht="15.75" thickBot="1" x14ac:dyDescent="0.3">
      <c r="A11" s="163" t="s">
        <v>48</v>
      </c>
      <c r="B11" s="164"/>
      <c r="C11" s="69">
        <f t="array" ref="C11">RTD("tickerplantrtdserver",,"FWRC1#EURUSD#Month Wise Rates#0#Ask%2")</f>
        <v>0.35980000000000001</v>
      </c>
      <c r="D11" s="69">
        <f t="array" ref="D11">RTD("tickerplantrtdserver",,"FWRC1#EURUSD#Month Wise Rates#0#Ask%7")</f>
        <v>0.81479999999999997</v>
      </c>
      <c r="E11" s="69">
        <f t="array" ref="E11">RTD("tickerplantrtdserver",,"FWRC1#EURUSD#Month Wise Rates#0#Ask%8")</f>
        <v>0.79410000000000003</v>
      </c>
      <c r="F11" s="69">
        <f t="array" ref="F11">RTD("tickerplantrtdserver",,"FWRC1#EURUSD#Month Wise Rates#0#Ask%9")</f>
        <v>0.82110000000000005</v>
      </c>
      <c r="G11" s="69">
        <f t="array" ref="G11">RTD("tickerplantrtdserver",,"FWRC1#EURUSD#Month Wise Rates#0#Ask%10")</f>
        <v>0.83040000000000003</v>
      </c>
      <c r="H11" s="69">
        <f t="array" ref="H11">RTD("tickerplantrtdserver",,"FWRC1#EURUSD#Month Wise Rates#0#Ask%11")</f>
        <v>0.80759999999999998</v>
      </c>
      <c r="I11" s="69">
        <f t="array" ref="I11">RTD("tickerplantrtdserver",,"FWRC1#EURUSD#Month Wise Rates#0#Ask%12")</f>
        <v>0.90700000000000003</v>
      </c>
      <c r="J11" s="69">
        <f t="array" ref="J11">RTD("tickerplantrtdserver",,"FWRC1#EURUSD#Month Wise Rates#0#Ask%13")</f>
        <v>0.92620000000000002</v>
      </c>
      <c r="K11" s="69">
        <f t="array" ref="K11">RTD("tickerplantrtdserver",,"FWRC1#EURUSD#Month Wise Rates#0#Ask%14")</f>
        <v>0.89219999999999999</v>
      </c>
      <c r="L11" s="69">
        <f t="array" ref="L11">RTD("tickerplantrtdserver",,"FWRC1#EURUSD#Month Wise Rates#0#Ask%15")</f>
        <v>0.8992</v>
      </c>
      <c r="M11" s="69">
        <f t="array" ref="M11">RTD("tickerplantrtdserver",,"FWRC1#EURUSD#Month Wise Rates#0#Ask%16")</f>
        <v>0.90669999999999995</v>
      </c>
      <c r="N11" s="69">
        <f t="array" ref="N11">RTD("tickerplantrtdserver",,"FWRC1#EURUSD#Month Wise Rates#0#Ask%17")</f>
        <v>0.91310000000000002</v>
      </c>
      <c r="O11" s="70">
        <f t="array" ref="O11">RTD("tickerplantrtdserver",,"FWRC1#EURUSD#Month Wise Rates#0#Ask%18")</f>
        <v>0.88719999999999999</v>
      </c>
    </row>
    <row r="12" spans="1:18" s="14" customFormat="1" ht="15.7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 x14ac:dyDescent="0.25">
      <c r="A13" s="13"/>
      <c r="B13" s="21"/>
      <c r="C13" s="21"/>
      <c r="D13" s="20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 x14ac:dyDescent="0.25">
      <c r="A14" s="13"/>
      <c r="B14" s="21"/>
      <c r="C14" s="21"/>
      <c r="D14" s="58"/>
      <c r="E14" s="21"/>
      <c r="F14" s="33"/>
      <c r="G14" s="34"/>
      <c r="H14" s="34"/>
      <c r="I14" s="34"/>
      <c r="J14" s="21"/>
      <c r="L14" s="58"/>
      <c r="M14" s="58"/>
      <c r="N14" s="58"/>
      <c r="P14" s="31"/>
      <c r="Q14" s="31"/>
      <c r="R14" s="31"/>
    </row>
    <row r="15" spans="1:18" s="14" customFormat="1" x14ac:dyDescent="0.25">
      <c r="A15" s="13"/>
      <c r="B15" s="21"/>
      <c r="C15" s="21"/>
      <c r="D15" s="58"/>
      <c r="E15" s="58"/>
      <c r="G15" s="13"/>
      <c r="H15" s="58"/>
      <c r="I15" s="58"/>
      <c r="J15" s="58"/>
      <c r="L15" s="15"/>
      <c r="M15" s="15"/>
      <c r="N15" s="15"/>
      <c r="P15" s="15"/>
      <c r="Q15" s="15"/>
      <c r="R15" s="15"/>
    </row>
    <row r="16" spans="1:18" s="14" customFormat="1" x14ac:dyDescent="0.25">
      <c r="A16" s="15"/>
      <c r="B16" s="21"/>
      <c r="C16" s="21"/>
      <c r="D16" s="58"/>
      <c r="E16" s="58"/>
      <c r="G16" s="15"/>
      <c r="H16" s="58"/>
      <c r="I16" s="58"/>
      <c r="J16" s="58"/>
      <c r="L16" s="13"/>
      <c r="P16" s="13"/>
    </row>
    <row r="17" spans="1:20" s="14" customFormat="1" x14ac:dyDescent="0.25">
      <c r="A17" s="13"/>
      <c r="B17" s="21"/>
      <c r="C17" s="21"/>
      <c r="D17" s="58"/>
      <c r="E17" s="58"/>
      <c r="G17" s="13"/>
      <c r="H17" s="58"/>
      <c r="I17" s="58"/>
      <c r="J17" s="58"/>
      <c r="L17" s="15"/>
      <c r="M17" s="15"/>
      <c r="N17" s="15"/>
      <c r="P17" s="15"/>
      <c r="Q17" s="15"/>
      <c r="R17" s="15"/>
    </row>
    <row r="18" spans="1:20" s="14" customFormat="1" x14ac:dyDescent="0.25">
      <c r="A18" s="15"/>
      <c r="B18" s="21"/>
      <c r="C18" s="21"/>
      <c r="D18" s="58"/>
      <c r="E18" s="58"/>
      <c r="G18" s="15"/>
      <c r="H18" s="58"/>
      <c r="I18" s="58"/>
      <c r="J18" s="58"/>
      <c r="L18" s="13"/>
      <c r="P18" s="13"/>
    </row>
    <row r="19" spans="1:20" s="14" customFormat="1" x14ac:dyDescent="0.25">
      <c r="A19" s="13"/>
      <c r="B19" s="21"/>
      <c r="C19" s="21"/>
      <c r="D19" s="58"/>
      <c r="E19" s="58"/>
      <c r="G19" s="13"/>
      <c r="H19" s="58"/>
      <c r="I19" s="58"/>
      <c r="J19" s="58"/>
      <c r="L19" s="15"/>
      <c r="M19" s="15"/>
      <c r="N19" s="15"/>
      <c r="P19" s="15"/>
      <c r="Q19" s="15"/>
      <c r="R19" s="15"/>
    </row>
    <row r="20" spans="1:20" s="14" customFormat="1" x14ac:dyDescent="0.25">
      <c r="A20" s="15"/>
      <c r="B20" s="21"/>
      <c r="C20" s="21"/>
      <c r="D20" s="58"/>
      <c r="E20" s="58"/>
      <c r="G20" s="15"/>
      <c r="H20" s="58"/>
      <c r="I20" s="58"/>
      <c r="J20" s="58"/>
      <c r="L20" s="13"/>
      <c r="P20" s="13"/>
    </row>
    <row r="21" spans="1:20" x14ac:dyDescent="0.25">
      <c r="A21" s="13"/>
      <c r="B21" s="21"/>
      <c r="C21" s="21"/>
      <c r="D21" s="58"/>
      <c r="E21" s="58"/>
      <c r="F21" s="14"/>
      <c r="G21" s="13"/>
      <c r="H21" s="58"/>
      <c r="I21" s="58"/>
      <c r="J21" s="58"/>
      <c r="K21" s="14"/>
      <c r="L21" s="15"/>
      <c r="M21" s="15"/>
      <c r="N21" s="15"/>
      <c r="O21" s="14"/>
      <c r="P21" s="15"/>
      <c r="Q21" s="15"/>
      <c r="R21" s="15"/>
      <c r="S21" s="14"/>
      <c r="T21" s="14"/>
    </row>
    <row r="22" spans="1:20" x14ac:dyDescent="0.25">
      <c r="A22" s="15"/>
      <c r="B22" s="21"/>
      <c r="C22" s="21"/>
      <c r="D22" s="58"/>
      <c r="E22" s="58"/>
      <c r="F22" s="14"/>
      <c r="G22" s="15"/>
      <c r="H22" s="58"/>
      <c r="I22" s="58"/>
      <c r="J22" s="58"/>
      <c r="K22" s="14"/>
      <c r="L22" s="13"/>
      <c r="M22" s="14"/>
      <c r="N22" s="14"/>
      <c r="O22" s="14"/>
      <c r="P22" s="13"/>
      <c r="Q22" s="14"/>
      <c r="R22" s="14"/>
      <c r="S22" s="14"/>
      <c r="T22" s="14"/>
    </row>
    <row r="23" spans="1:20" x14ac:dyDescent="0.25">
      <c r="A23" s="13"/>
      <c r="B23" s="21"/>
      <c r="C23" s="21"/>
      <c r="D23" s="58"/>
      <c r="E23" s="58"/>
      <c r="F23" s="14"/>
      <c r="G23" s="13"/>
      <c r="H23" s="58"/>
      <c r="I23" s="58"/>
      <c r="J23" s="58"/>
      <c r="K23" s="14"/>
      <c r="L23" s="15"/>
      <c r="M23" s="15"/>
      <c r="N23" s="15"/>
      <c r="O23" s="14"/>
      <c r="P23" s="15"/>
      <c r="Q23" s="15"/>
      <c r="R23" s="15"/>
      <c r="S23" s="14"/>
      <c r="T23" s="14"/>
    </row>
    <row r="24" spans="1:20" s="2" customFormat="1" x14ac:dyDescent="0.25">
      <c r="A24" s="15"/>
      <c r="B24" s="21"/>
      <c r="C24" s="21"/>
      <c r="D24" s="58"/>
      <c r="E24" s="58"/>
      <c r="F24" s="14"/>
      <c r="G24" s="15"/>
      <c r="H24" s="58"/>
      <c r="I24" s="58"/>
      <c r="J24" s="58"/>
      <c r="K24" s="14"/>
      <c r="L24" s="13"/>
      <c r="M24" s="14"/>
      <c r="N24" s="14"/>
      <c r="O24" s="14"/>
      <c r="P24" s="13"/>
      <c r="Q24" s="14"/>
      <c r="R24" s="14"/>
      <c r="S24" s="14"/>
      <c r="T24" s="14"/>
    </row>
    <row r="25" spans="1:20" x14ac:dyDescent="0.25">
      <c r="A25" s="13"/>
      <c r="B25" s="21"/>
      <c r="C25" s="21"/>
      <c r="D25" s="58"/>
      <c r="E25" s="58"/>
      <c r="F25" s="14"/>
      <c r="G25" s="13"/>
      <c r="H25" s="58"/>
      <c r="I25" s="58"/>
      <c r="J25" s="58"/>
      <c r="K25" s="14"/>
      <c r="L25" s="15"/>
      <c r="M25" s="15"/>
      <c r="N25" s="15"/>
      <c r="O25" s="14"/>
      <c r="P25" s="15"/>
      <c r="Q25" s="15"/>
      <c r="R25" s="15"/>
      <c r="S25" s="14"/>
      <c r="T25" s="14"/>
    </row>
    <row r="26" spans="1:20" x14ac:dyDescent="0.25">
      <c r="A26" s="15"/>
      <c r="B26" s="21"/>
      <c r="C26" s="21"/>
      <c r="D26" s="58"/>
      <c r="E26" s="58"/>
      <c r="F26" s="14"/>
      <c r="G26" s="15"/>
      <c r="H26" s="58"/>
      <c r="I26" s="58"/>
      <c r="J26" s="58"/>
      <c r="K26" s="14"/>
      <c r="L26" s="13"/>
      <c r="M26" s="14"/>
      <c r="N26" s="14"/>
      <c r="O26" s="14"/>
      <c r="P26" s="13"/>
      <c r="Q26" s="14"/>
      <c r="R26" s="14"/>
      <c r="S26" s="14"/>
      <c r="T26" s="14"/>
    </row>
    <row r="27" spans="1:20" x14ac:dyDescent="0.25">
      <c r="A27" s="13"/>
      <c r="B27" s="21"/>
      <c r="C27" s="21"/>
      <c r="D27" s="58"/>
      <c r="E27" s="58"/>
      <c r="F27" s="14"/>
      <c r="G27" s="13"/>
      <c r="H27" s="58"/>
      <c r="I27" s="58"/>
      <c r="J27" s="58"/>
      <c r="K27" s="14"/>
      <c r="L27" s="15"/>
      <c r="M27" s="15"/>
      <c r="N27" s="15"/>
      <c r="O27" s="14"/>
      <c r="P27" s="15"/>
      <c r="Q27" s="15"/>
      <c r="R27" s="15"/>
      <c r="S27" s="14"/>
      <c r="T27" s="14"/>
    </row>
    <row r="28" spans="1:20" x14ac:dyDescent="0.25">
      <c r="A28" s="15"/>
      <c r="B28" s="21"/>
      <c r="C28" s="21"/>
      <c r="D28" s="58"/>
      <c r="E28" s="58"/>
      <c r="F28" s="14"/>
      <c r="G28" s="15"/>
      <c r="H28" s="58"/>
      <c r="I28" s="58"/>
      <c r="J28" s="58"/>
      <c r="K28" s="14"/>
      <c r="L28" s="13"/>
      <c r="M28" s="14"/>
      <c r="N28" s="14"/>
      <c r="O28" s="14"/>
      <c r="P28" s="13"/>
      <c r="Q28" s="14"/>
      <c r="R28" s="14"/>
      <c r="S28" s="14"/>
      <c r="T28" s="14"/>
    </row>
    <row r="29" spans="1:20" x14ac:dyDescent="0.25">
      <c r="A29" s="13"/>
      <c r="B29" s="21"/>
      <c r="C29" s="21"/>
      <c r="D29" s="58"/>
      <c r="E29" s="58"/>
      <c r="F29" s="14"/>
      <c r="G29" s="13"/>
      <c r="H29" s="58"/>
      <c r="I29" s="58"/>
      <c r="J29" s="58"/>
      <c r="K29" s="14"/>
      <c r="L29" s="15"/>
      <c r="M29" s="15"/>
      <c r="N29" s="15"/>
      <c r="O29" s="14"/>
      <c r="P29" s="15"/>
      <c r="Q29" s="15"/>
      <c r="R29" s="15"/>
      <c r="S29" s="14"/>
      <c r="T29" s="14"/>
    </row>
    <row r="30" spans="1:20" x14ac:dyDescent="0.25">
      <c r="A30" s="15"/>
      <c r="B30" s="21"/>
      <c r="C30" s="21"/>
      <c r="D30" s="58"/>
      <c r="E30" s="58"/>
      <c r="F30" s="14"/>
      <c r="G30" s="15"/>
      <c r="H30" s="58"/>
      <c r="I30" s="58"/>
      <c r="J30" s="58"/>
      <c r="K30" s="14"/>
      <c r="L30" s="13"/>
      <c r="M30" s="14"/>
      <c r="N30" s="14"/>
      <c r="O30" s="14"/>
      <c r="P30" s="13"/>
      <c r="Q30" s="14"/>
      <c r="R30" s="14"/>
      <c r="S30" s="14"/>
      <c r="T30" s="14"/>
    </row>
    <row r="31" spans="1:20" x14ac:dyDescent="0.25">
      <c r="A31" s="13"/>
      <c r="B31" s="21"/>
      <c r="C31" s="21"/>
      <c r="D31" s="58"/>
      <c r="E31" s="58"/>
      <c r="F31" s="14"/>
      <c r="G31" s="13"/>
      <c r="H31" s="58"/>
      <c r="I31" s="58"/>
      <c r="J31" s="58"/>
      <c r="K31" s="14"/>
      <c r="L31" s="15"/>
      <c r="M31" s="15"/>
      <c r="N31" s="15"/>
      <c r="O31" s="14"/>
      <c r="P31" s="15"/>
      <c r="Q31" s="15"/>
      <c r="R31" s="15"/>
      <c r="S31" s="14"/>
      <c r="T31" s="14"/>
    </row>
    <row r="32" spans="1:20" x14ac:dyDescent="0.25">
      <c r="A32" s="15"/>
      <c r="B32" s="21"/>
      <c r="C32" s="21"/>
      <c r="D32" s="58"/>
      <c r="E32" s="58"/>
      <c r="F32" s="14"/>
      <c r="G32" s="15"/>
      <c r="H32" s="58"/>
      <c r="I32" s="58"/>
      <c r="J32" s="58"/>
      <c r="K32" s="14"/>
      <c r="L32" s="13"/>
      <c r="M32" s="14"/>
      <c r="N32" s="14"/>
      <c r="O32" s="14"/>
      <c r="P32" s="13"/>
      <c r="Q32" s="14"/>
      <c r="R32" s="14"/>
      <c r="S32" s="14"/>
      <c r="T32" s="14"/>
    </row>
    <row r="33" spans="1:20" x14ac:dyDescent="0.25">
      <c r="A33" s="13"/>
      <c r="B33" s="21"/>
      <c r="C33" s="21"/>
      <c r="D33" s="58"/>
      <c r="E33" s="58"/>
      <c r="F33" s="14"/>
      <c r="G33" s="13"/>
      <c r="H33" s="58"/>
      <c r="I33" s="58"/>
      <c r="J33" s="58"/>
      <c r="K33" s="14"/>
      <c r="L33" s="15"/>
      <c r="M33" s="15"/>
      <c r="N33" s="15"/>
      <c r="O33" s="14"/>
      <c r="P33" s="15"/>
      <c r="Q33" s="15"/>
      <c r="R33" s="15"/>
      <c r="S33" s="14"/>
      <c r="T33" s="14"/>
    </row>
    <row r="34" spans="1:20" x14ac:dyDescent="0.25">
      <c r="A34" s="15"/>
      <c r="B34" s="21"/>
      <c r="C34" s="21"/>
      <c r="D34" s="58"/>
      <c r="E34" s="58"/>
      <c r="F34" s="14"/>
      <c r="G34" s="15"/>
      <c r="H34" s="58"/>
      <c r="I34" s="58"/>
      <c r="J34" s="58"/>
      <c r="K34" s="14"/>
      <c r="L34" s="13"/>
      <c r="M34" s="14"/>
      <c r="N34" s="14"/>
      <c r="O34" s="14"/>
      <c r="P34" s="13"/>
      <c r="Q34" s="14"/>
      <c r="R34" s="14"/>
      <c r="S34" s="14"/>
      <c r="T34" s="14"/>
    </row>
    <row r="36" spans="1:20" x14ac:dyDescent="0.25">
      <c r="A36" s="1"/>
      <c r="B36" s="1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R36"/>
  <sheetViews>
    <sheetView workbookViewId="0">
      <selection activeCell="L16" sqref="L16"/>
    </sheetView>
  </sheetViews>
  <sheetFormatPr defaultRowHeight="15" x14ac:dyDescent="0.25"/>
  <cols>
    <col min="3" max="3" width="9.85546875" bestFit="1" customWidth="1"/>
    <col min="4" max="4" width="9.28515625" bestFit="1" customWidth="1"/>
    <col min="5" max="5" width="8.85546875" bestFit="1" customWidth="1"/>
    <col min="6" max="7" width="9.42578125" bestFit="1" customWidth="1"/>
    <col min="8" max="8" width="9.28515625" bestFit="1" customWidth="1"/>
    <col min="9" max="10" width="9.5703125" bestFit="1" customWidth="1"/>
    <col min="11" max="11" width="9.28515625" bestFit="1" customWidth="1"/>
    <col min="12" max="12" width="9.42578125" bestFit="1" customWidth="1"/>
    <col min="13" max="13" width="9.7109375" bestFit="1" customWidth="1"/>
    <col min="14" max="14" width="9.28515625" bestFit="1" customWidth="1"/>
    <col min="15" max="15" width="9.8554687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 x14ac:dyDescent="0.25">
      <c r="A1" s="157" t="s">
        <v>6</v>
      </c>
      <c r="B1" s="158"/>
      <c r="C1" s="76" t="str">
        <f t="array" ref="C1">RTD("tickerplantrtdserver",,"FWRC1#GBPUSD#Month Wise Rates#0#S#Desc.2")</f>
        <v>TN</v>
      </c>
      <c r="D1" s="76" t="str">
        <f t="array" ref="D1">RTD("tickerplantrtdserver",,"FWRC1#GBPUSD#Month Wise Rates#0#S#Desc.7")</f>
        <v>1M</v>
      </c>
      <c r="E1" s="76" t="str">
        <f t="array" ref="E1">RTD("tickerplantrtdserver",,"FWRC1#GBPUSD#Month Wise Rates#0#S#Desc.8")</f>
        <v>2M</v>
      </c>
      <c r="F1" s="76" t="str">
        <f t="array" ref="F1">RTD("tickerplantrtdserver",,"FWRC1#GBPUSD#Month Wise Rates#0#S#Desc.9")</f>
        <v>3M</v>
      </c>
      <c r="G1" s="76" t="str">
        <f t="array" ref="G1">RTD("tickerplantrtdserver",,"FWRC1#GBPUSD#Month Wise Rates#0#S#Desc.10")</f>
        <v>4M</v>
      </c>
      <c r="H1" s="76" t="str">
        <f t="array" ref="H1">RTD("tickerplantrtdserver",,"FWRC1#GBPUSD#Month Wise Rates#0#S#Desc.11")</f>
        <v>5M</v>
      </c>
      <c r="I1" s="76" t="str">
        <f t="array" ref="I1">RTD("tickerplantrtdserver",,"FWRC1#GBPUSD#Month Wise Rates#0#S#Desc.12")</f>
        <v>6M</v>
      </c>
      <c r="J1" s="76" t="str">
        <f t="array" ref="J1">RTD("tickerplantrtdserver",,"FWRC1#GBPUSD#Month Wise Rates#0#S#Desc.13")</f>
        <v>7M</v>
      </c>
      <c r="K1" s="76" t="str">
        <f t="array" ref="K1">RTD("tickerplantrtdserver",,"FWRC1#GBPUSD#Month Wise Rates#0#S#Desc.14")</f>
        <v>8M</v>
      </c>
      <c r="L1" s="76" t="str">
        <f t="array" ref="L1">RTD("tickerplantrtdserver",,"FWRC1#GBPUSD#Month Wise Rates#0#S#Desc.15")</f>
        <v>9M</v>
      </c>
      <c r="M1" s="76" t="str">
        <f t="array" ref="M1">RTD("tickerplantrtdserver",,"FWRC1#GBPUSD#Month Wise Rates#0#S#Desc.16")</f>
        <v>10M</v>
      </c>
      <c r="N1" s="76" t="str">
        <f t="array" ref="N1">RTD("tickerplantrtdserver",,"FWRC1#GBPUSD#Month Wise Rates#0#S#Desc.17")</f>
        <v>11M</v>
      </c>
      <c r="O1" s="77" t="str">
        <f t="array" ref="O1">RTD("tickerplantrtdserver",,"FWRC1#GBPUSD#Month Wise Rates#0#S#Desc.18")</f>
        <v>12M</v>
      </c>
    </row>
    <row r="2" spans="1:18" s="14" customFormat="1" ht="15.75" customHeight="1" x14ac:dyDescent="0.25">
      <c r="A2" s="159" t="s">
        <v>5</v>
      </c>
      <c r="B2" s="160"/>
      <c r="C2" s="71" t="str">
        <f t="array" ref="C2">RTD("tickerplantrtdserver",,"FWRC1#GBPUSD#Month Wise Rates#0#S#PillarDate2")</f>
        <v>06-Jul-2020</v>
      </c>
      <c r="D2" s="71" t="str">
        <f t="array" ref="D2">RTD("tickerplantrtdserver",,"FWRC1#GBPUSD#Month Wise Rates#0#S#PillarDate7")</f>
        <v>06-Aug-2020</v>
      </c>
      <c r="E2" s="71" t="str">
        <f t="array" ref="E2">RTD("tickerplantrtdserver",,"FWRC1#GBPUSD#Month Wise Rates#0#S#PillarDate8")</f>
        <v>08-Sep-2020</v>
      </c>
      <c r="F2" s="71" t="str">
        <f t="array" ref="F2">RTD("tickerplantrtdserver",,"FWRC1#GBPUSD#Month Wise Rates#0#S#PillarDate9")</f>
        <v>06-Oct-2020</v>
      </c>
      <c r="G2" s="71" t="str">
        <f t="array" ref="G2">RTD("tickerplantrtdserver",,"FWRC1#GBPUSD#Month Wise Rates#0#S#PillarDate10")</f>
        <v>06-Nov-2020</v>
      </c>
      <c r="H2" s="71" t="str">
        <f t="array" ref="H2">RTD("tickerplantrtdserver",,"FWRC1#GBPUSD#Month Wise Rates#0#S#PillarDate11")</f>
        <v>07-Dec-2020</v>
      </c>
      <c r="I2" s="71" t="str">
        <f t="array" ref="I2">RTD("tickerplantrtdserver",,"FWRC1#GBPUSD#Month Wise Rates#0#S#PillarDate12")</f>
        <v>06-Jan-2021</v>
      </c>
      <c r="J2" s="71" t="str">
        <f t="array" ref="J2">RTD("tickerplantrtdserver",,"FWRC1#GBPUSD#Month Wise Rates#0#S#PillarDate13")</f>
        <v>08-Feb-2021</v>
      </c>
      <c r="K2" s="71" t="str">
        <f t="array" ref="K2">RTD("tickerplantrtdserver",,"FWRC1#GBPUSD#Month Wise Rates#0#S#PillarDate14")</f>
        <v>08-Mar-2021</v>
      </c>
      <c r="L2" s="71" t="str">
        <f t="array" ref="L2">RTD("tickerplantrtdserver",,"FWRC1#GBPUSD#Month Wise Rates#0#S#PillarDate15")</f>
        <v>06-Apr-2021</v>
      </c>
      <c r="M2" s="71" t="str">
        <f t="array" ref="M2">RTD("tickerplantrtdserver",,"FWRC1#GBPUSD#Month Wise Rates#0#S#PillarDate16")</f>
        <v>06-May-2021</v>
      </c>
      <c r="N2" s="71" t="str">
        <f t="array" ref="N2">RTD("tickerplantrtdserver",,"FWRC1#GBPUSD#Month Wise Rates#0#S#PillarDate17")</f>
        <v>07-Jun-2021</v>
      </c>
      <c r="O2" s="75" t="str">
        <f t="array" ref="O2">RTD("tickerplantrtdserver",,"FWRC1#GBPUSD#Month Wise Rates#0#S#PillarDate18")</f>
        <v>06-Jul-2021</v>
      </c>
      <c r="P2" s="30"/>
    </row>
    <row r="3" spans="1:18" s="14" customFormat="1" x14ac:dyDescent="0.25">
      <c r="A3" s="161" t="s">
        <v>4</v>
      </c>
      <c r="B3" s="162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6"/>
      <c r="P3" s="15"/>
    </row>
    <row r="4" spans="1:18" s="14" customFormat="1" x14ac:dyDescent="0.25">
      <c r="A4" s="159" t="s">
        <v>47</v>
      </c>
      <c r="B4" s="160"/>
      <c r="C4" s="65">
        <f t="array" ref="C4">RTD("tickerplantrtdserver",,"FWRC1#GBPUSD#Month Wise Rates#0#BidPrice2")</f>
        <v>3.5999999999999997E-2</v>
      </c>
      <c r="D4" s="65">
        <f t="array" ref="D4">RTD("tickerplantrtdserver",,"FWRC1#GBPUSD#Month Wise Rates#0#BidPrice7")</f>
        <v>2.21</v>
      </c>
      <c r="E4" s="65">
        <f t="array" ref="E4">RTD("tickerplantrtdserver",,"FWRC1#GBPUSD#Month Wise Rates#0#BidPrice8")</f>
        <v>4.16</v>
      </c>
      <c r="F4" s="65">
        <f t="array" ref="F4">RTD("tickerplantrtdserver",,"FWRC1#GBPUSD#Month Wise Rates#0#BidPrice9")</f>
        <v>6.11</v>
      </c>
      <c r="G4" s="65">
        <f t="array" ref="G4">RTD("tickerplantrtdserver",,"FWRC1#GBPUSD#Month Wise Rates#0#BidPrice10")</f>
        <v>7.65</v>
      </c>
      <c r="H4" s="65">
        <f t="array" ref="H4">RTD("tickerplantrtdserver",,"FWRC1#GBPUSD#Month Wise Rates#0#BidPrice11")</f>
        <v>8.84</v>
      </c>
      <c r="I4" s="65">
        <f t="array" ref="I4">RTD("tickerplantrtdserver",,"FWRC1#GBPUSD#Month Wise Rates#0#BidPrice12")</f>
        <v>14.61</v>
      </c>
      <c r="J4" s="65">
        <f t="array" ref="J4">RTD("tickerplantrtdserver",,"FWRC1#GBPUSD#Month Wise Rates#0#BidPrice13")</f>
        <v>15.74</v>
      </c>
      <c r="K4" s="65">
        <f t="array" ref="K4">RTD("tickerplantrtdserver",,"FWRC1#GBPUSD#Month Wise Rates#0#BidPrice14")</f>
        <v>16.8</v>
      </c>
      <c r="L4" s="65">
        <f t="array" ref="L4">RTD("tickerplantrtdserver",,"FWRC1#GBPUSD#Month Wise Rates#0#BidPrice15")</f>
        <v>18.899999999999999</v>
      </c>
      <c r="M4" s="65">
        <f t="array" ref="M4">RTD("tickerplantrtdserver",,"FWRC1#GBPUSD#Month Wise Rates#0#BidPrice16")</f>
        <v>19.7</v>
      </c>
      <c r="N4" s="65">
        <f t="array" ref="N4">RTD("tickerplantrtdserver",,"FWRC1#GBPUSD#Month Wise Rates#0#BidPrice17")</f>
        <v>20.399999999999999</v>
      </c>
      <c r="O4" s="67">
        <f t="array" ref="O4">RTD("tickerplantrtdserver",,"FWRC1#GBPUSD#Month Wise Rates#0#BidPrice18")</f>
        <v>21.74</v>
      </c>
      <c r="P4" s="20"/>
    </row>
    <row r="5" spans="1:18" s="14" customFormat="1" x14ac:dyDescent="0.25">
      <c r="A5" s="159" t="s">
        <v>48</v>
      </c>
      <c r="B5" s="160"/>
      <c r="C5" s="65">
        <f t="array" ref="C5">RTD("tickerplantrtdserver",,"FWRC1#GBPUSD#Month Wise Rates#0#AskPrice2")</f>
        <v>0.13600000000000001</v>
      </c>
      <c r="D5" s="65">
        <f t="array" ref="D5">RTD("tickerplantrtdserver",,"FWRC1#GBPUSD#Month Wise Rates#0#AskPrice7")</f>
        <v>2.5099999999999998</v>
      </c>
      <c r="E5" s="65">
        <f t="array" ref="E5">RTD("tickerplantrtdserver",,"FWRC1#GBPUSD#Month Wise Rates#0#AskPrice8")</f>
        <v>4.66</v>
      </c>
      <c r="F5" s="65">
        <f t="array" ref="F5">RTD("tickerplantrtdserver",,"FWRC1#GBPUSD#Month Wise Rates#0#AskPrice9")</f>
        <v>6.81</v>
      </c>
      <c r="G5" s="65">
        <f t="array" ref="G5">RTD("tickerplantrtdserver",,"FWRC1#GBPUSD#Month Wise Rates#0#AskPrice10")</f>
        <v>8.57</v>
      </c>
      <c r="H5" s="65">
        <f t="array" ref="H5">RTD("tickerplantrtdserver",,"FWRC1#GBPUSD#Month Wise Rates#0#AskPrice11")</f>
        <v>9.94</v>
      </c>
      <c r="I5" s="65">
        <f t="array" ref="I5">RTD("tickerplantrtdserver",,"FWRC1#GBPUSD#Month Wise Rates#0#AskPrice12")</f>
        <v>15.91</v>
      </c>
      <c r="J5" s="65">
        <f t="array" ref="J5">RTD("tickerplantrtdserver",,"FWRC1#GBPUSD#Month Wise Rates#0#AskPrice13")</f>
        <v>17.25</v>
      </c>
      <c r="K5" s="65">
        <f t="array" ref="K5">RTD("tickerplantrtdserver",,"FWRC1#GBPUSD#Month Wise Rates#0#AskPrice14")</f>
        <v>18.5</v>
      </c>
      <c r="L5" s="65">
        <f t="array" ref="L5">RTD("tickerplantrtdserver",,"FWRC1#GBPUSD#Month Wise Rates#0#AskPrice15")</f>
        <v>21.05</v>
      </c>
      <c r="M5" s="65">
        <f t="array" ref="M5">RTD("tickerplantrtdserver",,"FWRC1#GBPUSD#Month Wise Rates#0#AskPrice16")</f>
        <v>20.9</v>
      </c>
      <c r="N5" s="65">
        <f t="array" ref="N5">RTD("tickerplantrtdserver",,"FWRC1#GBPUSD#Month Wise Rates#0#AskPrice17")</f>
        <v>22.7</v>
      </c>
      <c r="O5" s="67">
        <f t="array" ref="O5">RTD("tickerplantrtdserver",,"FWRC1#GBPUSD#Month Wise Rates#0#AskPrice18")</f>
        <v>24.24</v>
      </c>
      <c r="P5" s="20"/>
    </row>
    <row r="6" spans="1:18" s="14" customFormat="1" x14ac:dyDescent="0.25">
      <c r="A6" s="161" t="s">
        <v>3</v>
      </c>
      <c r="B6" s="162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6"/>
      <c r="P6" s="20"/>
    </row>
    <row r="7" spans="1:18" s="14" customFormat="1" x14ac:dyDescent="0.25">
      <c r="A7" s="159" t="s">
        <v>47</v>
      </c>
      <c r="B7" s="160"/>
      <c r="C7" s="64">
        <f t="array" ref="C7">RTD("tickerplantrtdserver",,"FWRC1#GBPUSD#Month Wise Rates#0#FwdOutrightBid2")</f>
        <v>1.2456</v>
      </c>
      <c r="D7" s="64">
        <f t="array" ref="D7">RTD("tickerplantrtdserver",,"FWRC1#GBPUSD#Month Wise Rates#0#FwdOutrightBid7")</f>
        <v>1.2457</v>
      </c>
      <c r="E7" s="64">
        <f t="array" ref="E7">RTD("tickerplantrtdserver",,"FWRC1#GBPUSD#Month Wise Rates#0#FwdOutrightBid8")</f>
        <v>1.2461</v>
      </c>
      <c r="F7" s="64">
        <f t="array" ref="F7">RTD("tickerplantrtdserver",,"FWRC1#GBPUSD#Month Wise Rates#0#FwdOutrightBid9")</f>
        <v>1.2464</v>
      </c>
      <c r="G7" s="64">
        <f t="array" ref="G7">RTD("tickerplantrtdserver",,"FWRC1#GBPUSD#Month Wise Rates#0#FwdOutrightBid10")</f>
        <v>1.2464</v>
      </c>
      <c r="H7" s="64">
        <f t="array" ref="H7">RTD("tickerplantrtdserver",,"FWRC1#GBPUSD#Month Wise Rates#0#FwdOutrightBid11")</f>
        <v>1.2465999999999999</v>
      </c>
      <c r="I7" s="64">
        <f t="array" ref="I7">RTD("tickerplantrtdserver",,"FWRC1#GBPUSD#Month Wise Rates#0#FwdOutrightBid12")</f>
        <v>1.2472000000000001</v>
      </c>
      <c r="J7" s="64">
        <f t="array" ref="J7">RTD("tickerplantrtdserver",,"FWRC1#GBPUSD#Month Wise Rates#0#FwdOutrightBid13")</f>
        <v>1.2472000000000001</v>
      </c>
      <c r="K7" s="64">
        <f t="array" ref="K7">RTD("tickerplantrtdserver",,"FWRC1#GBPUSD#Month Wise Rates#0#FwdOutrightBid14")</f>
        <v>1.2473000000000001</v>
      </c>
      <c r="L7" s="64">
        <f t="array" ref="L7">RTD("tickerplantrtdserver",,"FWRC1#GBPUSD#Month Wise Rates#0#FwdOutrightBid15")</f>
        <v>1.2474000000000001</v>
      </c>
      <c r="M7" s="64">
        <f t="array" ref="M7">RTD("tickerplantrtdserver",,"FWRC1#GBPUSD#Month Wise Rates#0#FwdOutrightBid16")</f>
        <v>1.2475000000000001</v>
      </c>
      <c r="N7" s="64">
        <f t="array" ref="N7">RTD("tickerplantrtdserver",,"FWRC1#GBPUSD#Month Wise Rates#0#FwdOutrightBid17")</f>
        <v>1.2476</v>
      </c>
      <c r="O7" s="68">
        <f t="array" ref="O7">RTD("tickerplantrtdserver",,"FWRC1#GBPUSD#Month Wise Rates#0#FwdOutrightBid18")</f>
        <v>1.2478</v>
      </c>
      <c r="P7" s="20"/>
    </row>
    <row r="8" spans="1:18" s="14" customFormat="1" x14ac:dyDescent="0.25">
      <c r="A8" s="159" t="s">
        <v>48</v>
      </c>
      <c r="B8" s="160"/>
      <c r="C8" s="64">
        <f t="array" ref="C8">RTD("tickerplantrtdserver",,"FWRC1#GBPUSD#Month Wise Rates#0#FwdOutrightAsk2")</f>
        <v>1.2457</v>
      </c>
      <c r="D8" s="64">
        <f t="array" ref="D8">RTD("tickerplantrtdserver",,"FWRC1#GBPUSD#Month Wise Rates#0#FwdOutrightAsk7")</f>
        <v>1.2463</v>
      </c>
      <c r="E8" s="64">
        <f t="array" ref="E8">RTD("tickerplantrtdserver",,"FWRC1#GBPUSD#Month Wise Rates#0#FwdOutrightAsk8")</f>
        <v>1.2463</v>
      </c>
      <c r="F8" s="64">
        <f t="array" ref="F8">RTD("tickerplantrtdserver",,"FWRC1#GBPUSD#Month Wise Rates#0#FwdOutrightAsk9")</f>
        <v>1.2464999999999999</v>
      </c>
      <c r="G8" s="64">
        <f t="array" ref="G8">RTD("tickerplantrtdserver",,"FWRC1#GBPUSD#Month Wise Rates#0#FwdOutrightAsk10")</f>
        <v>1.2470000000000001</v>
      </c>
      <c r="H8" s="64">
        <f t="array" ref="H8">RTD("tickerplantrtdserver",,"FWRC1#GBPUSD#Month Wise Rates#0#FwdOutrightAsk11")</f>
        <v>1.2467999999999999</v>
      </c>
      <c r="I8" s="64">
        <f t="array" ref="I8">RTD("tickerplantrtdserver",,"FWRC1#GBPUSD#Month Wise Rates#0#FwdOutrightAsk12")</f>
        <v>1.2474000000000001</v>
      </c>
      <c r="J8" s="64">
        <f t="array" ref="J8">RTD("tickerplantrtdserver",,"FWRC1#GBPUSD#Month Wise Rates#0#FwdOutrightAsk13")</f>
        <v>1.2478</v>
      </c>
      <c r="K8" s="64">
        <f t="array" ref="K8">RTD("tickerplantrtdserver",,"FWRC1#GBPUSD#Month Wise Rates#0#FwdOutrightAsk14")</f>
        <v>1.2476</v>
      </c>
      <c r="L8" s="64">
        <f t="array" ref="L8">RTD("tickerplantrtdserver",,"FWRC1#GBPUSD#Month Wise Rates#0#FwdOutrightAsk15")</f>
        <v>1.2478</v>
      </c>
      <c r="M8" s="64">
        <f t="array" ref="M8">RTD("tickerplantrtdserver",,"FWRC1#GBPUSD#Month Wise Rates#0#FwdOutrightAsk16")</f>
        <v>1.2481</v>
      </c>
      <c r="N8" s="64">
        <f t="array" ref="N8">RTD("tickerplantrtdserver",,"FWRC1#GBPUSD#Month Wise Rates#0#FwdOutrightAsk17")</f>
        <v>1.2484</v>
      </c>
      <c r="O8" s="68">
        <f t="array" ref="O8">RTD("tickerplantrtdserver",,"FWRC1#GBPUSD#Month Wise Rates#0#FwdOutrightAsk18")</f>
        <v>1.2484999999999999</v>
      </c>
    </row>
    <row r="9" spans="1:18" s="14" customFormat="1" x14ac:dyDescent="0.25">
      <c r="A9" s="161" t="s">
        <v>2</v>
      </c>
      <c r="B9" s="162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6"/>
    </row>
    <row r="10" spans="1:18" s="14" customFormat="1" x14ac:dyDescent="0.25">
      <c r="A10" s="159" t="s">
        <v>47</v>
      </c>
      <c r="B10" s="160"/>
      <c r="C10" s="65">
        <f t="array" ref="C10">RTD("tickerplantrtdserver",,"FWRC1#GBPUSD#Month Wise Rates#0#Bid%2")</f>
        <v>3.5200000000000002E-2</v>
      </c>
      <c r="D10" s="65">
        <f t="array" ref="D10">RTD("tickerplantrtdserver",,"FWRC1#GBPUSD#Month Wise Rates#0#Bid%7")</f>
        <v>0.20880000000000001</v>
      </c>
      <c r="E10" s="65">
        <f t="array" ref="E10">RTD("tickerplantrtdserver",,"FWRC1#GBPUSD#Month Wise Rates#0#Bid%8")</f>
        <v>0.19040000000000001</v>
      </c>
      <c r="F10" s="65">
        <f t="array" ref="F10">RTD("tickerplantrtdserver",,"FWRC1#GBPUSD#Month Wise Rates#0#Bid%9")</f>
        <v>0.1946</v>
      </c>
      <c r="G10" s="65">
        <f t="array" ref="G10">RTD("tickerplantrtdserver",,"FWRC1#GBPUSD#Month Wise Rates#0#Bid%10")</f>
        <v>0.1822</v>
      </c>
      <c r="H10" s="65">
        <f t="array" ref="H10">RTD("tickerplantrtdserver",,"FWRC1#GBPUSD#Month Wise Rates#0#Bid%11")</f>
        <v>0.16819999999999999</v>
      </c>
      <c r="I10" s="65">
        <f t="array" ref="I10">RTD("tickerplantrtdserver",,"FWRC1#GBPUSD#Month Wise Rates#0#Bid%12")</f>
        <v>0.2326</v>
      </c>
      <c r="J10" s="65">
        <f t="array" ref="J10">RTD("tickerplantrtdserver",,"FWRC1#GBPUSD#Month Wise Rates#0#Bid%13")</f>
        <v>0.21249999999999999</v>
      </c>
      <c r="K10" s="65">
        <f t="array" ref="K10">RTD("tickerplantrtdserver",,"FWRC1#GBPUSD#Month Wise Rates#0#Bid%14")</f>
        <v>0.2009</v>
      </c>
      <c r="L10" s="65">
        <f t="array" ref="L10">RTD("tickerplantrtdserver",,"FWRC1#GBPUSD#Month Wise Rates#0#Bid%15")</f>
        <v>0.2021</v>
      </c>
      <c r="M10" s="65">
        <f t="array" ref="M10">RTD("tickerplantrtdserver",,"FWRC1#GBPUSD#Month Wise Rates#0#Bid%16")</f>
        <v>0.1898</v>
      </c>
      <c r="N10" s="65">
        <f t="array" ref="N10">RTD("tickerplantrtdserver",,"FWRC1#GBPUSD#Month Wise Rates#0#Bid%17")</f>
        <v>0.17780000000000001</v>
      </c>
      <c r="O10" s="67">
        <f t="array" ref="O10">RTD("tickerplantrtdserver",,"FWRC1#GBPUSD#Month Wise Rates#0#Bid%18")</f>
        <v>0.17449999999999999</v>
      </c>
    </row>
    <row r="11" spans="1:18" s="14" customFormat="1" ht="15.75" thickBot="1" x14ac:dyDescent="0.3">
      <c r="A11" s="163" t="s">
        <v>48</v>
      </c>
      <c r="B11" s="164"/>
      <c r="C11" s="69">
        <f t="array" ref="C11">RTD("tickerplantrtdserver",,"FWRC1#GBPUSD#Month Wise Rates#0#Ask%2")</f>
        <v>0.1328</v>
      </c>
      <c r="D11" s="69">
        <f t="array" ref="D11">RTD("tickerplantrtdserver",,"FWRC1#GBPUSD#Month Wise Rates#0#Ask%7")</f>
        <v>0.23730000000000001</v>
      </c>
      <c r="E11" s="69">
        <f t="array" ref="E11">RTD("tickerplantrtdserver",,"FWRC1#GBPUSD#Month Wise Rates#0#Ask%8")</f>
        <v>0.21340000000000001</v>
      </c>
      <c r="F11" s="69">
        <f t="array" ref="F11">RTD("tickerplantrtdserver",,"FWRC1#GBPUSD#Month Wise Rates#0#Ask%9")</f>
        <v>0.21690000000000001</v>
      </c>
      <c r="G11" s="69">
        <f t="array" ref="G11">RTD("tickerplantrtdserver",,"FWRC1#GBPUSD#Month Wise Rates#0#Ask%10")</f>
        <v>0.20419999999999999</v>
      </c>
      <c r="H11" s="69">
        <f t="array" ref="H11">RTD("tickerplantrtdserver",,"FWRC1#GBPUSD#Month Wise Rates#0#Ask%11")</f>
        <v>0.18909999999999999</v>
      </c>
      <c r="I11" s="69">
        <f t="array" ref="I11">RTD("tickerplantrtdserver",,"FWRC1#GBPUSD#Month Wise Rates#0#Ask%12")</f>
        <v>0.25330000000000003</v>
      </c>
      <c r="J11" s="69">
        <f t="array" ref="J11">RTD("tickerplantrtdserver",,"FWRC1#GBPUSD#Month Wise Rates#0#Ask%13")</f>
        <v>0.2329</v>
      </c>
      <c r="K11" s="69">
        <f t="array" ref="K11">RTD("tickerplantrtdserver",,"FWRC1#GBPUSD#Month Wise Rates#0#Ask%14")</f>
        <v>0.2213</v>
      </c>
      <c r="L11" s="69">
        <f t="array" ref="L11">RTD("tickerplantrtdserver",,"FWRC1#GBPUSD#Month Wise Rates#0#Ask%15")</f>
        <v>0.22509999999999999</v>
      </c>
      <c r="M11" s="69">
        <f t="array" ref="M11">RTD("tickerplantrtdserver",,"FWRC1#GBPUSD#Month Wise Rates#0#Ask%16")</f>
        <v>0.20150000000000001</v>
      </c>
      <c r="N11" s="69">
        <f t="array" ref="N11">RTD("tickerplantrtdserver",,"FWRC1#GBPUSD#Month Wise Rates#0#Ask%17")</f>
        <v>0.19800000000000001</v>
      </c>
      <c r="O11" s="70">
        <f t="array" ref="O11">RTD("tickerplantrtdserver",,"FWRC1#GBPUSD#Month Wise Rates#0#Ask%18")</f>
        <v>0.1946</v>
      </c>
    </row>
    <row r="12" spans="1:18" s="14" customFormat="1" ht="15.7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23"/>
      <c r="R13" s="23"/>
    </row>
    <row r="14" spans="1:18" s="14" customForma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31"/>
      <c r="R14" s="31"/>
    </row>
    <row r="15" spans="1:18" s="14" customForma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5"/>
      <c r="R15" s="15"/>
    </row>
    <row r="16" spans="1:18" s="14" customForma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s="14" customForma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s="14" customForma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s="14" customForma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s="14" customForma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s="2" customForma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6" spans="1:16" x14ac:dyDescent="0.25">
      <c r="A36" s="1"/>
      <c r="B36" s="1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R36"/>
  <sheetViews>
    <sheetView tabSelected="1" workbookViewId="0">
      <selection activeCell="B32" sqref="B32"/>
    </sheetView>
  </sheetViews>
  <sheetFormatPr defaultColWidth="8.85546875" defaultRowHeight="15" x14ac:dyDescent="0.25"/>
  <cols>
    <col min="3" max="3" width="9.85546875" bestFit="1" customWidth="1"/>
    <col min="4" max="4" width="9.28515625" bestFit="1" customWidth="1"/>
    <col min="5" max="5" width="8.85546875" bestFit="1" customWidth="1"/>
    <col min="6" max="7" width="9.42578125" bestFit="1" customWidth="1"/>
    <col min="8" max="8" width="9.28515625" bestFit="1" customWidth="1"/>
    <col min="9" max="10" width="9.5703125" bestFit="1" customWidth="1"/>
    <col min="11" max="11" width="9.28515625" bestFit="1" customWidth="1"/>
    <col min="12" max="12" width="9.42578125" bestFit="1" customWidth="1"/>
    <col min="13" max="13" width="9.7109375" bestFit="1" customWidth="1"/>
    <col min="14" max="14" width="9.28515625" bestFit="1" customWidth="1"/>
    <col min="15" max="15" width="9.8554687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 x14ac:dyDescent="0.25">
      <c r="A1" s="157" t="s">
        <v>6</v>
      </c>
      <c r="B1" s="158"/>
      <c r="C1" s="76" t="str">
        <f t="array" ref="C1">RTD("tickerplantrtdserver",,"FWRC1#USDJPY#Month Wise Rates#0#S#Desc.2")</f>
        <v>TN</v>
      </c>
      <c r="D1" s="76" t="str">
        <f t="array" ref="D1">RTD("tickerplantrtdserver",,"FWRC1#USDJPY#Month Wise Rates#0#S#Desc.7")</f>
        <v>1M</v>
      </c>
      <c r="E1" s="76" t="str">
        <f t="array" ref="E1">RTD("tickerplantrtdserver",,"FWRC1#USDJPY#Month Wise Rates#0#S#Desc.8")</f>
        <v>2M</v>
      </c>
      <c r="F1" s="76" t="str">
        <f t="array" ref="F1">RTD("tickerplantrtdserver",,"FWRC1#USDJPY#Month Wise Rates#0#S#Desc.9")</f>
        <v>3M</v>
      </c>
      <c r="G1" s="76" t="str">
        <f t="array" ref="G1">RTD("tickerplantrtdserver",,"FWRC1#USDJPY#Month Wise Rates#0#S#Desc.10")</f>
        <v>4M</v>
      </c>
      <c r="H1" s="76" t="str">
        <f t="array" ref="H1">RTD("tickerplantrtdserver",,"FWRC1#USDJPY#Month Wise Rates#0#S#Desc.11")</f>
        <v>5M</v>
      </c>
      <c r="I1" s="76" t="str">
        <f t="array" ref="I1">RTD("tickerplantrtdserver",,"FWRC1#USDJPY#Month Wise Rates#0#S#Desc.12")</f>
        <v>6M</v>
      </c>
      <c r="J1" s="76" t="str">
        <f t="array" ref="J1">RTD("tickerplantrtdserver",,"FWRC1#USDJPY#Month Wise Rates#0#S#Desc.13")</f>
        <v>7M</v>
      </c>
      <c r="K1" s="76" t="str">
        <f t="array" ref="K1">RTD("tickerplantrtdserver",,"FWRC1#USDJPY#Month Wise Rates#0#S#Desc.14")</f>
        <v>8M</v>
      </c>
      <c r="L1" s="76" t="str">
        <f t="array" ref="L1">RTD("tickerplantrtdserver",,"FWRC1#USDJPY#Month Wise Rates#0#S#Desc.15")</f>
        <v>9M</v>
      </c>
      <c r="M1" s="76" t="str">
        <f t="array" ref="M1">RTD("tickerplantrtdserver",,"FWRC1#USDJPY#Month Wise Rates#0#S#Desc.16")</f>
        <v>10M</v>
      </c>
      <c r="N1" s="76" t="str">
        <f t="array" ref="N1">RTD("tickerplantrtdserver",,"FWRC1#USDJPY#Month Wise Rates#0#S#Desc.17")</f>
        <v>11M</v>
      </c>
      <c r="O1" s="77" t="str">
        <f t="array" ref="O1">RTD("tickerplantrtdserver",,"FWRC1#USDJPY#Month Wise Rates#0#S#Desc.18")</f>
        <v>12M</v>
      </c>
    </row>
    <row r="2" spans="1:18" s="14" customFormat="1" ht="15.75" customHeight="1" x14ac:dyDescent="0.25">
      <c r="A2" s="159" t="s">
        <v>5</v>
      </c>
      <c r="B2" s="160"/>
      <c r="C2" s="71" t="str">
        <f t="array" ref="C2">RTD("tickerplantrtdserver",,"FWRC1#USDJPY#Month Wise Rates#0#S#PillarDate2")</f>
        <v>06-Jul-2020</v>
      </c>
      <c r="D2" s="71" t="str">
        <f t="array" ref="D2">RTD("tickerplantrtdserver",,"FWRC1#USDJPY#Month Wise Rates#0#S#PillarDate7")</f>
        <v>06-Aug-2020</v>
      </c>
      <c r="E2" s="71" t="str">
        <f t="array" ref="E2">RTD("tickerplantrtdserver",,"FWRC1#USDJPY#Month Wise Rates#0#S#PillarDate8")</f>
        <v>08-Sep-2020</v>
      </c>
      <c r="F2" s="71" t="str">
        <f t="array" ref="F2">RTD("tickerplantrtdserver",,"FWRC1#USDJPY#Month Wise Rates#0#S#PillarDate9")</f>
        <v>06-Oct-2020</v>
      </c>
      <c r="G2" s="71" t="str">
        <f t="array" ref="G2">RTD("tickerplantrtdserver",,"FWRC1#USDJPY#Month Wise Rates#0#S#PillarDate10")</f>
        <v>06-Nov-2020</v>
      </c>
      <c r="H2" s="71" t="str">
        <f t="array" ref="H2">RTD("tickerplantrtdserver",,"FWRC1#USDJPY#Month Wise Rates#0#S#PillarDate11")</f>
        <v>07-Dec-2020</v>
      </c>
      <c r="I2" s="71" t="str">
        <f t="array" ref="I2">RTD("tickerplantrtdserver",,"FWRC1#USDJPY#Month Wise Rates#0#S#PillarDate12")</f>
        <v>06-Jan-2021</v>
      </c>
      <c r="J2" s="71" t="str">
        <f t="array" ref="J2">RTD("tickerplantrtdserver",,"FWRC1#USDJPY#Month Wise Rates#0#S#PillarDate13")</f>
        <v>08-Feb-2021</v>
      </c>
      <c r="K2" s="71" t="str">
        <f t="array" ref="K2">RTD("tickerplantrtdserver",,"FWRC1#USDJPY#Month Wise Rates#0#S#PillarDate14")</f>
        <v>08-Mar-2021</v>
      </c>
      <c r="L2" s="71" t="str">
        <f t="array" ref="L2">RTD("tickerplantrtdserver",,"FWRC1#USDJPY#Month Wise Rates#0#S#PillarDate15")</f>
        <v>06-Apr-2021</v>
      </c>
      <c r="M2" s="71" t="str">
        <f t="array" ref="M2">RTD("tickerplantrtdserver",,"FWRC1#USDJPY#Month Wise Rates#0#S#PillarDate16")</f>
        <v>06-May-2021</v>
      </c>
      <c r="N2" s="71" t="str">
        <f t="array" ref="N2">RTD("tickerplantrtdserver",,"FWRC1#USDJPY#Month Wise Rates#0#S#PillarDate17")</f>
        <v>07-Jun-2021</v>
      </c>
      <c r="O2" s="75" t="str">
        <f t="array" ref="O2">RTD("tickerplantrtdserver",,"FWRC1#USDJPY#Month Wise Rates#0#S#PillarDate18")</f>
        <v>06-Jul-2021</v>
      </c>
      <c r="P2" s="30"/>
    </row>
    <row r="3" spans="1:18" s="14" customFormat="1" x14ac:dyDescent="0.25">
      <c r="A3" s="161" t="s">
        <v>4</v>
      </c>
      <c r="B3" s="162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8"/>
      <c r="P3" s="15"/>
    </row>
    <row r="4" spans="1:18" s="14" customFormat="1" x14ac:dyDescent="0.25">
      <c r="A4" s="159" t="s">
        <v>47</v>
      </c>
      <c r="B4" s="160"/>
      <c r="C4" s="65">
        <f t="array" ref="C4">RTD("tickerplantrtdserver",,"FWRC1#USDJPY#Month Wise Rates#0#BidPrice2")</f>
        <v>-0.23</v>
      </c>
      <c r="D4" s="65">
        <f t="array" ref="D4">RTD("tickerplantrtdserver",,"FWRC1#USDJPY#Month Wise Rates#0#BidPrice7")</f>
        <v>-4.22</v>
      </c>
      <c r="E4" s="65">
        <f t="array" ref="E4">RTD("tickerplantrtdserver",,"FWRC1#USDJPY#Month Wise Rates#0#BidPrice8")</f>
        <v>-8.32</v>
      </c>
      <c r="F4" s="65">
        <f t="array" ref="F4">RTD("tickerplantrtdserver",,"FWRC1#USDJPY#Month Wise Rates#0#BidPrice9")</f>
        <v>-13.94</v>
      </c>
      <c r="G4" s="65">
        <f t="array" ref="G4">RTD("tickerplantrtdserver",,"FWRC1#USDJPY#Month Wise Rates#0#BidPrice10")</f>
        <v>-18.5</v>
      </c>
      <c r="H4" s="65">
        <f t="array" ref="H4">RTD("tickerplantrtdserver",,"FWRC1#USDJPY#Month Wise Rates#0#BidPrice11")</f>
        <v>-22.63</v>
      </c>
      <c r="I4" s="65">
        <f t="array" ref="I4">RTD("tickerplantrtdserver",,"FWRC1#USDJPY#Month Wise Rates#0#BidPrice12")</f>
        <v>-36.22</v>
      </c>
      <c r="J4" s="65">
        <f t="array" ref="J4">RTD("tickerplantrtdserver",,"FWRC1#USDJPY#Month Wise Rates#0#BidPrice13")</f>
        <v>-41.28</v>
      </c>
      <c r="K4" s="65">
        <f t="array" ref="K4">RTD("tickerplantrtdserver",,"FWRC1#USDJPY#Month Wise Rates#0#BidPrice14")</f>
        <v>-45.73</v>
      </c>
      <c r="L4" s="65">
        <f t="array" ref="L4">RTD("tickerplantrtdserver",,"FWRC1#USDJPY#Month Wise Rates#0#BidPrice15")</f>
        <v>-52.7</v>
      </c>
      <c r="M4" s="65">
        <f t="array" ref="M4">RTD("tickerplantrtdserver",,"FWRC1#USDJPY#Month Wise Rates#0#BidPrice16")</f>
        <v>-57.94</v>
      </c>
      <c r="N4" s="65">
        <f t="array" ref="N4">RTD("tickerplantrtdserver",,"FWRC1#USDJPY#Month Wise Rates#0#BidPrice17")</f>
        <v>-63.18</v>
      </c>
      <c r="O4" s="67">
        <f t="array" ref="O4">RTD("tickerplantrtdserver",,"FWRC1#USDJPY#Month Wise Rates#0#BidPrice18")</f>
        <v>-69.400000000000006</v>
      </c>
      <c r="P4" s="20"/>
    </row>
    <row r="5" spans="1:18" s="14" customFormat="1" x14ac:dyDescent="0.25">
      <c r="A5" s="159" t="s">
        <v>48</v>
      </c>
      <c r="B5" s="160"/>
      <c r="C5" s="65">
        <f t="array" ref="C5">RTD("tickerplantrtdserver",,"FWRC1#USDJPY#Month Wise Rates#0#AskPrice2")</f>
        <v>-0.03</v>
      </c>
      <c r="D5" s="65">
        <f t="array" ref="D5">RTD("tickerplantrtdserver",,"FWRC1#USDJPY#Month Wise Rates#0#AskPrice7")</f>
        <v>-4.12</v>
      </c>
      <c r="E5" s="65">
        <f t="array" ref="E5">RTD("tickerplantrtdserver",,"FWRC1#USDJPY#Month Wise Rates#0#AskPrice8")</f>
        <v>-8.0299999999999994</v>
      </c>
      <c r="F5" s="65">
        <f t="array" ref="F5">RTD("tickerplantrtdserver",,"FWRC1#USDJPY#Month Wise Rates#0#AskPrice9")</f>
        <v>-13.69</v>
      </c>
      <c r="G5" s="65">
        <f t="array" ref="G5">RTD("tickerplantrtdserver",,"FWRC1#USDJPY#Month Wise Rates#0#AskPrice10")</f>
        <v>-17</v>
      </c>
      <c r="H5" s="65">
        <f t="array" ref="H5">RTD("tickerplantrtdserver",,"FWRC1#USDJPY#Month Wise Rates#0#AskPrice11")</f>
        <v>-21.13</v>
      </c>
      <c r="I5" s="65">
        <f t="array" ref="I5">RTD("tickerplantrtdserver",,"FWRC1#USDJPY#Month Wise Rates#0#AskPrice12")</f>
        <v>-34.72</v>
      </c>
      <c r="J5" s="65">
        <f t="array" ref="J5">RTD("tickerplantrtdserver",,"FWRC1#USDJPY#Month Wise Rates#0#AskPrice13")</f>
        <v>-39.28</v>
      </c>
      <c r="K5" s="65">
        <f t="array" ref="K5">RTD("tickerplantrtdserver",,"FWRC1#USDJPY#Month Wise Rates#0#AskPrice14")</f>
        <v>-43.73</v>
      </c>
      <c r="L5" s="65">
        <f t="array" ref="L5">RTD("tickerplantrtdserver",,"FWRC1#USDJPY#Month Wise Rates#0#AskPrice15")</f>
        <v>-51.2</v>
      </c>
      <c r="M5" s="65">
        <f t="array" ref="M5">RTD("tickerplantrtdserver",,"FWRC1#USDJPY#Month Wise Rates#0#AskPrice16")</f>
        <v>-56.44</v>
      </c>
      <c r="N5" s="65">
        <f t="array" ref="N5">RTD("tickerplantrtdserver",,"FWRC1#USDJPY#Month Wise Rates#0#AskPrice17")</f>
        <v>-59.68</v>
      </c>
      <c r="O5" s="67">
        <f t="array" ref="O5">RTD("tickerplantrtdserver",,"FWRC1#USDJPY#Month Wise Rates#0#AskPrice18")</f>
        <v>-67.400000000000006</v>
      </c>
      <c r="P5" s="20"/>
    </row>
    <row r="6" spans="1:18" s="14" customFormat="1" x14ac:dyDescent="0.25">
      <c r="A6" s="161" t="s">
        <v>3</v>
      </c>
      <c r="B6" s="162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8"/>
      <c r="P6" s="20"/>
    </row>
    <row r="7" spans="1:18" s="14" customFormat="1" x14ac:dyDescent="0.25">
      <c r="A7" s="159" t="s">
        <v>47</v>
      </c>
      <c r="B7" s="160"/>
      <c r="C7" s="65">
        <f t="array" ref="C7">RTD("tickerplantrtdserver",,"FWRC1#USDJPY#Month Wise Rates#0#FwdOutrightBid2")</f>
        <v>107.4973</v>
      </c>
      <c r="D7" s="65">
        <f t="array" ref="D7">RTD("tickerplantrtdserver",,"FWRC1#USDJPY#Month Wise Rates#0#FwdOutrightBid7")</f>
        <v>107.45780000000001</v>
      </c>
      <c r="E7" s="65">
        <f t="array" ref="E7">RTD("tickerplantrtdserver",,"FWRC1#USDJPY#Month Wise Rates#0#FwdOutrightBid8")</f>
        <v>107.4268</v>
      </c>
      <c r="F7" s="65">
        <f t="array" ref="F7">RTD("tickerplantrtdserver",,"FWRC1#USDJPY#Month Wise Rates#0#FwdOutrightBid9")</f>
        <v>107.36960000000001</v>
      </c>
      <c r="G7" s="65">
        <f t="array" ref="G7">RTD("tickerplantrtdserver",,"FWRC1#USDJPY#Month Wise Rates#0#FwdOutrightBid10")</f>
        <v>107.312</v>
      </c>
      <c r="H7" s="65">
        <f t="array" ref="H7">RTD("tickerplantrtdserver",,"FWRC1#USDJPY#Month Wise Rates#0#FwdOutrightBid11")</f>
        <v>107.2697</v>
      </c>
      <c r="I7" s="65">
        <f t="array" ref="I7">RTD("tickerplantrtdserver",,"FWRC1#USDJPY#Month Wise Rates#0#FwdOutrightBid12")</f>
        <v>107.1418</v>
      </c>
      <c r="J7" s="65">
        <f t="array" ref="J7">RTD("tickerplantrtdserver",,"FWRC1#USDJPY#Month Wise Rates#0#FwdOutrightBid13")</f>
        <v>107.0912</v>
      </c>
      <c r="K7" s="65">
        <f t="array" ref="K7">RTD("tickerplantrtdserver",,"FWRC1#USDJPY#Month Wise Rates#0#FwdOutrightBid14")</f>
        <v>107.0467</v>
      </c>
      <c r="L7" s="65">
        <f t="array" ref="L7">RTD("tickerplantrtdserver",,"FWRC1#USDJPY#Month Wise Rates#0#FwdOutrightBid15")</f>
        <v>106.973</v>
      </c>
      <c r="M7" s="65">
        <f t="array" ref="M7">RTD("tickerplantrtdserver",,"FWRC1#USDJPY#Month Wise Rates#0#FwdOutrightBid16")</f>
        <v>106.9306</v>
      </c>
      <c r="N7" s="65">
        <f t="array" ref="N7">RTD("tickerplantrtdserver",,"FWRC1#USDJPY#Month Wise Rates#0#FwdOutrightBid17")</f>
        <v>106.8682</v>
      </c>
      <c r="O7" s="67">
        <f t="array" ref="O7">RTD("tickerplantrtdserver",,"FWRC1#USDJPY#Month Wise Rates#0#FwdOutrightBid18")</f>
        <v>106.806</v>
      </c>
      <c r="P7" s="20"/>
    </row>
    <row r="8" spans="1:18" s="14" customFormat="1" x14ac:dyDescent="0.25">
      <c r="A8" s="159" t="s">
        <v>48</v>
      </c>
      <c r="B8" s="160"/>
      <c r="C8" s="65">
        <f t="array" ref="C8">RTD("tickerplantrtdserver",,"FWRC1#USDJPY#Month Wise Rates#0#FwdOutrightAsk2")</f>
        <v>107.5253</v>
      </c>
      <c r="D8" s="65">
        <f t="array" ref="D8">RTD("tickerplantrtdserver",,"FWRC1#USDJPY#Month Wise Rates#0#FwdOutrightAsk7")</f>
        <v>107.4988</v>
      </c>
      <c r="E8" s="65">
        <f t="array" ref="E8">RTD("tickerplantrtdserver",,"FWRC1#USDJPY#Month Wise Rates#0#FwdOutrightAsk8")</f>
        <v>107.4697</v>
      </c>
      <c r="F8" s="65">
        <f t="array" ref="F8">RTD("tickerplantrtdserver",,"FWRC1#USDJPY#Month Wise Rates#0#FwdOutrightAsk9")</f>
        <v>107.3771</v>
      </c>
      <c r="G8" s="65">
        <f t="array" ref="G8">RTD("tickerplantrtdserver",,"FWRC1#USDJPY#Month Wise Rates#0#FwdOutrightAsk10")</f>
        <v>107.35299999999999</v>
      </c>
      <c r="H8" s="65">
        <f t="array" ref="H8">RTD("tickerplantrtdserver",,"FWRC1#USDJPY#Month Wise Rates#0#FwdOutrightAsk11")</f>
        <v>107.3147</v>
      </c>
      <c r="I8" s="65">
        <f t="array" ref="I8">RTD("tickerplantrtdserver",,"FWRC1#USDJPY#Month Wise Rates#0#FwdOutrightAsk12")</f>
        <v>107.1718</v>
      </c>
      <c r="J8" s="65">
        <f t="array" ref="J8">RTD("tickerplantrtdserver",,"FWRC1#USDJPY#Month Wise Rates#0#FwdOutrightAsk13")</f>
        <v>107.12520000000001</v>
      </c>
      <c r="K8" s="65">
        <f t="array" ref="K8">RTD("tickerplantrtdserver",,"FWRC1#USDJPY#Month Wise Rates#0#FwdOutrightAsk14")</f>
        <v>107.08069999999999</v>
      </c>
      <c r="L8" s="65">
        <f t="array" ref="L8">RTD("tickerplantrtdserver",,"FWRC1#USDJPY#Month Wise Rates#0#FwdOutrightAsk15")</f>
        <v>107.02800000000001</v>
      </c>
      <c r="M8" s="65">
        <f t="array" ref="M8">RTD("tickerplantrtdserver",,"FWRC1#USDJPY#Month Wise Rates#0#FwdOutrightAsk16")</f>
        <v>106.94759999999999</v>
      </c>
      <c r="N8" s="65">
        <f t="array" ref="N8">RTD("tickerplantrtdserver",,"FWRC1#USDJPY#Month Wise Rates#0#FwdOutrightAsk17")</f>
        <v>106.9432</v>
      </c>
      <c r="O8" s="67">
        <f t="array" ref="O8">RTD("tickerplantrtdserver",,"FWRC1#USDJPY#Month Wise Rates#0#FwdOutrightAsk18")</f>
        <v>106.866</v>
      </c>
    </row>
    <row r="9" spans="1:18" s="14" customFormat="1" x14ac:dyDescent="0.25">
      <c r="A9" s="161" t="s">
        <v>2</v>
      </c>
      <c r="B9" s="162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8"/>
    </row>
    <row r="10" spans="1:18" s="14" customFormat="1" x14ac:dyDescent="0.25">
      <c r="A10" s="159" t="s">
        <v>47</v>
      </c>
      <c r="B10" s="160"/>
      <c r="C10" s="65">
        <f t="array" ref="C10">RTD("tickerplantrtdserver",,"FWRC1#USDJPY#Month Wise Rates#0#Bid%2")</f>
        <v>-0.26029999999999998</v>
      </c>
      <c r="D10" s="65">
        <f t="array" ref="D10">RTD("tickerplantrtdserver",,"FWRC1#USDJPY#Month Wise Rates#0#Bid%7")</f>
        <v>-0.46200000000000002</v>
      </c>
      <c r="E10" s="65">
        <f t="array" ref="E10">RTD("tickerplantrtdserver",,"FWRC1#USDJPY#Month Wise Rates#0#Bid%8")</f>
        <v>-0.44119999999999998</v>
      </c>
      <c r="F10" s="65">
        <f t="array" ref="F10">RTD("tickerplantrtdserver",,"FWRC1#USDJPY#Month Wise Rates#0#Bid%9")</f>
        <v>-0.51439999999999997</v>
      </c>
      <c r="G10" s="65">
        <f t="array" ref="G10">RTD("tickerplantrtdserver",,"FWRC1#USDJPY#Month Wise Rates#0#Bid%10")</f>
        <v>-0.51060000000000005</v>
      </c>
      <c r="H10" s="65">
        <f t="array" ref="H10">RTD("tickerplantrtdserver",,"FWRC1#USDJPY#Month Wise Rates#0#Bid%11")</f>
        <v>-0.49880000000000002</v>
      </c>
      <c r="I10" s="65">
        <f t="array" ref="I10">RTD("tickerplantrtdserver",,"FWRC1#USDJPY#Month Wise Rates#0#Bid%12")</f>
        <v>-0.66820000000000002</v>
      </c>
      <c r="J10" s="65">
        <f t="array" ref="J10">RTD("tickerplantrtdserver",,"FWRC1#USDJPY#Month Wise Rates#0#Bid%13")</f>
        <v>-0.64580000000000004</v>
      </c>
      <c r="K10" s="65">
        <f t="array" ref="K10">RTD("tickerplantrtdserver",,"FWRC1#USDJPY#Month Wise Rates#0#Bid%14")</f>
        <v>-0.63360000000000005</v>
      </c>
      <c r="L10" s="65">
        <f t="array" ref="L10">RTD("tickerplantrtdserver",,"FWRC1#USDJPY#Month Wise Rates#0#Bid%15")</f>
        <v>-0.65280000000000005</v>
      </c>
      <c r="M10" s="65">
        <f t="array" ref="M10">RTD("tickerplantrtdserver",,"FWRC1#USDJPY#Month Wise Rates#0#Bid%16")</f>
        <v>-0.64710000000000001</v>
      </c>
      <c r="N10" s="65">
        <f t="array" ref="N10">RTD("tickerplantrtdserver",,"FWRC1#USDJPY#Month Wise Rates#0#Bid%17")</f>
        <v>-0.63819999999999999</v>
      </c>
      <c r="O10" s="67">
        <f t="array" ref="O10">RTD("tickerplantrtdserver",,"FWRC1#USDJPY#Month Wise Rates#0#Bid%18")</f>
        <v>-0.64529999999999998</v>
      </c>
    </row>
    <row r="11" spans="1:18" s="14" customFormat="1" ht="15.75" thickBot="1" x14ac:dyDescent="0.3">
      <c r="A11" s="163" t="s">
        <v>48</v>
      </c>
      <c r="B11" s="164"/>
      <c r="C11" s="69">
        <f t="array" ref="C11">RTD("tickerplantrtdserver",,"FWRC1#USDJPY#Month Wise Rates#0#Ask%2")</f>
        <v>-3.4000000000000002E-2</v>
      </c>
      <c r="D11" s="69">
        <f t="array" ref="D11">RTD("tickerplantrtdserver",,"FWRC1#USDJPY#Month Wise Rates#0#Ask%7")</f>
        <v>-0.45129999999999998</v>
      </c>
      <c r="E11" s="69">
        <f t="array" ref="E11">RTD("tickerplantrtdserver",,"FWRC1#USDJPY#Month Wise Rates#0#Ask%8")</f>
        <v>-0.42599999999999999</v>
      </c>
      <c r="F11" s="69">
        <f t="array" ref="F11">RTD("tickerplantrtdserver",,"FWRC1#USDJPY#Month Wise Rates#0#Ask%9")</f>
        <v>-0.50519999999999998</v>
      </c>
      <c r="G11" s="69">
        <f t="array" ref="G11">RTD("tickerplantrtdserver",,"FWRC1#USDJPY#Month Wise Rates#0#Ask%10")</f>
        <v>-0.46929999999999999</v>
      </c>
      <c r="H11" s="69">
        <f t="array" ref="H11">RTD("tickerplantrtdserver",,"FWRC1#USDJPY#Month Wise Rates#0#Ask%11")</f>
        <v>-0.46589999999999998</v>
      </c>
      <c r="I11" s="69">
        <f t="array" ref="I11">RTD("tickerplantrtdserver",,"FWRC1#USDJPY#Month Wise Rates#0#Ask%12")</f>
        <v>-0.64070000000000005</v>
      </c>
      <c r="J11" s="69">
        <f t="array" ref="J11">RTD("tickerplantrtdserver",,"FWRC1#USDJPY#Month Wise Rates#0#Ask%13")</f>
        <v>-0.61460000000000004</v>
      </c>
      <c r="K11" s="69">
        <f t="array" ref="K11">RTD("tickerplantrtdserver",,"FWRC1#USDJPY#Month Wise Rates#0#Ask%14")</f>
        <v>-0.60599999999999998</v>
      </c>
      <c r="L11" s="69">
        <f t="array" ref="L11">RTD("tickerplantrtdserver",,"FWRC1#USDJPY#Month Wise Rates#0#Ask%15")</f>
        <v>-0.63449999999999995</v>
      </c>
      <c r="M11" s="69">
        <f t="array" ref="M11">RTD("tickerplantrtdserver",,"FWRC1#USDJPY#Month Wise Rates#0#Ask%16")</f>
        <v>-0.63029999999999997</v>
      </c>
      <c r="N11" s="69">
        <f t="array" ref="N11">RTD("tickerplantrtdserver",,"FWRC1#USDJPY#Month Wise Rates#0#Ask%17")</f>
        <v>-0.60309999999999997</v>
      </c>
      <c r="O11" s="70">
        <f t="array" ref="O11">RTD("tickerplantrtdserver",,"FWRC1#USDJPY#Month Wise Rates#0#Ask%18")</f>
        <v>-0.627</v>
      </c>
    </row>
    <row r="12" spans="1:18" s="14" customFormat="1" ht="15.7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 x14ac:dyDescent="0.25">
      <c r="A13" s="13"/>
      <c r="B13" s="21"/>
      <c r="C13" s="21"/>
      <c r="D13" s="20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 x14ac:dyDescent="0.25">
      <c r="A14" s="13"/>
      <c r="B14" s="21"/>
      <c r="C14" s="21"/>
      <c r="D14" s="20"/>
      <c r="E14" s="21"/>
      <c r="F14" s="33"/>
      <c r="G14" s="34"/>
      <c r="H14" s="34"/>
      <c r="I14" s="34"/>
      <c r="J14" s="21"/>
      <c r="L14" s="20"/>
      <c r="M14" s="20"/>
      <c r="N14" s="20"/>
      <c r="P14" s="31"/>
      <c r="Q14" s="31"/>
      <c r="R14" s="31"/>
    </row>
    <row r="15" spans="1:18" s="14" customFormat="1" x14ac:dyDescent="0.25">
      <c r="A15" s="13"/>
      <c r="B15" s="21"/>
      <c r="C15" s="21"/>
      <c r="D15" s="20"/>
      <c r="E15" s="20"/>
      <c r="G15" s="13"/>
      <c r="H15" s="20"/>
      <c r="I15" s="20"/>
      <c r="J15" s="20"/>
      <c r="L15" s="15"/>
      <c r="M15" s="15"/>
      <c r="N15" s="15"/>
      <c r="P15" s="15"/>
      <c r="Q15" s="15"/>
      <c r="R15" s="15"/>
    </row>
    <row r="16" spans="1:18" s="14" customFormat="1" x14ac:dyDescent="0.25">
      <c r="A16" s="15"/>
      <c r="B16" s="21"/>
      <c r="C16" s="21"/>
      <c r="D16" s="20"/>
      <c r="E16" s="20"/>
      <c r="G16" s="15"/>
      <c r="H16" s="20"/>
      <c r="I16" s="20"/>
      <c r="J16" s="20"/>
      <c r="L16" s="13"/>
      <c r="P16" s="13"/>
    </row>
    <row r="17" spans="1:16" s="14" customFormat="1" x14ac:dyDescent="0.25">
      <c r="A17" s="15"/>
      <c r="B17" s="21"/>
      <c r="C17" s="21"/>
      <c r="D17" s="20"/>
      <c r="E17" s="20"/>
      <c r="G17" s="15"/>
      <c r="H17" s="20"/>
      <c r="I17" s="20"/>
      <c r="J17" s="20"/>
      <c r="L17" s="13"/>
      <c r="P17" s="13"/>
    </row>
    <row r="18" spans="1:16" s="14" customFormat="1" x14ac:dyDescent="0.25">
      <c r="A18" s="15"/>
      <c r="B18" s="21"/>
      <c r="C18" s="21"/>
      <c r="D18" s="20"/>
      <c r="E18" s="20"/>
      <c r="G18" s="15"/>
      <c r="H18" s="20"/>
      <c r="I18" s="20"/>
      <c r="J18" s="20"/>
      <c r="L18" s="13"/>
      <c r="P18" s="13"/>
    </row>
    <row r="19" spans="1:16" s="14" customFormat="1" x14ac:dyDescent="0.25">
      <c r="A19" s="15"/>
      <c r="B19" s="21"/>
      <c r="C19" s="21"/>
      <c r="D19" s="58"/>
      <c r="E19" s="58"/>
      <c r="G19" s="15"/>
      <c r="H19" s="58"/>
      <c r="I19" s="58"/>
      <c r="J19" s="58"/>
      <c r="L19" s="15"/>
      <c r="P19" s="15"/>
    </row>
    <row r="20" spans="1:16" s="14" customFormat="1" x14ac:dyDescent="0.25">
      <c r="B20" s="21"/>
      <c r="C20" s="21"/>
      <c r="D20" s="58"/>
      <c r="E20" s="58"/>
      <c r="G20" s="15"/>
      <c r="H20" s="58"/>
      <c r="I20" s="58"/>
      <c r="J20" s="58"/>
      <c r="L20" s="13"/>
    </row>
    <row r="21" spans="1:16" x14ac:dyDescent="0.25">
      <c r="B21" s="21"/>
      <c r="C21" s="21"/>
      <c r="D21" s="58"/>
      <c r="E21" s="58"/>
      <c r="F21" s="14"/>
      <c r="G21" s="15"/>
      <c r="H21" s="58"/>
      <c r="I21" s="58"/>
      <c r="J21" s="58"/>
      <c r="K21" s="14"/>
      <c r="L21" s="13"/>
      <c r="M21" s="14"/>
      <c r="N21" s="14"/>
    </row>
    <row r="22" spans="1:16" x14ac:dyDescent="0.25">
      <c r="B22" s="21"/>
      <c r="C22" s="21"/>
      <c r="D22" s="58"/>
      <c r="E22" s="58"/>
      <c r="F22" s="14"/>
      <c r="G22" s="15"/>
      <c r="H22" s="58"/>
      <c r="I22" s="58"/>
      <c r="J22" s="58"/>
      <c r="K22" s="14"/>
      <c r="L22" s="15"/>
      <c r="M22" s="14"/>
      <c r="N22" s="14"/>
    </row>
    <row r="23" spans="1:16" x14ac:dyDescent="0.25">
      <c r="B23" s="21"/>
      <c r="C23" s="21"/>
      <c r="D23" s="58"/>
      <c r="E23" s="58"/>
      <c r="F23" s="14"/>
      <c r="G23" s="15"/>
      <c r="H23" s="58"/>
      <c r="I23" s="58"/>
      <c r="J23" s="58"/>
      <c r="K23" s="14"/>
      <c r="L23" s="13"/>
      <c r="M23" s="14"/>
      <c r="N23" s="14"/>
      <c r="O23" s="2"/>
    </row>
    <row r="24" spans="1:16" s="2" customFormat="1" x14ac:dyDescent="0.25">
      <c r="B24" s="21"/>
      <c r="C24" s="21"/>
      <c r="D24" s="58"/>
      <c r="E24" s="58"/>
      <c r="F24" s="14"/>
      <c r="G24" s="15"/>
      <c r="H24" s="58"/>
      <c r="I24" s="58"/>
      <c r="J24" s="58"/>
      <c r="K24" s="14"/>
      <c r="L24" s="13"/>
      <c r="M24" s="14"/>
      <c r="N24" s="14"/>
      <c r="O24" s="3"/>
    </row>
    <row r="25" spans="1:16" x14ac:dyDescent="0.25">
      <c r="B25" s="21"/>
      <c r="C25" s="21"/>
      <c r="D25" s="58"/>
      <c r="E25" s="58"/>
      <c r="F25" s="14"/>
      <c r="G25" s="15"/>
      <c r="H25" s="58"/>
      <c r="I25" s="58"/>
      <c r="J25" s="58"/>
      <c r="K25" s="14"/>
      <c r="L25" s="15"/>
      <c r="M25" s="14"/>
      <c r="N25" s="14"/>
    </row>
    <row r="26" spans="1:16" x14ac:dyDescent="0.25">
      <c r="B26" s="21"/>
      <c r="C26" s="21"/>
      <c r="D26" s="58"/>
      <c r="E26" s="58"/>
      <c r="F26" s="14"/>
      <c r="G26" s="15"/>
      <c r="H26" s="58"/>
      <c r="I26" s="58"/>
      <c r="J26" s="58"/>
      <c r="K26" s="14"/>
      <c r="L26" s="13"/>
      <c r="M26" s="14"/>
      <c r="N26" s="14"/>
    </row>
    <row r="27" spans="1:16" x14ac:dyDescent="0.25">
      <c r="B27" s="21"/>
      <c r="C27" s="21"/>
      <c r="D27" s="58"/>
      <c r="E27" s="58"/>
      <c r="F27" s="14"/>
      <c r="G27" s="15"/>
      <c r="H27" s="58"/>
      <c r="I27" s="58"/>
      <c r="J27" s="58"/>
      <c r="K27" s="14"/>
      <c r="L27" s="13"/>
      <c r="M27" s="14"/>
      <c r="N27" s="14"/>
    </row>
    <row r="28" spans="1:16" x14ac:dyDescent="0.25">
      <c r="B28" s="21"/>
      <c r="C28" s="21"/>
      <c r="D28" s="58"/>
      <c r="E28" s="58"/>
      <c r="F28" s="14"/>
      <c r="G28" s="15"/>
      <c r="H28" s="58"/>
      <c r="I28" s="58"/>
      <c r="J28" s="58"/>
      <c r="K28" s="14"/>
      <c r="L28" s="15"/>
      <c r="M28" s="14"/>
      <c r="N28" s="14"/>
    </row>
    <row r="29" spans="1:16" x14ac:dyDescent="0.25">
      <c r="B29" s="21"/>
      <c r="C29" s="21"/>
      <c r="D29" s="58"/>
      <c r="E29" s="58"/>
      <c r="F29" s="14"/>
      <c r="G29" s="15"/>
      <c r="H29" s="58"/>
      <c r="I29" s="58"/>
      <c r="J29" s="58"/>
      <c r="K29" s="14"/>
      <c r="L29" s="13"/>
      <c r="M29" s="14"/>
      <c r="N29" s="14"/>
    </row>
    <row r="30" spans="1:16" x14ac:dyDescent="0.25">
      <c r="B30" s="21"/>
      <c r="C30" s="21"/>
      <c r="D30" s="58"/>
      <c r="E30" s="58"/>
      <c r="F30" s="14"/>
      <c r="G30" s="15"/>
      <c r="H30" s="58"/>
      <c r="I30" s="58"/>
      <c r="J30" s="58"/>
      <c r="K30" s="14"/>
      <c r="L30" s="13"/>
      <c r="M30" s="14"/>
      <c r="N30" s="14"/>
    </row>
    <row r="31" spans="1:16" x14ac:dyDescent="0.25">
      <c r="B31" s="21"/>
      <c r="C31" s="21"/>
      <c r="D31" s="58"/>
      <c r="E31" s="58"/>
      <c r="F31" s="14"/>
      <c r="G31" s="15"/>
      <c r="H31" s="58"/>
      <c r="I31" s="58"/>
      <c r="J31" s="58"/>
      <c r="K31" s="14"/>
      <c r="L31" s="15"/>
      <c r="M31" s="14"/>
      <c r="N31" s="14"/>
    </row>
    <row r="32" spans="1:16" x14ac:dyDescent="0.25">
      <c r="B32" s="21"/>
      <c r="C32" s="21"/>
      <c r="D32" s="58"/>
      <c r="E32" s="58"/>
      <c r="F32" s="14"/>
      <c r="G32" s="15"/>
      <c r="H32" s="58"/>
      <c r="I32" s="58"/>
      <c r="J32" s="58"/>
      <c r="K32" s="14"/>
      <c r="L32" s="13"/>
      <c r="M32" s="14"/>
      <c r="N32" s="14"/>
    </row>
    <row r="33" spans="1:14" x14ac:dyDescent="0.25">
      <c r="B33" s="21"/>
      <c r="C33" s="21"/>
      <c r="D33" s="58"/>
      <c r="E33" s="58"/>
      <c r="F33" s="14"/>
      <c r="G33" s="15"/>
      <c r="H33" s="58"/>
      <c r="I33" s="58"/>
      <c r="J33" s="58"/>
      <c r="K33" s="14"/>
      <c r="L33" s="13"/>
      <c r="M33" s="14"/>
      <c r="N33" s="14"/>
    </row>
    <row r="36" spans="1:14" x14ac:dyDescent="0.25">
      <c r="A36" s="1"/>
      <c r="B36" s="1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R15"/>
  <sheetViews>
    <sheetView workbookViewId="0"/>
  </sheetViews>
  <sheetFormatPr defaultRowHeight="15" x14ac:dyDescent="0.25"/>
  <cols>
    <col min="2" max="2" width="9.140625" style="78"/>
  </cols>
  <sheetData>
    <row r="1" spans="1:18" ht="15.75" thickBot="1" x14ac:dyDescent="0.3">
      <c r="C1" s="171" t="s">
        <v>13</v>
      </c>
      <c r="D1" s="169"/>
      <c r="E1" s="169" t="s">
        <v>12</v>
      </c>
      <c r="F1" s="169"/>
      <c r="G1" s="169" t="s">
        <v>11</v>
      </c>
      <c r="H1" s="169"/>
      <c r="I1" s="169" t="s">
        <v>10</v>
      </c>
      <c r="J1" s="169"/>
      <c r="K1" s="169" t="s">
        <v>9</v>
      </c>
      <c r="L1" s="169"/>
      <c r="M1" s="169" t="s">
        <v>8</v>
      </c>
      <c r="N1" s="169"/>
      <c r="O1" s="169" t="s">
        <v>7</v>
      </c>
      <c r="P1" s="170"/>
    </row>
    <row r="2" spans="1:18" ht="15.75" thickBot="1" x14ac:dyDescent="0.3">
      <c r="B2" s="80" t="s">
        <v>53</v>
      </c>
      <c r="C2" s="82" t="s">
        <v>26</v>
      </c>
      <c r="D2" s="79" t="s">
        <v>24</v>
      </c>
      <c r="E2" s="79" t="s">
        <v>26</v>
      </c>
      <c r="F2" s="79" t="s">
        <v>24</v>
      </c>
      <c r="G2" s="79" t="s">
        <v>26</v>
      </c>
      <c r="H2" s="79" t="s">
        <v>24</v>
      </c>
      <c r="I2" s="79" t="s">
        <v>26</v>
      </c>
      <c r="J2" s="79" t="s">
        <v>24</v>
      </c>
      <c r="K2" s="79" t="s">
        <v>26</v>
      </c>
      <c r="L2" s="79" t="s">
        <v>24</v>
      </c>
      <c r="M2" s="79" t="s">
        <v>26</v>
      </c>
      <c r="N2" s="79" t="s">
        <v>24</v>
      </c>
      <c r="O2" s="79" t="s">
        <v>26</v>
      </c>
      <c r="P2" s="85" t="s">
        <v>24</v>
      </c>
      <c r="Q2" s="57"/>
      <c r="R2" s="57"/>
    </row>
    <row r="3" spans="1:18" ht="15.75" thickBot="1" x14ac:dyDescent="0.3">
      <c r="A3" t="s">
        <v>42</v>
      </c>
      <c r="B3" s="98">
        <v>2</v>
      </c>
      <c r="C3" s="86">
        <f t="array" ref="C3">RTD("tickerplantrtdserver",,"FWRC1#USDINR#Month Wise Rates#0#BidPrice0")</f>
        <v>74.62</v>
      </c>
      <c r="D3" s="87">
        <f t="array" ref="D3">RTD("tickerplantrtdserver",,"FWRC1#USDINR#Month Wise Rates#0#AskPrice0")</f>
        <v>74.63</v>
      </c>
      <c r="E3" s="87">
        <f t="array" ref="E3">RTD("tickerplantrtdserver",,"FWRC1#EURINR#Month Wise Rates#0#BidPrice0")</f>
        <v>83.864999999999995</v>
      </c>
      <c r="F3" s="87">
        <f t="array" ref="F3">RTD("tickerplantrtdserver",,"FWRC1#EURINR#Month Wise Rates#0#AskPrice0")</f>
        <v>83.88</v>
      </c>
      <c r="G3" s="87">
        <f t="array" ref="G3">RTD("tickerplantrtdserver",,"FWRC1#GBPINR#Month Wise Rates#0#BidPrice0")</f>
        <v>93.015000000000001</v>
      </c>
      <c r="H3" s="87">
        <f t="array" ref="H3">RTD("tickerplantrtdserver",,"FWRC1#GBPINR#Month Wise Rates#0#AskPrice0")</f>
        <v>93.045000000000002</v>
      </c>
      <c r="I3" s="88">
        <f t="array" ref="I3">RTD("tickerplantrtdserver",,"FWRC1#JPYINR#Month Wise Rates#0#BidPrice0")</f>
        <v>69.435000000000002</v>
      </c>
      <c r="J3" s="88">
        <f t="array" ref="J3">RTD("tickerplantrtdserver",,"FWRC1#JPYINR#Month Wise Rates#0#AskPrice0")</f>
        <v>69.459999999999994</v>
      </c>
      <c r="K3" s="88">
        <f t="array" ref="K3">RTD("tickerplantrtdserver",,"FWRC1#EURUSD#Month Wise Rates#0#BidPrice0")</f>
        <v>1.1228</v>
      </c>
      <c r="L3" s="88">
        <f t="array" ref="L3">RTD("tickerplantrtdserver",,"FWRC1#EURUSD#Month Wise Rates#0#AskPrice0")</f>
        <v>1.1232</v>
      </c>
      <c r="M3" s="88">
        <f t="array" ref="M3">RTD("tickerplantrtdserver",,"FWRC1#GBPUSD#Month Wise Rates#0#BidPrice0")</f>
        <v>1.2456199999999999</v>
      </c>
      <c r="N3" s="88">
        <f t="array" ref="N3">RTD("tickerplantrtdserver",,"FWRC1#GBPUSD#Month Wise Rates#0#AskPrice0")</f>
        <v>1.2457</v>
      </c>
      <c r="O3" s="89">
        <f t="array" ref="O3">RTD("tickerplantrtdserver",,"FWRC1#USDJPY#Month Wise Rates#0#BidPrice0")</f>
        <v>107.50700000000001</v>
      </c>
      <c r="P3" s="90">
        <f t="array" ref="P3">RTD("tickerplantrtdserver",,"FWRC1#USDJPY#Month Wise Rates#0#AskPrice0")</f>
        <v>107.51600000000001</v>
      </c>
    </row>
    <row r="4" spans="1:18" ht="15" customHeight="1" x14ac:dyDescent="0.25">
      <c r="A4" s="101" t="s">
        <v>36</v>
      </c>
      <c r="B4" s="99">
        <v>33</v>
      </c>
      <c r="C4" s="91">
        <f t="array" ref="C4">RTD("tickerplantrtdserver",,"FWRC1#USDINR#Month Wise Rates#0#BidPrice7")</f>
        <v>20.008099999999999</v>
      </c>
      <c r="D4" s="83">
        <f t="array" ref="D4">RTD("tickerplantrtdserver",,"FWRC1#USDINR#Month Wise Rates#0#AskPrice7")</f>
        <v>22.008099999999999</v>
      </c>
      <c r="E4" s="81">
        <f t="array" ref="E4">RTD("tickerplantrtdserver",,"FWRC1#EURINR#Month Wise Rates#0#BidPrice7")</f>
        <v>28.9711</v>
      </c>
      <c r="F4" s="81">
        <f t="array" ref="F4">RTD("tickerplantrtdserver",,"FWRC1#EURINR#Month Wise Rates#0#AskPrice7")</f>
        <v>31.372399999999999</v>
      </c>
      <c r="G4" s="81">
        <f>RTD("tickerplantrtdserver",,"FWRC1#GBPINR#Month Wise Rates#0#BidPrice7")/100</f>
        <v>27.506360000000001</v>
      </c>
      <c r="H4" s="81">
        <f>RTD("tickerplantrtdserver",,"FWRC1#GBPINR#Month Wise Rates#0#AskPrice7")/100</f>
        <v>30.229879</v>
      </c>
      <c r="I4" s="84">
        <f>RTD("tickerplantrtdserver",,"FWRC1#JPYINR#Month Wise Rates#0#BidPrice7")/100</f>
        <v>21.967568999999997</v>
      </c>
      <c r="J4" s="84">
        <f>RTD("tickerplantrtdserver",,"FWRC1#JPYINR#Month Wise Rates#0#AskPrice7")/100</f>
        <v>23.900466999999999</v>
      </c>
      <c r="K4" s="84">
        <f t="array" ref="K4">RTD("tickerplantrtdserver",,"FWRC1#EURUSD#Month Wise Rates#0#BidPrice7")</f>
        <v>7.57</v>
      </c>
      <c r="L4" s="84">
        <f t="array" ref="L4">RTD("tickerplantrtdserver",,"FWRC1#EURUSD#Month Wise Rates#0#AskPrice7")</f>
        <v>7.77</v>
      </c>
      <c r="M4" s="84">
        <f t="array" ref="M4">RTD("tickerplantrtdserver",,"FWRC1#GBPUSD#Month Wise Rates#0#BidPrice7")</f>
        <v>2.21</v>
      </c>
      <c r="N4" s="84">
        <f t="array" ref="N4">RTD("tickerplantrtdserver",,"FWRC1#GBPUSD#Month Wise Rates#0#AskPrice7")</f>
        <v>2.5099999999999998</v>
      </c>
      <c r="O4" s="84">
        <f t="array" ref="O4">RTD("tickerplantrtdserver",,"FWRC1#USDJPY#Month Wise Rates#0#BidPrice7")</f>
        <v>-4.22</v>
      </c>
      <c r="P4" s="92">
        <f t="array" ref="P4">RTD("tickerplantrtdserver",,"FWRC1#USDJPY#Month Wise Rates#0#AskPrice7")</f>
        <v>-4.12</v>
      </c>
    </row>
    <row r="5" spans="1:18" x14ac:dyDescent="0.25">
      <c r="A5" s="102" t="s">
        <v>37</v>
      </c>
      <c r="B5" s="99">
        <v>61</v>
      </c>
      <c r="C5" s="93">
        <f t="array" ref="C5">RTD("tickerplantrtdserver",,"FWRC1#USDINR#Month Wise Rates#0#BidPrice8")</f>
        <v>43.616700000000002</v>
      </c>
      <c r="D5" s="81">
        <f t="array" ref="D5">RTD("tickerplantrtdserver",,"FWRC1#USDINR#Month Wise Rates#0#AskPrice8")</f>
        <v>45.616700000000002</v>
      </c>
      <c r="E5" s="81">
        <f t="array" ref="E5">RTD("tickerplantrtdserver",,"FWRC1#EURINR#Month Wise Rates#0#BidPrice8")</f>
        <v>60.838500000000003</v>
      </c>
      <c r="F5" s="81">
        <f t="array" ref="F5">RTD("tickerplantrtdserver",,"FWRC1#EURINR#Month Wise Rates#0#AskPrice8")</f>
        <v>63.293700000000001</v>
      </c>
      <c r="G5" s="81">
        <f>RTD("tickerplantrtdserver",,"FWRC1#GBPINR#Month Wise Rates#0#BidPrice8")/100</f>
        <v>57.769759999999998</v>
      </c>
      <c r="H5" s="81">
        <f>RTD("tickerplantrtdserver",,"FWRC1#GBPINR#Month Wise Rates#0#AskPrice8")/100</f>
        <v>60.640695999999998</v>
      </c>
      <c r="I5" s="84">
        <f>RTD("tickerplantrtdserver",,"FWRC1#JPYINR#Month Wise Rates#0#BidPrice8")/100</f>
        <v>46.051927999999997</v>
      </c>
      <c r="J5" s="84">
        <f>RTD("tickerplantrtdserver",,"FWRC1#JPYINR#Month Wise Rates#0#AskPrice8")/100</f>
        <v>48.108023999999993</v>
      </c>
      <c r="K5" s="84">
        <f t="array" ref="K5">RTD("tickerplantrtdserver",,"FWRC1#EURUSD#Month Wise Rates#0#BidPrice8")</f>
        <v>15.603999999999999</v>
      </c>
      <c r="L5" s="84">
        <f t="array" ref="L5">RTD("tickerplantrtdserver",,"FWRC1#EURUSD#Month Wise Rates#0#AskPrice8")</f>
        <v>15.635999999999999</v>
      </c>
      <c r="M5" s="84">
        <f t="array" ref="M5">RTD("tickerplantrtdserver",,"FWRC1#GBPUSD#Month Wise Rates#0#BidPrice8")</f>
        <v>4.16</v>
      </c>
      <c r="N5" s="84">
        <f t="array" ref="N5">RTD("tickerplantrtdserver",,"FWRC1#GBPUSD#Month Wise Rates#0#AskPrice8")</f>
        <v>4.66</v>
      </c>
      <c r="O5" s="84">
        <f t="array" ref="O5">RTD("tickerplantrtdserver",,"FWRC1#USDJPY#Month Wise Rates#0#BidPrice8")</f>
        <v>-8.32</v>
      </c>
      <c r="P5" s="92">
        <f t="array" ref="P5">RTD("tickerplantrtdserver",,"FWRC1#USDJPY#Month Wise Rates#0#AskPrice8")</f>
        <v>-8.0299999999999994</v>
      </c>
    </row>
    <row r="6" spans="1:18" x14ac:dyDescent="0.25">
      <c r="A6" s="102" t="s">
        <v>35</v>
      </c>
      <c r="B6" s="99">
        <v>92</v>
      </c>
      <c r="C6" s="93">
        <f t="array" ref="C6">RTD("tickerplantrtdserver",,"FWRC1#USDINR#Month Wise Rates#0#BidPrice9")</f>
        <v>64.508600000000001</v>
      </c>
      <c r="D6" s="81">
        <f t="array" ref="D6">RTD("tickerplantrtdserver",,"FWRC1#USDINR#Month Wise Rates#0#AskPrice9")</f>
        <v>66.508600000000001</v>
      </c>
      <c r="E6" s="81">
        <f t="array" ref="E6">RTD("tickerplantrtdserver",,"FWRC1#EURINR#Month Wise Rates#0#BidPrice9")</f>
        <v>91.246600000000001</v>
      </c>
      <c r="F6" s="81">
        <f t="array" ref="F6">RTD("tickerplantrtdserver",,"FWRC1#EURINR#Month Wise Rates#0#AskPrice9")</f>
        <v>93.537400000000005</v>
      </c>
      <c r="G6" s="81">
        <f>RTD("tickerplantrtdserver",,"FWRC1#GBPINR#Month Wise Rates#0#BidPrice9")/100</f>
        <v>86.539542999999995</v>
      </c>
      <c r="H6" s="81">
        <f>RTD("tickerplantrtdserver",,"FWRC1#GBPINR#Month Wise Rates#0#AskPrice9")/100</f>
        <v>89.563440999999997</v>
      </c>
      <c r="I6" s="84">
        <f>RTD("tickerplantrtdserver",,"FWRC1#JPYINR#Month Wise Rates#0#BidPrice9")/100</f>
        <v>69.910114000000007</v>
      </c>
      <c r="J6" s="84">
        <f>RTD("tickerplantrtdserver",,"FWRC1#JPYINR#Month Wise Rates#0#AskPrice9")/100</f>
        <v>71.944224000000006</v>
      </c>
      <c r="K6" s="84">
        <f t="array" ref="K6">RTD("tickerplantrtdserver",,"FWRC1#EURUSD#Month Wise Rates#0#BidPrice9")</f>
        <v>22.99</v>
      </c>
      <c r="L6" s="84">
        <f t="array" ref="L6">RTD("tickerplantrtdserver",,"FWRC1#EURUSD#Month Wise Rates#0#AskPrice9")</f>
        <v>23.24</v>
      </c>
      <c r="M6" s="84">
        <f t="array" ref="M6">RTD("tickerplantrtdserver",,"FWRC1#GBPUSD#Month Wise Rates#0#BidPrice9")</f>
        <v>6.11</v>
      </c>
      <c r="N6" s="84">
        <f t="array" ref="N6">RTD("tickerplantrtdserver",,"FWRC1#GBPUSD#Month Wise Rates#0#AskPrice9")</f>
        <v>6.81</v>
      </c>
      <c r="O6" s="84">
        <f t="array" ref="O6">RTD("tickerplantrtdserver",,"FWRC1#USDJPY#Month Wise Rates#0#BidPrice9")</f>
        <v>-13.94</v>
      </c>
      <c r="P6" s="92">
        <f t="array" ref="P6">RTD("tickerplantrtdserver",,"FWRC1#USDJPY#Month Wise Rates#0#AskPrice9")</f>
        <v>-13.69</v>
      </c>
    </row>
    <row r="7" spans="1:18" x14ac:dyDescent="0.25">
      <c r="A7" s="102" t="s">
        <v>38</v>
      </c>
      <c r="B7" s="99">
        <v>125</v>
      </c>
      <c r="C7" s="93">
        <f t="array" ref="C7">RTD("tickerplantrtdserver",,"FWRC1#USDINR#Month Wise Rates#0#BidPrice10")</f>
        <v>89.025899999999993</v>
      </c>
      <c r="D7" s="81">
        <f t="array" ref="D7">RTD("tickerplantrtdserver",,"FWRC1#USDINR#Month Wise Rates#0#AskPrice10")</f>
        <v>91.025899999999993</v>
      </c>
      <c r="E7" s="81">
        <f t="array" ref="E7">RTD("tickerplantrtdserver",,"FWRC1#EURINR#Month Wise Rates#0#BidPrice10")</f>
        <v>124.74679999999999</v>
      </c>
      <c r="F7" s="81">
        <f t="array" ref="F7">RTD("tickerplantrtdserver",,"FWRC1#EURINR#Month Wise Rates#0#AskPrice10")</f>
        <v>127.1177</v>
      </c>
      <c r="G7" s="81">
        <f>RTD("tickerplantrtdserver",,"FWRC1#GBPINR#Month Wise Rates#0#BidPrice10")/100</f>
        <v>118.14787700000001</v>
      </c>
      <c r="H7" s="81">
        <f>RTD("tickerplantrtdserver",,"FWRC1#GBPINR#Month Wise Rates#0#AskPrice10")/100</f>
        <v>121.35263999999999</v>
      </c>
      <c r="I7" s="84">
        <f>RTD("tickerplantrtdserver",,"FWRC1#JPYINR#Month Wise Rates#0#BidPrice10")/100</f>
        <v>94.844505000000012</v>
      </c>
      <c r="J7" s="84">
        <f>RTD("tickerplantrtdserver",,"FWRC1#JPYINR#Month Wise Rates#0#AskPrice10")/100</f>
        <v>97.702764999999999</v>
      </c>
      <c r="K7" s="84">
        <f t="array" ref="K7">RTD("tickerplantrtdserver",,"FWRC1#EURUSD#Month Wise Rates#0#BidPrice10")</f>
        <v>30.99</v>
      </c>
      <c r="L7" s="84">
        <f t="array" ref="L7">RTD("tickerplantrtdserver",,"FWRC1#EURUSD#Month Wise Rates#0#AskPrice10")</f>
        <v>31.42</v>
      </c>
      <c r="M7" s="84">
        <f t="array" ref="M7">RTD("tickerplantrtdserver",,"FWRC1#GBPUSD#Month Wise Rates#0#BidPrice10")</f>
        <v>7.65</v>
      </c>
      <c r="N7" s="84">
        <f t="array" ref="N7">RTD("tickerplantrtdserver",,"FWRC1#GBPUSD#Month Wise Rates#0#AskPrice10")</f>
        <v>8.57</v>
      </c>
      <c r="O7" s="84">
        <f t="array" ref="O7">RTD("tickerplantrtdserver",,"FWRC1#USDJPY#Month Wise Rates#0#BidPrice10")</f>
        <v>-18.5</v>
      </c>
      <c r="P7" s="92">
        <f t="array" ref="P7">RTD("tickerplantrtdserver",,"FWRC1#USDJPY#Month Wise Rates#0#AskPrice10")</f>
        <v>-17</v>
      </c>
    </row>
    <row r="8" spans="1:18" x14ac:dyDescent="0.25">
      <c r="A8" s="102" t="s">
        <v>39</v>
      </c>
      <c r="B8" s="99">
        <v>153</v>
      </c>
      <c r="C8" s="93">
        <f t="array" ref="C8">RTD("tickerplantrtdserver",,"FWRC1#USDINR#Month Wise Rates#0#BidPrice11")</f>
        <v>113.3676</v>
      </c>
      <c r="D8" s="81">
        <f t="array" ref="D8">RTD("tickerplantrtdserver",,"FWRC1#USDINR#Month Wise Rates#0#AskPrice11")</f>
        <v>115.3676</v>
      </c>
      <c r="E8" s="81">
        <f t="array" ref="E8">RTD("tickerplantrtdserver",,"FWRC1#EURINR#Month Wise Rates#0#BidPrice11")</f>
        <v>153.92840000000001</v>
      </c>
      <c r="F8" s="81">
        <f t="array" ref="F8">RTD("tickerplantrtdserver",,"FWRC1#EURINR#Month Wise Rates#0#AskPrice11")</f>
        <v>156.65219999999999</v>
      </c>
      <c r="G8" s="81">
        <f>RTD("tickerplantrtdserver",,"FWRC1#GBPINR#Month Wise Rates#0#BidPrice11")/100</f>
        <v>145.81911400000001</v>
      </c>
      <c r="H8" s="81">
        <f>RTD("tickerplantrtdserver",,"FWRC1#GBPINR#Month Wise Rates#0#AskPrice11")/100</f>
        <v>149.152997</v>
      </c>
      <c r="I8" s="84">
        <f>RTD("tickerplantrtdserver",,"FWRC1#JPYINR#Month Wise Rates#0#BidPrice11")/100</f>
        <v>117.704978</v>
      </c>
      <c r="J8" s="84">
        <f>RTD("tickerplantrtdserver",,"FWRC1#JPYINR#Month Wise Rates#0#AskPrice11")/100</f>
        <v>120.609239</v>
      </c>
      <c r="K8" s="84">
        <f t="array" ref="K8">RTD("tickerplantrtdserver",,"FWRC1#EURUSD#Month Wise Rates#0#BidPrice11")</f>
        <v>37.659999999999997</v>
      </c>
      <c r="L8" s="84">
        <f t="array" ref="L8">RTD("tickerplantrtdserver",,"FWRC1#EURUSD#Month Wise Rates#0#AskPrice11")</f>
        <v>38.26</v>
      </c>
      <c r="M8" s="84">
        <f t="array" ref="M8">RTD("tickerplantrtdserver",,"FWRC1#GBPUSD#Month Wise Rates#0#BidPrice11")</f>
        <v>8.84</v>
      </c>
      <c r="N8" s="84">
        <f t="array" ref="N8">RTD("tickerplantrtdserver",,"FWRC1#GBPUSD#Month Wise Rates#0#AskPrice11")</f>
        <v>9.94</v>
      </c>
      <c r="O8" s="84">
        <f t="array" ref="O8">RTD("tickerplantrtdserver",,"FWRC1#USDJPY#Month Wise Rates#0#BidPrice11")</f>
        <v>-22.63</v>
      </c>
      <c r="P8" s="92">
        <f t="array" ref="P8">RTD("tickerplantrtdserver",,"FWRC1#USDJPY#Month Wise Rates#0#AskPrice11")</f>
        <v>-21.13</v>
      </c>
    </row>
    <row r="9" spans="1:18" x14ac:dyDescent="0.25">
      <c r="A9" s="102" t="s">
        <v>34</v>
      </c>
      <c r="B9" s="99">
        <v>184</v>
      </c>
      <c r="C9" s="93">
        <f t="array" ref="C9">RTD("tickerplantrtdserver",,"FWRC1#USDINR#Month Wise Rates#0#BidPrice12")</f>
        <v>137.0086</v>
      </c>
      <c r="D9" s="81">
        <f t="array" ref="D9">RTD("tickerplantrtdserver",,"FWRC1#USDINR#Month Wise Rates#0#AskPrice12")</f>
        <v>139.0086</v>
      </c>
      <c r="E9" s="81">
        <f t="array" ref="E9">RTD("tickerplantrtdserver",,"FWRC1#EURINR#Month Wise Rates#0#BidPrice12")</f>
        <v>193.24610000000001</v>
      </c>
      <c r="F9" s="81">
        <f t="array" ref="F9">RTD("tickerplantrtdserver",,"FWRC1#EURINR#Month Wise Rates#0#AskPrice12")</f>
        <v>196.05369999999999</v>
      </c>
      <c r="G9" s="81">
        <f>RTD("tickerplantrtdserver",,"FWRC1#GBPINR#Month Wise Rates#0#BidPrice12")/100</f>
        <v>183.10454799999999</v>
      </c>
      <c r="H9" s="81">
        <f>RTD("tickerplantrtdserver",,"FWRC1#GBPINR#Month Wise Rates#0#AskPrice12")/100</f>
        <v>186.37224399999999</v>
      </c>
      <c r="I9" s="84">
        <f>RTD("tickerplantrtdserver",,"FWRC1#JPYINR#Month Wise Rates#0#BidPrice12")/100</f>
        <v>151.29700399999999</v>
      </c>
      <c r="J9" s="84">
        <f>RTD("tickerplantrtdserver",,"FWRC1#JPYINR#Month Wise Rates#0#AskPrice12")/100</f>
        <v>154.17467399999998</v>
      </c>
      <c r="K9" s="84">
        <f t="array" ref="K9">RTD("tickerplantrtdserver",,"FWRC1#EURUSD#Month Wise Rates#0#BidPrice12")</f>
        <v>50.54</v>
      </c>
      <c r="L9" s="84">
        <f t="array" ref="L9">RTD("tickerplantrtdserver",,"FWRC1#EURUSD#Month Wise Rates#0#AskPrice12")</f>
        <v>51.34</v>
      </c>
      <c r="M9" s="84">
        <f t="array" ref="M9">RTD("tickerplantrtdserver",,"FWRC1#GBPUSD#Month Wise Rates#0#BidPrice12")</f>
        <v>14.61</v>
      </c>
      <c r="N9" s="84">
        <f t="array" ref="N9">RTD("tickerplantrtdserver",,"FWRC1#GBPUSD#Month Wise Rates#0#AskPrice12")</f>
        <v>15.91</v>
      </c>
      <c r="O9" s="84">
        <f t="array" ref="O9">RTD("tickerplantrtdserver",,"FWRC1#USDJPY#Month Wise Rates#0#BidPrice12")</f>
        <v>-36.22</v>
      </c>
      <c r="P9" s="92">
        <f t="array" ref="P9">RTD("tickerplantrtdserver",,"FWRC1#USDJPY#Month Wise Rates#0#AskPrice12")</f>
        <v>-34.72</v>
      </c>
    </row>
    <row r="10" spans="1:18" x14ac:dyDescent="0.25">
      <c r="A10" s="102" t="s">
        <v>43</v>
      </c>
      <c r="B10" s="99">
        <v>215</v>
      </c>
      <c r="C10" s="93">
        <f t="array" ref="C10">RTD("tickerplantrtdserver",,"FWRC1#USDINR#Month Wise Rates#0#BidPrice13")</f>
        <v>163.1071</v>
      </c>
      <c r="D10" s="81">
        <f t="array" ref="D10">RTD("tickerplantrtdserver",,"FWRC1#USDINR#Month Wise Rates#0#AskPrice13")</f>
        <v>165.1071</v>
      </c>
      <c r="E10" s="81">
        <f t="array" ref="E10">RTD("tickerplantrtdserver",,"FWRC1#EURINR#Month Wise Rates#0#BidPrice13")</f>
        <v>227.96109999999999</v>
      </c>
      <c r="F10" s="81">
        <f t="array" ref="F10">RTD("tickerplantrtdserver",,"FWRC1#EURINR#Month Wise Rates#0#AskPrice13")</f>
        <v>232.90119999999999</v>
      </c>
      <c r="G10" s="81">
        <f>RTD("tickerplantrtdserver",,"FWRC1#GBPINR#Month Wise Rates#0#BidPrice13")/100</f>
        <v>215.440753</v>
      </c>
      <c r="H10" s="81">
        <f>RTD("tickerplantrtdserver",,"FWRC1#GBPINR#Month Wise Rates#0#AskPrice13")/100</f>
        <v>219.10281500000002</v>
      </c>
      <c r="I10" s="84">
        <f>RTD("tickerplantrtdserver",,"FWRC1#JPYINR#Month Wise Rates#0#BidPrice13")/100</f>
        <v>178.21740600000001</v>
      </c>
      <c r="J10" s="84">
        <f>RTD("tickerplantrtdserver",,"FWRC1#JPYINR#Month Wise Rates#0#AskPrice13")/100</f>
        <v>181.46673799999999</v>
      </c>
      <c r="K10" s="84">
        <f t="array" ref="K10">RTD("tickerplantrtdserver",,"FWRC1#EURUSD#Month Wise Rates#0#BidPrice13")</f>
        <v>58.33</v>
      </c>
      <c r="L10" s="84">
        <f t="array" ref="L10">RTD("tickerplantrtdserver",,"FWRC1#EURUSD#Month Wise Rates#0#AskPrice13")</f>
        <v>61.83</v>
      </c>
      <c r="M10" s="84">
        <f t="array" ref="M10">RTD("tickerplantrtdserver",,"FWRC1#GBPUSD#Month Wise Rates#0#BidPrice13")</f>
        <v>15.74</v>
      </c>
      <c r="N10" s="84">
        <f t="array" ref="N10">RTD("tickerplantrtdserver",,"FWRC1#GBPUSD#Month Wise Rates#0#AskPrice13")</f>
        <v>17.25</v>
      </c>
      <c r="O10" s="84">
        <f t="array" ref="O10">RTD("tickerplantrtdserver",,"FWRC1#USDJPY#Month Wise Rates#0#BidPrice13")</f>
        <v>-41.28</v>
      </c>
      <c r="P10" s="92">
        <f t="array" ref="P10">RTD("tickerplantrtdserver",,"FWRC1#USDJPY#Month Wise Rates#0#AskPrice13")</f>
        <v>-39.28</v>
      </c>
    </row>
    <row r="11" spans="1:18" x14ac:dyDescent="0.25">
      <c r="A11" s="102" t="s">
        <v>44</v>
      </c>
      <c r="B11" s="99">
        <v>245</v>
      </c>
      <c r="C11" s="93">
        <f t="array" ref="C11">RTD("tickerplantrtdserver",,"FWRC1#USDINR#Month Wise Rates#0#BidPrice14")</f>
        <v>185.12880000000001</v>
      </c>
      <c r="D11" s="81">
        <f t="array" ref="D11">RTD("tickerplantrtdserver",,"FWRC1#USDINR#Month Wise Rates#0#AskPrice14")</f>
        <v>187.12880000000001</v>
      </c>
      <c r="E11" s="81">
        <f t="array" ref="E11">RTD("tickerplantrtdserver",,"FWRC1#EURINR#Month Wise Rates#0#BidPrice14")</f>
        <v>258.10539999999997</v>
      </c>
      <c r="F11" s="81">
        <f t="array" ref="F11">RTD("tickerplantrtdserver",,"FWRC1#EURINR#Month Wise Rates#0#AskPrice14")</f>
        <v>262.06889999999999</v>
      </c>
      <c r="G11" s="81">
        <f>RTD("tickerplantrtdserver",,"FWRC1#GBPINR#Month Wise Rates#0#BidPrice14")/100</f>
        <v>243.80373899999998</v>
      </c>
      <c r="H11" s="81">
        <f>RTD("tickerplantrtdserver",,"FWRC1#GBPINR#Month Wise Rates#0#AskPrice14")/100</f>
        <v>247.61550599999998</v>
      </c>
      <c r="I11" s="84">
        <f>RTD("tickerplantrtdserver",,"FWRC1#JPYINR#Month Wise Rates#0#BidPrice14")/100</f>
        <v>201.74889999999999</v>
      </c>
      <c r="J11" s="84">
        <f>RTD("tickerplantrtdserver",,"FWRC1#JPYINR#Month Wise Rates#0#AskPrice14")/100</f>
        <v>205.010166</v>
      </c>
      <c r="K11" s="84">
        <f t="array" ref="K11">RTD("tickerplantrtdserver",,"FWRC1#EURUSD#Month Wise Rates#0#BidPrice14")</f>
        <v>65.05</v>
      </c>
      <c r="L11" s="84">
        <f t="array" ref="L11">RTD("tickerplantrtdserver",,"FWRC1#EURUSD#Month Wise Rates#0#AskPrice14")</f>
        <v>67.25</v>
      </c>
      <c r="M11" s="84">
        <f t="array" ref="M11">RTD("tickerplantrtdserver",,"FWRC1#GBPUSD#Month Wise Rates#0#BidPrice14")</f>
        <v>16.8</v>
      </c>
      <c r="N11" s="84">
        <f t="array" ref="N11">RTD("tickerplantrtdserver",,"FWRC1#GBPUSD#Month Wise Rates#0#AskPrice14")</f>
        <v>18.5</v>
      </c>
      <c r="O11" s="84">
        <f t="array" ref="O11">RTD("tickerplantrtdserver",,"FWRC1#USDJPY#Month Wise Rates#0#BidPrice14")</f>
        <v>-45.73</v>
      </c>
      <c r="P11" s="92">
        <f t="array" ref="P11">RTD("tickerplantrtdserver",,"FWRC1#USDJPY#Month Wise Rates#0#AskPrice14")</f>
        <v>-43.73</v>
      </c>
    </row>
    <row r="12" spans="1:18" x14ac:dyDescent="0.25">
      <c r="A12" s="102" t="s">
        <v>40</v>
      </c>
      <c r="B12" s="99">
        <v>278</v>
      </c>
      <c r="C12" s="93">
        <f t="array" ref="C12">RTD("tickerplantrtdserver",,"FWRC1#USDINR#Month Wise Rates#0#BidPrice15")</f>
        <v>209.05</v>
      </c>
      <c r="D12" s="81">
        <f t="array" ref="D12">RTD("tickerplantrtdserver",,"FWRC1#USDINR#Month Wise Rates#0#AskPrice15")</f>
        <v>211.05</v>
      </c>
      <c r="E12" s="81">
        <f t="array" ref="E12">RTD("tickerplantrtdserver",,"FWRC1#EURINR#Month Wise Rates#0#BidPrice15")</f>
        <v>292.2004</v>
      </c>
      <c r="F12" s="81">
        <f t="array" ref="F12">RTD("tickerplantrtdserver",,"FWRC1#EURINR#Month Wise Rates#0#AskPrice15")</f>
        <v>296.40370000000001</v>
      </c>
      <c r="G12" s="81">
        <f>RTD("tickerplantrtdserver",,"FWRC1#GBPINR#Month Wise Rates#0#BidPrice15")/100</f>
        <v>276.59846600000003</v>
      </c>
      <c r="H12" s="81">
        <f>RTD("tickerplantrtdserver",,"FWRC1#GBPINR#Month Wise Rates#0#AskPrice15")/100</f>
        <v>280.766661</v>
      </c>
      <c r="I12" s="84">
        <f>RTD("tickerplantrtdserver",,"FWRC1#JPYINR#Month Wise Rates#0#BidPrice15")/100</f>
        <v>229.17219700000001</v>
      </c>
      <c r="J12" s="84">
        <f>RTD("tickerplantrtdserver",,"FWRC1#JPYINR#Month Wise Rates#0#AskPrice15")/100</f>
        <v>232.11252100000002</v>
      </c>
      <c r="K12" s="84">
        <f t="array" ref="K12">RTD("tickerplantrtdserver",,"FWRC1#EURUSD#Month Wise Rates#0#BidPrice15")</f>
        <v>73.3</v>
      </c>
      <c r="L12" s="84">
        <f t="array" ref="L12">RTD("tickerplantrtdserver",,"FWRC1#EURUSD#Month Wise Rates#0#AskPrice15")</f>
        <v>75.8</v>
      </c>
      <c r="M12" s="84">
        <f t="array" ref="M12">RTD("tickerplantrtdserver",,"FWRC1#GBPUSD#Month Wise Rates#0#BidPrice15")</f>
        <v>18.899999999999999</v>
      </c>
      <c r="N12" s="84">
        <f t="array" ref="N12">RTD("tickerplantrtdserver",,"FWRC1#GBPUSD#Month Wise Rates#0#AskPrice15")</f>
        <v>21.05</v>
      </c>
      <c r="O12" s="84">
        <f t="array" ref="O12">RTD("tickerplantrtdserver",,"FWRC1#USDJPY#Month Wise Rates#0#BidPrice15")</f>
        <v>-52.7</v>
      </c>
      <c r="P12" s="92">
        <f t="array" ref="P12">RTD("tickerplantrtdserver",,"FWRC1#USDJPY#Month Wise Rates#0#AskPrice15")</f>
        <v>-51.2</v>
      </c>
    </row>
    <row r="13" spans="1:18" x14ac:dyDescent="0.25">
      <c r="A13" s="102" t="s">
        <v>45</v>
      </c>
      <c r="B13" s="99">
        <v>306</v>
      </c>
      <c r="C13" s="93">
        <f t="array" ref="C13">RTD("tickerplantrtdserver",,"FWRC1#USDINR#Month Wise Rates#0#BidPrice16")</f>
        <v>236.5565</v>
      </c>
      <c r="D13" s="81">
        <f t="array" ref="D13">RTD("tickerplantrtdserver",,"FWRC1#USDINR#Month Wise Rates#0#AskPrice16")</f>
        <v>238.5565</v>
      </c>
      <c r="E13" s="81">
        <f t="array" ref="E13">RTD("tickerplantrtdserver",,"FWRC1#EURINR#Month Wise Rates#0#BidPrice16")</f>
        <v>328.93950000000001</v>
      </c>
      <c r="F13" s="81">
        <f t="array" ref="F13">RTD("tickerplantrtdserver",,"FWRC1#EURINR#Month Wise Rates#0#AskPrice16")</f>
        <v>335.07940000000002</v>
      </c>
      <c r="G13" s="81">
        <f>RTD("tickerplantrtdserver",,"FWRC1#GBPINR#Month Wise Rates#0#BidPrice16")/100</f>
        <v>310.88540799999998</v>
      </c>
      <c r="H13" s="81">
        <f>RTD("tickerplantrtdserver",,"FWRC1#GBPINR#Month Wise Rates#0#AskPrice16")/100</f>
        <v>315.05133000000001</v>
      </c>
      <c r="I13" s="84">
        <f>RTD("tickerplantrtdserver",,"FWRC1#JPYINR#Month Wise Rates#0#BidPrice16")/100</f>
        <v>258.25818500000003</v>
      </c>
      <c r="J13" s="84">
        <f>RTD("tickerplantrtdserver",,"FWRC1#JPYINR#Month Wise Rates#0#AskPrice16")/100</f>
        <v>261.211839</v>
      </c>
      <c r="K13" s="84">
        <f t="array" ref="K13">RTD("tickerplantrtdserver",,"FWRC1#EURUSD#Month Wise Rates#0#BidPrice16")</f>
        <v>79.8</v>
      </c>
      <c r="L13" s="84">
        <f t="array" ref="L13">RTD("tickerplantrtdserver",,"FWRC1#EURUSD#Month Wise Rates#0#AskPrice16")</f>
        <v>84.8</v>
      </c>
      <c r="M13" s="84">
        <f t="array" ref="M13">RTD("tickerplantrtdserver",,"FWRC1#GBPUSD#Month Wise Rates#0#BidPrice16")</f>
        <v>19.7</v>
      </c>
      <c r="N13" s="84">
        <f t="array" ref="N13">RTD("tickerplantrtdserver",,"FWRC1#GBPUSD#Month Wise Rates#0#AskPrice16")</f>
        <v>20.9</v>
      </c>
      <c r="O13" s="84">
        <f t="array" ref="O13">RTD("tickerplantrtdserver",,"FWRC1#USDJPY#Month Wise Rates#0#BidPrice16")</f>
        <v>-57.94</v>
      </c>
      <c r="P13" s="92">
        <f t="array" ref="P13">RTD("tickerplantrtdserver",,"FWRC1#USDJPY#Month Wise Rates#0#AskPrice16")</f>
        <v>-56.44</v>
      </c>
    </row>
    <row r="14" spans="1:18" x14ac:dyDescent="0.25">
      <c r="A14" s="102" t="s">
        <v>46</v>
      </c>
      <c r="B14" s="99">
        <v>335</v>
      </c>
      <c r="C14" s="93">
        <f t="array" ref="C14">RTD("tickerplantrtdserver",,"FWRC1#USDINR#Month Wise Rates#0#BidPrice17")</f>
        <v>260.68329999999997</v>
      </c>
      <c r="D14" s="81">
        <f t="array" ref="D14">RTD("tickerplantrtdserver",,"FWRC1#USDINR#Month Wise Rates#0#AskPrice17")</f>
        <v>262.68329999999997</v>
      </c>
      <c r="E14" s="81">
        <f t="array" ref="E14">RTD("tickerplantrtdserver",,"FWRC1#EURINR#Month Wise Rates#0#BidPrice17")</f>
        <v>361.05990000000003</v>
      </c>
      <c r="F14" s="81">
        <f t="array" ref="F14">RTD("tickerplantrtdserver",,"FWRC1#EURINR#Month Wise Rates#0#AskPrice17")</f>
        <v>367.60160000000002</v>
      </c>
      <c r="G14" s="81">
        <f>RTD("tickerplantrtdserver",,"FWRC1#GBPINR#Month Wise Rates#0#BidPrice17")/100</f>
        <v>340.95056199999999</v>
      </c>
      <c r="H14" s="81">
        <f>RTD("tickerplantrtdserver",,"FWRC1#GBPINR#Month Wise Rates#0#AskPrice17")/100</f>
        <v>345.28956199999999</v>
      </c>
      <c r="I14" s="84">
        <f>RTD("tickerplantrtdserver",,"FWRC1#JPYINR#Month Wise Rates#0#BidPrice17")/100</f>
        <v>283.13076899999999</v>
      </c>
      <c r="J14" s="84">
        <f>RTD("tickerplantrtdserver",,"FWRC1#JPYINR#Month Wise Rates#0#AskPrice17")/100</f>
        <v>287.401093</v>
      </c>
      <c r="K14" s="84">
        <f t="array" ref="K14">RTD("tickerplantrtdserver",,"FWRC1#EURUSD#Month Wise Rates#0#BidPrice17")</f>
        <v>88.88</v>
      </c>
      <c r="L14" s="84">
        <f t="array" ref="L14">RTD("tickerplantrtdserver",,"FWRC1#EURUSD#Month Wise Rates#0#AskPrice17")</f>
        <v>94.38</v>
      </c>
      <c r="M14" s="84">
        <f t="array" ref="M14">RTD("tickerplantrtdserver",,"FWRC1#GBPUSD#Month Wise Rates#0#BidPrice17")</f>
        <v>20.399999999999999</v>
      </c>
      <c r="N14" s="84">
        <f t="array" ref="N14">RTD("tickerplantrtdserver",,"FWRC1#GBPUSD#Month Wise Rates#0#AskPrice17")</f>
        <v>22.7</v>
      </c>
      <c r="O14" s="84">
        <f t="array" ref="O14">RTD("tickerplantrtdserver",,"FWRC1#USDJPY#Month Wise Rates#0#BidPrice17")</f>
        <v>-63.18</v>
      </c>
      <c r="P14" s="92">
        <f t="array" ref="P14">RTD("tickerplantrtdserver",,"FWRC1#USDJPY#Month Wise Rates#0#AskPrice17")</f>
        <v>-59.68</v>
      </c>
    </row>
    <row r="15" spans="1:18" ht="15.75" thickBot="1" x14ac:dyDescent="0.3">
      <c r="A15" s="103" t="s">
        <v>33</v>
      </c>
      <c r="B15" s="100">
        <v>365</v>
      </c>
      <c r="C15" s="94">
        <f t="array" ref="C15">RTD("tickerplantrtdserver",,"FWRC1#USDINR#Month Wise Rates#0#BidPrice18")</f>
        <v>286.3</v>
      </c>
      <c r="D15" s="95">
        <f t="array" ref="D15">RTD("tickerplantrtdserver",,"FWRC1#USDINR#Month Wise Rates#0#AskPrice18")</f>
        <v>288.3</v>
      </c>
      <c r="E15" s="95">
        <f t="array" ref="E15">RTD("tickerplantrtdserver",,"FWRC1#EURINR#Month Wise Rates#0#BidPrice18")</f>
        <v>397.61669999999998</v>
      </c>
      <c r="F15" s="95">
        <f t="array" ref="F15">RTD("tickerplantrtdserver",,"FWRC1#EURINR#Month Wise Rates#0#AskPrice18")</f>
        <v>402.16180000000003</v>
      </c>
      <c r="G15" s="95">
        <f>RTD("tickerplantrtdserver",,"FWRC1#GBPINR#Month Wise Rates#0#BidPrice18")/100</f>
        <v>375.05058400000001</v>
      </c>
      <c r="H15" s="95">
        <f>RTD("tickerplantrtdserver",,"FWRC1#GBPINR#Month Wise Rates#0#AskPrice18")/100</f>
        <v>379.55747499999995</v>
      </c>
      <c r="I15" s="96">
        <f>RTD("tickerplantrtdserver",,"FWRC1#JPYINR#Month Wise Rates#0#BidPrice18")/100</f>
        <v>312.28951599999999</v>
      </c>
      <c r="J15" s="96">
        <f>RTD("tickerplantrtdserver",,"FWRC1#JPYINR#Month Wise Rates#0#AskPrice18")/100</f>
        <v>315.55476399999998</v>
      </c>
      <c r="K15" s="96">
        <f t="array" ref="K15">RTD("tickerplantrtdserver",,"FWRC1#EURUSD#Month Wise Rates#0#BidPrice18")</f>
        <v>96.72</v>
      </c>
      <c r="L15" s="96">
        <f t="array" ref="L15">RTD("tickerplantrtdserver",,"FWRC1#EURUSD#Month Wise Rates#0#AskPrice18")</f>
        <v>99.62</v>
      </c>
      <c r="M15" s="96">
        <f t="array" ref="M15">RTD("tickerplantrtdserver",,"FWRC1#GBPUSD#Month Wise Rates#0#BidPrice18")</f>
        <v>21.74</v>
      </c>
      <c r="N15" s="96">
        <f t="array" ref="N15">RTD("tickerplantrtdserver",,"FWRC1#GBPUSD#Month Wise Rates#0#AskPrice18")</f>
        <v>24.24</v>
      </c>
      <c r="O15" s="96">
        <f t="array" ref="O15">RTD("tickerplantrtdserver",,"FWRC1#USDJPY#Month Wise Rates#0#BidPrice18")</f>
        <v>-69.400000000000006</v>
      </c>
      <c r="P15" s="97">
        <f t="array" ref="P15">RTD("tickerplantrtdserver",,"FWRC1#USDJPY#Month Wise Rates#0#AskPrice18")</f>
        <v>-67.400000000000006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39"/>
  <sheetViews>
    <sheetView topLeftCell="A13" workbookViewId="0">
      <selection activeCell="H29" sqref="H29"/>
    </sheetView>
  </sheetViews>
  <sheetFormatPr defaultRowHeight="18" customHeight="1" x14ac:dyDescent="0.15"/>
  <cols>
    <col min="1" max="1" width="13.28515625" style="125" bestFit="1" customWidth="1"/>
    <col min="2" max="16384" width="9.140625" style="113"/>
  </cols>
  <sheetData>
    <row r="1" spans="1:7" ht="18" customHeight="1" thickBot="1" x14ac:dyDescent="0.2">
      <c r="A1" s="110" t="s">
        <v>14</v>
      </c>
      <c r="B1" s="111" t="s">
        <v>20</v>
      </c>
      <c r="C1" s="111" t="s">
        <v>19</v>
      </c>
      <c r="D1" s="111" t="s">
        <v>18</v>
      </c>
      <c r="E1" s="112" t="s">
        <v>54</v>
      </c>
    </row>
    <row r="2" spans="1:7" ht="18" customHeight="1" x14ac:dyDescent="0.15">
      <c r="A2" s="114" t="str">
        <f>RTD("tickerplantrtdserver",,"17#1#1#6069#USDINRCOMP#S#Descr.")</f>
        <v>USDINRCOMP</v>
      </c>
      <c r="B2" s="115">
        <f>RTD("tickerplantrtdserver",,"17#1#1#6069#USDINRCOMP#Open")</f>
        <v>74.650000000000006</v>
      </c>
      <c r="C2" s="115">
        <f>RTD("tickerplantrtdserver",,"17#1#1#6069#USDINRCOMP#High")</f>
        <v>74.995000000000005</v>
      </c>
      <c r="D2" s="115">
        <f>RTD("tickerplantrtdserver",,"17#1#1#6069#USDINRCOMP#Low")</f>
        <v>74.612499999999997</v>
      </c>
      <c r="E2" s="116">
        <f>RTD("tickerplantrtdserver",,"17#1#1#6069#USDINRCOMP#LTP")</f>
        <v>74.62</v>
      </c>
    </row>
    <row r="3" spans="1:7" ht="18" customHeight="1" x14ac:dyDescent="0.15">
      <c r="A3" s="117" t="str">
        <f>RTD("tickerplantrtdserver",,"17#3#1#5949#EURINRCOMP#S#Descr.")</f>
        <v>EURINRCOMP</v>
      </c>
      <c r="B3" s="118">
        <f>RTD("tickerplantrtdserver",,"17#3#1#5949#EURINRCOMP#Open")</f>
        <v>84.907499999999999</v>
      </c>
      <c r="C3" s="118">
        <f>RTD("tickerplantrtdserver",,"17#3#1#5949#EURINRCOMP#High")</f>
        <v>84.984999999999999</v>
      </c>
      <c r="D3" s="118">
        <f>RTD("tickerplantrtdserver",,"17#3#1#5949#EURINRCOMP#Low")</f>
        <v>83.82</v>
      </c>
      <c r="E3" s="119">
        <f>RTD("tickerplantrtdserver",,"17#3#1#5949#EURINRCOMP#LTP")</f>
        <v>83.864999999999995</v>
      </c>
    </row>
    <row r="4" spans="1:7" ht="18" customHeight="1" x14ac:dyDescent="0.15">
      <c r="A4" s="117" t="str">
        <f>RTD("tickerplantrtdserver",,"17#3#1#6031#GBPINRCOMP#S#Descr.")</f>
        <v>GBPINRCOMP</v>
      </c>
      <c r="B4" s="118">
        <f>RTD("tickerplantrtdserver",,"17#3#1#6031#GBPINRCOMP#Open")</f>
        <v>94.19</v>
      </c>
      <c r="C4" s="118">
        <f>RTD("tickerplantrtdserver",,"17#3#1#6031#GBPINRCOMP#High")</f>
        <v>94.29</v>
      </c>
      <c r="D4" s="118">
        <f>RTD("tickerplantrtdserver",,"17#3#1#6031#GBPINRCOMP#Low")</f>
        <v>92.954999999999998</v>
      </c>
      <c r="E4" s="119">
        <f>RTD("tickerplantrtdserver",,"17#3#1#6031#GBPINRCOMP#LTP")</f>
        <v>93.015000000000001</v>
      </c>
    </row>
    <row r="5" spans="1:7" ht="18" customHeight="1" x14ac:dyDescent="0.15">
      <c r="A5" s="117" t="str">
        <f>RTD("tickerplantrtdserver",,"17#3#1#5978#JPYINRCOMP#S#Descr.")</f>
        <v>JPYINRCOMP</v>
      </c>
      <c r="B5" s="118">
        <f>RTD("tickerplantrtdserver",,"17#3#1#5978#JPYINRCOMP#Open")</f>
        <v>70.287499999999994</v>
      </c>
      <c r="C5" s="118">
        <f>RTD("tickerplantrtdserver",,"17#3#1#5978#JPYINRCOMP#High")</f>
        <v>70.367500000000007</v>
      </c>
      <c r="D5" s="118">
        <f>RTD("tickerplantrtdserver",,"17#3#1#5978#JPYINRCOMP#Low")</f>
        <v>69.392499999999998</v>
      </c>
      <c r="E5" s="119">
        <f>RTD("tickerplantrtdserver",,"17#3#1#5978#JPYINRCOMP#LTP")</f>
        <v>69.435000000000002</v>
      </c>
      <c r="G5" s="172" t="s">
        <v>59</v>
      </c>
    </row>
    <row r="6" spans="1:7" ht="18" customHeight="1" x14ac:dyDescent="0.15">
      <c r="A6" s="117" t="str">
        <f>RTD("tickerplantrtdserver",,"17#3#1#6056#CHFINRCOMP#S#Descr.")</f>
        <v>CHFINRCOMP</v>
      </c>
      <c r="B6" s="118">
        <f>RTD("tickerplantrtdserver",,"17#3#1#6056#CHFINRCOMP#Open")</f>
        <v>79.917500000000004</v>
      </c>
      <c r="C6" s="118">
        <f>RTD("tickerplantrtdserver",,"17#3#1#6056#CHFINRCOMP#High")</f>
        <v>79.987499999999997</v>
      </c>
      <c r="D6" s="118">
        <f>RTD("tickerplantrtdserver",,"17#3#1#6056#CHFINRCOMP#Low")</f>
        <v>78.822500000000005</v>
      </c>
      <c r="E6" s="119">
        <f>RTD("tickerplantrtdserver",,"17#3#1#6056#CHFINRCOMP#LTP")</f>
        <v>78.867500000000007</v>
      </c>
      <c r="G6" s="172"/>
    </row>
    <row r="7" spans="1:7" ht="18" customHeight="1" x14ac:dyDescent="0.15">
      <c r="A7" s="117" t="str">
        <f>RTD("tickerplantrtdserver",,"17#3#1#5921#CADINRCOMP#S#Descr.")</f>
        <v>CADINRCOMP</v>
      </c>
      <c r="B7" s="118">
        <f>RTD("tickerplantrtdserver",,"17#3#1#5921#CADINRCOMP#Open")</f>
        <v>55.712499999999999</v>
      </c>
      <c r="C7" s="118">
        <f>RTD("tickerplantrtdserver",,"17#3#1#5921#CADINRCOMP#High")</f>
        <v>55.774999999999999</v>
      </c>
      <c r="D7" s="118">
        <f>RTD("tickerplantrtdserver",,"17#3#1#5921#CADINRCOMP#Low")</f>
        <v>54.984999999999999</v>
      </c>
      <c r="E7" s="119">
        <f>RTD("tickerplantrtdserver",,"17#3#1#5921#CADINRCOMP#LTP")</f>
        <v>55.012500000000003</v>
      </c>
      <c r="G7" s="172"/>
    </row>
    <row r="8" spans="1:7" ht="18" customHeight="1" x14ac:dyDescent="0.15">
      <c r="A8" s="117" t="str">
        <f>RTD("tickerplantrtdserver",,"17#3#1#5903#AUDINRCOMP#S#Descr.")</f>
        <v>AUDINRCOMP</v>
      </c>
      <c r="B8" s="118">
        <f>RTD("tickerplantrtdserver",,"17#3#1#5903#AUDINRCOMP#Open")</f>
        <v>52.36</v>
      </c>
      <c r="C8" s="118">
        <f>RTD("tickerplantrtdserver",,"17#3#1#5903#AUDINRCOMP#High")</f>
        <v>52.42</v>
      </c>
      <c r="D8" s="118">
        <f>RTD("tickerplantrtdserver",,"17#3#1#5903#AUDINRCOMP#Low")</f>
        <v>51.67</v>
      </c>
      <c r="E8" s="119">
        <f>RTD("tickerplantrtdserver",,"17#3#1#5903#AUDINRCOMP#LTP")</f>
        <v>51.774999999999999</v>
      </c>
      <c r="G8" s="172"/>
    </row>
    <row r="9" spans="1:7" ht="18" customHeight="1" x14ac:dyDescent="0.15">
      <c r="A9" s="117" t="str">
        <f>RTD("tickerplantrtdserver",,"17#3#1#6041#SGDINRCOMP#S#Descr.")</f>
        <v>SGDINRCOMP</v>
      </c>
      <c r="B9" s="118">
        <f>RTD("tickerplantrtdserver",,"17#3#1#6041#SGDINRCOMP#Open")</f>
        <v>54.182499999999997</v>
      </c>
      <c r="C9" s="118">
        <f>RTD("tickerplantrtdserver",,"17#3#1#6041#SGDINRCOMP#High")</f>
        <v>54.225000000000001</v>
      </c>
      <c r="D9" s="118">
        <f>RTD("tickerplantrtdserver",,"17#3#1#6041#SGDINRCOMP#Low")</f>
        <v>53.482500000000002</v>
      </c>
      <c r="E9" s="119">
        <f>RTD("tickerplantrtdserver",,"17#3#1#6041#SGDINRCOMP#LTP")</f>
        <v>53.515000000000001</v>
      </c>
      <c r="G9" s="172"/>
    </row>
    <row r="10" spans="1:7" ht="18" customHeight="1" x14ac:dyDescent="0.15">
      <c r="A10" s="117" t="str">
        <f>RTD("tickerplantrtdserver",,"12#2#1#5949#SEURUSD#S#Descr.")</f>
        <v>EURUSD</v>
      </c>
      <c r="B10" s="118">
        <f>RTD("tickerplantrtdserver",,"12#2#1#5949#SEURUSD#Open")</f>
        <v>1.1235900000000001</v>
      </c>
      <c r="C10" s="118">
        <f>RTD("tickerplantrtdserver",,"12#2#1#5949#SEURUSD#High")</f>
        <v>1.1249199999999999</v>
      </c>
      <c r="D10" s="118">
        <f>RTD("tickerplantrtdserver",,"12#2#1#5949#SEURUSD#Low")</f>
        <v>1.1217999999999999</v>
      </c>
      <c r="E10" s="119">
        <f>RTD("tickerplantrtdserver",,"12#2#1#5949#SEURUSD#LTP")</f>
        <v>1.1228</v>
      </c>
    </row>
    <row r="11" spans="1:7" ht="18" customHeight="1" x14ac:dyDescent="0.15">
      <c r="A11" s="117" t="str">
        <f>RTD("tickerplantrtdserver",,"12#2#1#6031#SGBPUSD#S#Descr.")</f>
        <v>GBPUSD</v>
      </c>
      <c r="B11" s="118">
        <f>RTD("tickerplantrtdserver",,"12#2#1#6031#SGBPUSD#Open")</f>
        <v>1.2463</v>
      </c>
      <c r="C11" s="118">
        <f>RTD("tickerplantrtdserver",,"12#2#1#6031#SGBPUSD#High")</f>
        <v>1.24865</v>
      </c>
      <c r="D11" s="118">
        <f>RTD("tickerplantrtdserver",,"12#2#1#6031#SGBPUSD#Low")</f>
        <v>1.24369</v>
      </c>
      <c r="E11" s="119">
        <f>RTD("tickerplantrtdserver",,"12#2#1#6031#SGBPUSD#LTP")</f>
        <v>1.2456199999999999</v>
      </c>
    </row>
    <row r="12" spans="1:7" ht="18" customHeight="1" x14ac:dyDescent="0.15">
      <c r="A12" s="117" t="str">
        <f>RTD("tickerplantrtdserver",,"12#2#1#6069#SUSDJPY#S#Descr.")</f>
        <v>USDJPY</v>
      </c>
      <c r="B12" s="120">
        <f>RTD("tickerplantrtdserver",,"12#2#1#6069#SUSDJPY#Open")</f>
        <v>107.52200000000001</v>
      </c>
      <c r="C12" s="120">
        <f>RTD("tickerplantrtdserver",,"12#2#1#6069#SUSDJPY#High")</f>
        <v>107.569</v>
      </c>
      <c r="D12" s="120">
        <f>RTD("tickerplantrtdserver",,"12#2#1#6069#SUSDJPY#Low")</f>
        <v>107.4</v>
      </c>
      <c r="E12" s="121">
        <f>RTD("tickerplantrtdserver",,"12#2#1#6069#SUSDJPY#LTP")</f>
        <v>107.50700000000001</v>
      </c>
    </row>
    <row r="13" spans="1:7" ht="18" customHeight="1" x14ac:dyDescent="0.15">
      <c r="A13" s="117" t="str">
        <f>RTD("tickerplantrtdserver",,"12#2#1#6069#SUSDCHF#S#Descr.")</f>
        <v>USDCHF</v>
      </c>
      <c r="B13" s="118">
        <f>RTD("tickerplantrtdserver",,"12#2#1#6069#SUSDCHF#Open")</f>
        <v>0.94538999999999995</v>
      </c>
      <c r="C13" s="118">
        <f>RTD("tickerplantrtdserver",,"12#2#1#6069#SUSDCHF#High")</f>
        <v>0.94701999999999997</v>
      </c>
      <c r="D13" s="118">
        <f>RTD("tickerplantrtdserver",,"12#2#1#6069#SUSDCHF#Low")</f>
        <v>0.94450000000000001</v>
      </c>
      <c r="E13" s="119">
        <f>RTD("tickerplantrtdserver",,"12#2#1#6069#SUSDCHF#LTP")</f>
        <v>0.94610000000000005</v>
      </c>
    </row>
    <row r="14" spans="1:7" ht="18" customHeight="1" x14ac:dyDescent="0.15">
      <c r="A14" s="117" t="str">
        <f>RTD("tickerplantrtdserver",,"12#2#1#6069#SUSDCAD#S#Descr.")</f>
        <v>USDCAD</v>
      </c>
      <c r="B14" s="118">
        <f>RTD("tickerplantrtdserver",,"12#2#1#6069#SUSDCAD#Open")</f>
        <v>1.35625</v>
      </c>
      <c r="C14" s="118">
        <f>RTD("tickerplantrtdserver",,"12#2#1#6069#SUSDCAD#High")</f>
        <v>1.3577600000000001</v>
      </c>
      <c r="D14" s="118">
        <f>RTD("tickerplantrtdserver",,"12#2#1#6069#SUSDCAD#Low")</f>
        <v>1.3549</v>
      </c>
      <c r="E14" s="119">
        <f>RTD("tickerplantrtdserver",,"12#2#1#6069#SUSDCAD#LTP")</f>
        <v>1.3568</v>
      </c>
    </row>
    <row r="15" spans="1:7" ht="18" customHeight="1" x14ac:dyDescent="0.15">
      <c r="A15" s="117" t="str">
        <f>RTD("tickerplantrtdserver",,"12#2#1#5903#SAUDUSD#S#Descr.")</f>
        <v>AUDUSD</v>
      </c>
      <c r="B15" s="118">
        <f>RTD("tickerplantrtdserver",,"12#2#1#5903#SAUDUSD#Open")</f>
        <v>0.69223000000000001</v>
      </c>
      <c r="C15" s="118">
        <f>RTD("tickerplantrtdserver",,"12#2#1#5903#SAUDUSD#High")</f>
        <v>0.69413999999999998</v>
      </c>
      <c r="D15" s="118">
        <f>RTD("tickerplantrtdserver",,"12#2#1#5903#SAUDUSD#Low")</f>
        <v>0.69099999999999995</v>
      </c>
      <c r="E15" s="119">
        <f>RTD("tickerplantrtdserver",,"12#2#1#5903#SAUDUSD#LTP")</f>
        <v>0.69389000000000001</v>
      </c>
    </row>
    <row r="16" spans="1:7" ht="18" customHeight="1" thickBot="1" x14ac:dyDescent="0.2">
      <c r="A16" s="122" t="str">
        <f>RTD("tickerplantrtdserver",,"12#2#1#6069#SUSDSGD#S#Descr.")</f>
        <v>USDSGD</v>
      </c>
      <c r="B16" s="123">
        <f>RTD("tickerplantrtdserver",,"12#2#1#6069#SUSDSGD#Open")</f>
        <v>1.3944000000000001</v>
      </c>
      <c r="C16" s="123">
        <f>RTD("tickerplantrtdserver",,"12#2#1#6069#SUSDSGD#High")</f>
        <v>1.3956999999999999</v>
      </c>
      <c r="D16" s="123">
        <f>RTD("tickerplantrtdserver",,"12#2#1#6069#SUSDSGD#Low")</f>
        <v>1.3937999999999999</v>
      </c>
      <c r="E16" s="124">
        <f>RTD("tickerplantrtdserver",,"12#2#1#6069#SUSDSGD#LTP")</f>
        <v>1.3944000000000001</v>
      </c>
    </row>
    <row r="17" spans="1:16" ht="18" customHeight="1" thickBot="1" x14ac:dyDescent="0.2">
      <c r="B17" s="126"/>
      <c r="C17" s="126"/>
      <c r="D17" s="126"/>
      <c r="E17" s="126"/>
    </row>
    <row r="18" spans="1:16" ht="18" customHeight="1" thickBot="1" x14ac:dyDescent="0.2">
      <c r="A18" s="110" t="s">
        <v>14</v>
      </c>
      <c r="B18" s="111" t="s">
        <v>55</v>
      </c>
      <c r="C18" s="111" t="s">
        <v>36</v>
      </c>
      <c r="D18" s="111" t="s">
        <v>37</v>
      </c>
      <c r="E18" s="111" t="s">
        <v>35</v>
      </c>
      <c r="F18" s="111" t="s">
        <v>38</v>
      </c>
      <c r="G18" s="111" t="s">
        <v>39</v>
      </c>
      <c r="H18" s="111" t="s">
        <v>34</v>
      </c>
      <c r="I18" s="111" t="s">
        <v>43</v>
      </c>
      <c r="J18" s="111" t="s">
        <v>44</v>
      </c>
      <c r="K18" s="111" t="s">
        <v>40</v>
      </c>
      <c r="L18" s="111" t="s">
        <v>45</v>
      </c>
      <c r="M18" s="111" t="s">
        <v>46</v>
      </c>
      <c r="N18" s="112" t="s">
        <v>33</v>
      </c>
    </row>
    <row r="19" spans="1:16" ht="18" customHeight="1" x14ac:dyDescent="0.15">
      <c r="A19" s="114" t="str">
        <f>RTD("tickerplantrtdserver",,"17#1#1#6069#USDINRCOMP#S#Descr.")</f>
        <v>USDINRCOMP</v>
      </c>
      <c r="B19" s="127">
        <f t="array" ref="B19">RTD("tickerplantrtdserver",,"FWRC1#USDINR#Month End Rates#0#Close0")</f>
        <v>74.62</v>
      </c>
      <c r="C19" s="128">
        <f>RTD("tickerplantrtdserver",,"FWRC1#USDINR#Month End Rates#0#Close0")+RTD("tickerplantrtdserver",,"FWRC1#USDINR#Month End Rates#0#Close4")/100</f>
        <v>74.777500000000003</v>
      </c>
      <c r="D19" s="127">
        <f>RTD("tickerplantrtdserver",,"FWRC1#USDINR#Month End Rates#0#Close0")+RTD("tickerplantrtdserver",,"FWRC1#USDINR#Month End Rates#0#Close5")/100</f>
        <v>74.997500000000002</v>
      </c>
      <c r="E19" s="129">
        <f>RTD("tickerplantrtdserver",,"FWRC1#USDINR#Month End Rates#0#Close0")+RTD("tickerplantrtdserver",,"FWRC1#USDINR#Month End Rates#0#Close6")/100</f>
        <v>75.217500000000001</v>
      </c>
      <c r="F19" s="129">
        <f>RTD("tickerplantrtdserver",,"FWRC1#USDINR#Month End Rates#0#Close0")+RTD("tickerplantrtdserver",,"FWRC1#USDINR#Month End Rates#0#Close7")/100</f>
        <v>75.447500000000005</v>
      </c>
      <c r="G19" s="129">
        <f>RTD("tickerplantrtdserver",,"FWRC1#USDINR#Month End Rates#0#Close0")+RTD("tickerplantrtdserver",,"FWRC1#USDINR#Month End Rates#0#Close8")/100</f>
        <v>75.675000000000011</v>
      </c>
      <c r="H19" s="129">
        <f>RTD("tickerplantrtdserver",,"FWRC1#USDINR#Month End Rates#0#Close0")+RTD("tickerplantrtdserver",,"FWRC1#USDINR#Month End Rates#0#Close9")/100</f>
        <v>75.94250000000001</v>
      </c>
      <c r="I19" s="129">
        <f>RTD("tickerplantrtdserver",,"FWRC1#USDINR#Month End Rates#0#Close0")+RTD("tickerplantrtdserver",,"FWRC1#USDINR#Month End Rates#0#Close10")/100</f>
        <v>76.172499999999999</v>
      </c>
      <c r="J19" s="129">
        <f>RTD("tickerplantrtdserver",,"FWRC1#USDINR#Month End Rates#0#Close0")+RTD("tickerplantrtdserver",,"FWRC1#USDINR#Month End Rates#0#Close11")/100</f>
        <v>76.392499999999998</v>
      </c>
      <c r="K19" s="129">
        <f>RTD("tickerplantrtdserver",,"FWRC1#USDINR#Month End Rates#0#Close0")+RTD("tickerplantrtdserver",,"FWRC1#USDINR#Month End Rates#0#Close12")/100</f>
        <v>76.652500000000003</v>
      </c>
      <c r="L19" s="129">
        <f>RTD("tickerplantrtdserver",,"FWRC1#USDINR#Month End Rates#0#Close0")+RTD("tickerplantrtdserver",,"FWRC1#USDINR#Month End Rates#0#Close13")/100</f>
        <v>76.94250000000001</v>
      </c>
      <c r="M19" s="129">
        <f>RTD("tickerplantrtdserver",,"FWRC1#USDINR#Month End Rates#0#Close0")+RTD("tickerplantrtdserver",,"FWRC1#USDINR#Month End Rates#0#Close14")/100</f>
        <v>77.165000000000006</v>
      </c>
      <c r="N19" s="130">
        <f>RTD("tickerplantrtdserver",,"FWRC1#USDINR#Month End Rates#0#Close0")+RTD("tickerplantrtdserver",,"FWRC1#USDINR#Month End Rates#0#Close15")/100</f>
        <v>77.430000000000007</v>
      </c>
    </row>
    <row r="20" spans="1:16" ht="18" customHeight="1" x14ac:dyDescent="0.15">
      <c r="A20" s="117" t="str">
        <f>RTD("tickerplantrtdserver",,"17#3#1#5949#EURINRCOMP#S#Descr.")</f>
        <v>EURINRCOMP</v>
      </c>
      <c r="B20" s="131">
        <f t="array" ref="B20">RTD("tickerplantrtdserver",,"FWRC1#EURINR#Month End Rates#0#Close0")</f>
        <v>83.864999999999995</v>
      </c>
      <c r="C20" s="132">
        <f>RTD("tickerplantrtdserver",,"FWRC1#EURINR#Month End Rates#0#Close0")+RTD("tickerplantrtdserver",,"FWRC1#EURINR#Month End Rates#0#Close4")/100</f>
        <v>84.069499999999991</v>
      </c>
      <c r="D20" s="132">
        <f>RTD("tickerplantrtdserver",,"FWRC1#EURINR#Month End Rates#0#Close0")+RTD("tickerplantrtdserver",,"FWRC1#EURINR#Month End Rates#0#Close5")/100</f>
        <v>84.396124999999998</v>
      </c>
      <c r="E20" s="132">
        <f>RTD("tickerplantrtdserver",,"FWRC1#EURINR#Month End Rates#0#Close0")+RTD("tickerplantrtdserver",,"FWRC1#EURINR#Month End Rates#0#Close6")/100</f>
        <v>84.689174999999992</v>
      </c>
      <c r="F20" s="132">
        <f>RTD("tickerplantrtdserver",,"FWRC1#EURINR#Month End Rates#0#Close0")+RTD("tickerplantrtdserver",,"FWRC1#EURINR#Month End Rates#0#Close7")/100</f>
        <v>85.012675000000002</v>
      </c>
      <c r="G20" s="132">
        <f>RTD("tickerplantrtdserver",,"FWRC1#EURINR#Month End Rates#0#Close0")+RTD("tickerplantrtdserver",,"FWRC1#EURINR#Month End Rates#0#Close8")/100</f>
        <v>85.324325000000002</v>
      </c>
      <c r="H20" s="132">
        <f>RTD("tickerplantrtdserver",,"FWRC1#EURINR#Month End Rates#0#Close0")+RTD("tickerplantrtdserver",,"FWRC1#EURINR#Month End Rates#0#Close9")/100</f>
        <v>85.723950000000002</v>
      </c>
      <c r="I20" s="132">
        <f>RTD("tickerplantrtdserver",,"FWRC1#EURINR#Month End Rates#0#Close0")+RTD("tickerplantrtdserver",,"FWRC1#EURINR#Month End Rates#0#Close10")/100</f>
        <v>86.039074999999997</v>
      </c>
      <c r="J20" s="132">
        <f>RTD("tickerplantrtdserver",,"FWRC1#EURINR#Month End Rates#0#Close0")+RTD("tickerplantrtdserver",,"FWRC1#EURINR#Month End Rates#0#Close11")/100</f>
        <v>86.340274999999991</v>
      </c>
      <c r="K20" s="132">
        <f>RTD("tickerplantrtdserver",,"FWRC1#EURINR#Month End Rates#0#Close0")+RTD("tickerplantrtdserver",,"FWRC1#EURINR#Month End Rates#0#Close12")/100</f>
        <v>86.712350000000001</v>
      </c>
      <c r="L20" s="132">
        <f>RTD("tickerplantrtdserver",,"FWRC1#EURINR#Month End Rates#0#Close0")+RTD("tickerplantrtdserver",,"FWRC1#EURINR#Month End Rates#0#Close13")/100</f>
        <v>87.078649999999996</v>
      </c>
      <c r="M20" s="132">
        <f>RTD("tickerplantrtdserver",,"FWRC1#EURINR#Month End Rates#0#Close0")+RTD("tickerplantrtdserver",,"FWRC1#EURINR#Month End Rates#0#Close14")/100</f>
        <v>87.400149999999996</v>
      </c>
      <c r="N20" s="133">
        <f>RTD("tickerplantrtdserver",,"FWRC1#EURINR#Month End Rates#0#Close0")+RTD("tickerplantrtdserver",,"FWRC1#EURINR#Month End Rates#0#Close15")/100</f>
        <v>87.764924999999991</v>
      </c>
    </row>
    <row r="21" spans="1:16" ht="18" customHeight="1" x14ac:dyDescent="0.15">
      <c r="A21" s="117" t="str">
        <f>RTD("tickerplantrtdserver",,"17#3#1#6031#GBPINRCOMP#S#Descr.")</f>
        <v>GBPINRCOMP</v>
      </c>
      <c r="B21" s="132">
        <f t="array" ref="B21">RTD("tickerplantrtdserver",,"FWRC1#GBPINR#Month End Rates#0#Close0")</f>
        <v>93.875</v>
      </c>
      <c r="C21" s="132">
        <f>RTD("tickerplantrtdserver",,"FWRC1#GBPINR#Month End Rates#0#Close0")+RTD("tickerplantrtdserver",,"FWRC1#GBPINR#Month End Rates#0#Close4")/10000</f>
        <v>94.069162500000004</v>
      </c>
      <c r="D21" s="132">
        <f>RTD("tickerplantrtdserver",,"FWRC1#GBPINR#Month End Rates#0#Close0")+RTD("tickerplantrtdserver",,"FWRC1#GBPINR#Month End Rates#0#Close5")/10000</f>
        <v>94.379339250000001</v>
      </c>
      <c r="E21" s="132">
        <f>RTD("tickerplantrtdserver",,"FWRC1#GBPINR#Month End Rates#0#Close0")+RTD("tickerplantrtdserver",,"FWRC1#GBPINR#Month End Rates#0#Close6")/10000</f>
        <v>94.656647500000005</v>
      </c>
      <c r="F21" s="132">
        <f>RTD("tickerplantrtdserver",,"FWRC1#GBPINR#Month End Rates#0#Close0")+RTD("tickerplantrtdserver",,"FWRC1#GBPINR#Month End Rates#0#Close7")/10000</f>
        <v>94.961960500000004</v>
      </c>
      <c r="G21" s="132">
        <f>RTD("tickerplantrtdserver",,"FWRC1#GBPINR#Month End Rates#0#Close0")+RTD("tickerplantrtdserver",,"FWRC1#GBPINR#Month End Rates#0#Close8")/10000</f>
        <v>95.257441</v>
      </c>
      <c r="H21" s="132">
        <f>RTD("tickerplantrtdserver",,"FWRC1#GBPINR#Month End Rates#0#Close0")+RTD("tickerplantrtdserver",,"FWRC1#GBPINR#Month End Rates#0#Close9")/10000</f>
        <v>95.636386250000001</v>
      </c>
      <c r="I21" s="132">
        <f>RTD("tickerplantrtdserver",,"FWRC1#GBPINR#Month End Rates#0#Close0")+RTD("tickerplantrtdserver",,"FWRC1#GBPINR#Month End Rates#0#Close10")/10000</f>
        <v>95.929666499999996</v>
      </c>
      <c r="J21" s="132">
        <f>RTD("tickerplantrtdserver",,"FWRC1#GBPINR#Month End Rates#0#Close0")+RTD("tickerplantrtdserver",,"FWRC1#GBPINR#Month End Rates#0#Close11")/10000</f>
        <v>96.213117749999995</v>
      </c>
      <c r="K21" s="132">
        <f>RTD("tickerplantrtdserver",,"FWRC1#GBPINR#Month End Rates#0#Close0")+RTD("tickerplantrtdserver",,"FWRC1#GBPINR#Month End Rates#0#Close12")/10000</f>
        <v>96.570320749999993</v>
      </c>
      <c r="L21" s="132">
        <f>RTD("tickerplantrtdserver",,"FWRC1#GBPINR#Month End Rates#0#Close0")+RTD("tickerplantrtdserver",,"FWRC1#GBPINR#Month End Rates#0#Close13")/10000</f>
        <v>96.912268749999996</v>
      </c>
      <c r="M21" s="132">
        <f>RTD("tickerplantrtdserver",,"FWRC1#GBPINR#Month End Rates#0#Close0")+RTD("tickerplantrtdserver",,"FWRC1#GBPINR#Month End Rates#0#Close14")/10000</f>
        <v>97.21326225</v>
      </c>
      <c r="N21" s="133">
        <f>RTD("tickerplantrtdserver",,"FWRC1#GBPINR#Month End Rates#0#Close0")+RTD("tickerplantrtdserver",,"FWRC1#GBPINR#Month End Rates#0#Close15")/10000</f>
        <v>97.553578250000001</v>
      </c>
    </row>
    <row r="22" spans="1:16" ht="18" customHeight="1" x14ac:dyDescent="0.15">
      <c r="A22" s="117" t="str">
        <f>RTD("tickerplantrtdserver",,"17#3#1#5978#JPYINRCOMP#S#Descr.")</f>
        <v>JPYINRCOMP</v>
      </c>
      <c r="B22" s="131">
        <f>RTD("tickerplantrtdserver",,"FWRC1#JPYINR#Month End Rates#0#Close0")</f>
        <v>69.834999999999994</v>
      </c>
      <c r="C22" s="132">
        <f>RTD("tickerplantrtdserver",,"FWRC1#JPYINR#Month End Rates#0#Close0")+RTD("tickerplantrtdserver",,"FWRC1#JPYINR#Month End Rates#0#Close4")/10000</f>
        <v>69.990065250000001</v>
      </c>
      <c r="D22" s="132">
        <f>RTD("tickerplantrtdserver",,"FWRC1#JPYINR#Month End Rates#0#Close0")+RTD("tickerplantrtdserver",,"FWRC1#JPYINR#Month End Rates#0#Close5")/10000</f>
        <v>70.237040749999991</v>
      </c>
      <c r="E22" s="132">
        <f>RTD("tickerplantrtdserver",,"FWRC1#JPYINR#Month End Rates#0#Close0")+RTD("tickerplantrtdserver",,"FWRC1#JPYINR#Month End Rates#0#Close6")/10000</f>
        <v>70.46644624999999</v>
      </c>
      <c r="F22" s="132">
        <f>RTD("tickerplantrtdserver",,"FWRC1#JPYINR#Month End Rates#0#Close0")+RTD("tickerplantrtdserver",,"FWRC1#JPYINR#Month End Rates#0#Close7")/10000</f>
        <v>70.707569499999991</v>
      </c>
      <c r="G22" s="132">
        <f>RTD("tickerplantrtdserver",,"FWRC1#JPYINR#Month End Rates#0#Close0")+RTD("tickerplantrtdserver",,"FWRC1#JPYINR#Month End Rates#0#Close8")/10000</f>
        <v>70.950904249999994</v>
      </c>
      <c r="H22" s="132">
        <f>RTD("tickerplantrtdserver",,"FWRC1#JPYINR#Month End Rates#0#Close0")+RTD("tickerplantrtdserver",,"FWRC1#JPYINR#Month End Rates#0#Close9")/10000</f>
        <v>71.29041149999999</v>
      </c>
      <c r="I22" s="132">
        <f>RTD("tickerplantrtdserver",,"FWRC1#JPYINR#Month End Rates#0#Close0")+RTD("tickerplantrtdserver",,"FWRC1#JPYINR#Month End Rates#0#Close10")/10000</f>
        <v>71.534665999999987</v>
      </c>
      <c r="J22" s="132">
        <f>RTD("tickerplantrtdserver",,"FWRC1#JPYINR#Month End Rates#0#Close0")+RTD("tickerplantrtdserver",,"FWRC1#JPYINR#Month End Rates#0#Close11")/10000</f>
        <v>71.769804999999991</v>
      </c>
      <c r="K22" s="132">
        <f>RTD("tickerplantrtdserver",,"FWRC1#JPYINR#Month End Rates#0#Close0")+RTD("tickerplantrtdserver",,"FWRC1#JPYINR#Month End Rates#0#Close12")/10000</f>
        <v>72.068174249999998</v>
      </c>
      <c r="L22" s="132">
        <f>RTD("tickerplantrtdserver",,"FWRC1#JPYINR#Month End Rates#0#Close0")+RTD("tickerplantrtdserver",,"FWRC1#JPYINR#Month End Rates#0#Close13")/10000</f>
        <v>72.358114499999999</v>
      </c>
      <c r="M22" s="132">
        <f>RTD("tickerplantrtdserver",,"FWRC1#JPYINR#Month End Rates#0#Close0")+RTD("tickerplantrtdserver",,"FWRC1#JPYINR#Month End Rates#0#Close14")/10000</f>
        <v>72.607146</v>
      </c>
      <c r="N22" s="133">
        <f>RTD("tickerplantrtdserver",,"FWRC1#JPYINR#Month End Rates#0#Close0")+RTD("tickerplantrtdserver",,"FWRC1#JPYINR#Month End Rates#0#Close15")/10000</f>
        <v>72.898004</v>
      </c>
    </row>
    <row r="23" spans="1:16" ht="18" customHeight="1" x14ac:dyDescent="0.15">
      <c r="A23" s="117" t="str">
        <f>RTD("tickerplantrtdserver",,"17#3#1#6056#CHFINRCOMP#S#Descr.")</f>
        <v>CHFINRCOMP</v>
      </c>
      <c r="B23" s="131">
        <f>RTD("tickerplantrtdserver",,"FWRC1#CHFINR#Month Wise Rates#0#Close0")</f>
        <v>78.867500000000007</v>
      </c>
      <c r="C23" s="132">
        <f>RTD("tickerplantrtdserver",,"FWRC1#CHFINR#Month Wise Rates#0#Close0")+RTD("tickerplantrtdserver",,"FWRC1#CHFINR#Month Wise Rates#0#Close7")/10000</f>
        <v>79.155982840000007</v>
      </c>
      <c r="D23" s="132">
        <f>RTD("tickerplantrtdserver",,"FWRC1#CHFINR#Month Wise Rates#0#Close0")+RTD("tickerplantrtdserver",,"FWRC1#CHFINR#Month Wise Rates#0#Close8")/10000</f>
        <v>79.473178360000006</v>
      </c>
      <c r="E23" s="132">
        <f>RTD("tickerplantrtdserver",,"FWRC1#CHFINR#Month Wise Rates#0#Close0")+RTD("tickerplantrtdserver",,"FWRC1#CHFINR#Month Wise Rates#0#Close9")/10000</f>
        <v>79.775394680000005</v>
      </c>
      <c r="F23" s="132">
        <f>RTD("tickerplantrtdserver",,"FWRC1#CHFINR#Month Wise Rates#0#Close0")+RTD("tickerplantrtdserver",,"FWRC1#CHFINR#Month Wise Rates#0#Close10")/10000</f>
        <v>80.112641150000002</v>
      </c>
      <c r="G23" s="132">
        <f>RTD("tickerplantrtdserver",,"FWRC1#CHFINR#Month Wise Rates#0#Close0")+RTD("tickerplantrtdserver",,"FWRC1#CHFINR#Month Wise Rates#0#Close11")/10000</f>
        <v>80.406350300000014</v>
      </c>
      <c r="H23" s="132">
        <f>RTD("tickerplantrtdserver",,"FWRC1#CHFINR#Month Wise Rates#0#Close0")+RTD("tickerplantrtdserver",,"FWRC1#CHFINR#Month Wise Rates#0#Close12")/10000</f>
        <v>80.794630130000002</v>
      </c>
      <c r="I23" s="132">
        <f>RTD("tickerplantrtdserver",,"FWRC1#CHFINR#Month Wise Rates#0#Close0")+RTD("tickerplantrtdserver",,"FWRC1#CHFINR#Month Wise Rates#0#Close13")/10000</f>
        <v>81.118875370000012</v>
      </c>
      <c r="J23" s="132">
        <f>RTD("tickerplantrtdserver",,"FWRC1#CHFINR#Month Wise Rates#0#Close0")+RTD("tickerplantrtdserver",,"FWRC1#CHFINR#Month Wise Rates#0#Close14")/10000</f>
        <v>81.416640490000006</v>
      </c>
      <c r="K23" s="132">
        <f>RTD("tickerplantrtdserver",,"FWRC1#CHFINR#Month Wise Rates#0#Close0")+RTD("tickerplantrtdserver",,"FWRC1#CHFINR#Month Wise Rates#0#Close15")/10000</f>
        <v>81.775520040000004</v>
      </c>
      <c r="L23" s="132">
        <f>RTD("tickerplantrtdserver",,"FWRC1#CHFINR#Month Wise Rates#0#Close0")+RTD("tickerplantrtdserver",,"FWRC1#CHFINR#Month Wise Rates#0#Close16")/10000</f>
        <v>82.072218950000007</v>
      </c>
      <c r="M23" s="132">
        <f>RTD("tickerplantrtdserver",,"FWRC1#CHFINR#Month Wise Rates#0#Close0")+RTD("tickerplantrtdserver",,"FWRC1#CHFINR#Month Wise Rates#0#Close17")/10000</f>
        <v>82.398083200000002</v>
      </c>
      <c r="N23" s="133">
        <f>RTD("tickerplantrtdserver",,"FWRC1#CHFINR#Month Wise Rates#0#Close0")+RTD("tickerplantrtdserver",,"FWRC1#CHFINR#Month Wise Rates#0#Close18")/10000</f>
        <v>82.803280380000004</v>
      </c>
      <c r="P23" s="172" t="s">
        <v>60</v>
      </c>
    </row>
    <row r="24" spans="1:16" ht="18" customHeight="1" x14ac:dyDescent="0.15">
      <c r="A24" s="117" t="str">
        <f>RTD("tickerplantrtdserver",,"17#3#1#5921#CADINRCOMP#S#Descr.")</f>
        <v>CADINRCOMP</v>
      </c>
      <c r="B24" s="132">
        <f>RTD("tickerplantrtdserver",,"FWRC1#CADINR#Month Wise Rates#0#Close0")</f>
        <v>55.012500000000003</v>
      </c>
      <c r="C24" s="132">
        <f>RTD("tickerplantrtdserver",,"FWRC1#CADINR#Month Wise Rates#0#Close0")+RTD("tickerplantrtdserver",,"FWRC1#CADINR#Month Wise Rates#0#Close7")/10000</f>
        <v>55.170279190000002</v>
      </c>
      <c r="D24" s="132">
        <f>RTD("tickerplantrtdserver",,"FWRC1#CADINR#Month Wise Rates#0#Close0")+RTD("tickerplantrtdserver",,"FWRC1#CADINR#Month Wise Rates#0#Close8")/10000</f>
        <v>55.342643219999999</v>
      </c>
      <c r="E24" s="132">
        <f>RTD("tickerplantrtdserver",,"FWRC1#CADINR#Month Wise Rates#0#Close0")+RTD("tickerplantrtdserver",,"FWRC1#CADINR#Month Wise Rates#0#Close9")/10000</f>
        <v>55.506477250000003</v>
      </c>
      <c r="F24" s="132">
        <f>RTD("tickerplantrtdserver",,"FWRC1#CADINR#Month Wise Rates#0#Close0")+RTD("tickerplantrtdserver",,"FWRC1#CADINR#Month Wise Rates#0#Close10")/10000</f>
        <v>55.686472090000002</v>
      </c>
      <c r="G24" s="132">
        <f>RTD("tickerplantrtdserver",,"FWRC1#CADINR#Month Wise Rates#0#Close0")+RTD("tickerplantrtdserver",,"FWRC1#CADINR#Month Wise Rates#0#Close11")/10000</f>
        <v>55.84271219</v>
      </c>
      <c r="H24" s="132">
        <f>RTD("tickerplantrtdserver",,"FWRC1#CADINR#Month Wise Rates#0#Close0")+RTD("tickerplantrtdserver",,"FWRC1#CADINR#Month Wise Rates#0#Close12")/10000</f>
        <v>56.054565260000004</v>
      </c>
      <c r="I24" s="132">
        <f>RTD("tickerplantrtdserver",,"FWRC1#CADINR#Month Wise Rates#0#Close0")+RTD("tickerplantrtdserver",,"FWRC1#CADINR#Month Wise Rates#0#Close13")/10000</f>
        <v>56.231546380000005</v>
      </c>
      <c r="J24" s="132">
        <f>RTD("tickerplantrtdserver",,"FWRC1#CADINR#Month Wise Rates#0#Close0")+RTD("tickerplantrtdserver",,"FWRC1#CADINR#Month Wise Rates#0#Close14")/10000</f>
        <v>56.381230600000002</v>
      </c>
      <c r="K24" s="132">
        <f>RTD("tickerplantrtdserver",,"FWRC1#CADINR#Month Wise Rates#0#Close0")+RTD("tickerplantrtdserver",,"FWRC1#CADINR#Month Wise Rates#0#Close15")/10000</f>
        <v>56.574765390000003</v>
      </c>
      <c r="L24" s="132">
        <f>RTD("tickerplantrtdserver",,"FWRC1#CADINR#Month Wise Rates#0#Close0")+RTD("tickerplantrtdserver",,"FWRC1#CADINR#Month Wise Rates#0#Close16")/10000</f>
        <v>56.770196180000006</v>
      </c>
      <c r="M24" s="132">
        <f>RTD("tickerplantrtdserver",,"FWRC1#CADINR#Month Wise Rates#0#Close0")+RTD("tickerplantrtdserver",,"FWRC1#CADINR#Month Wise Rates#0#Close17")/10000</f>
        <v>56.941203970000004</v>
      </c>
      <c r="N24" s="133">
        <f>RTD("tickerplantrtdserver",,"FWRC1#CADINR#Month Wise Rates#0#Close0")+RTD("tickerplantrtdserver",,"FWRC1#CADINR#Month Wise Rates#0#Close18")/10000</f>
        <v>57.129136440000003</v>
      </c>
      <c r="P24" s="172"/>
    </row>
    <row r="25" spans="1:16" ht="18" customHeight="1" x14ac:dyDescent="0.15">
      <c r="A25" s="117" t="str">
        <f>RTD("tickerplantrtdserver",,"17#3#1#5903#AUDINRCOMP#S#Descr.")</f>
        <v>AUDINRCOMP</v>
      </c>
      <c r="B25" s="132">
        <f>RTD("tickerplantrtdserver",,"FWRC1#AUDINR#Month Wise Rates#0#Close0")</f>
        <v>51.774999999999999</v>
      </c>
      <c r="C25" s="132">
        <f>RTD("tickerplantrtdserver",,"FWRC1#AUDINR#Month Wise Rates#0#Close0")+RTD("tickerplantrtdserver",,"FWRC1#AUDINR#Month Wise Rates#0#Close7")/10000</f>
        <v>51.924804549999998</v>
      </c>
      <c r="D25" s="132">
        <f>RTD("tickerplantrtdserver",,"FWRC1#AUDINR#Month Wise Rates#0#Close0")+RTD("tickerplantrtdserver",,"FWRC1#AUDINR#Month Wise Rates#0#Close8")/10000</f>
        <v>52.088345349999997</v>
      </c>
      <c r="E25" s="132">
        <f>RTD("tickerplantrtdserver",,"FWRC1#AUDINR#Month Wise Rates#0#Close0")+RTD("tickerplantrtdserver",,"FWRC1#AUDINR#Month Wise Rates#0#Close9")/10000</f>
        <v>52.240161879999995</v>
      </c>
      <c r="F25" s="132">
        <f>RTD("tickerplantrtdserver",,"FWRC1#AUDINR#Month Wise Rates#0#Close0")+RTD("tickerplantrtdserver",,"FWRC1#AUDINR#Month Wise Rates#0#Close10")/10000</f>
        <v>52.408964879999999</v>
      </c>
      <c r="G25" s="132">
        <f>RTD("tickerplantrtdserver",,"FWRC1#AUDINR#Month Wise Rates#0#Close0")+RTD("tickerplantrtdserver",,"FWRC1#AUDINR#Month Wise Rates#0#Close11")/10000</f>
        <v>52.555932300000002</v>
      </c>
      <c r="H25" s="132">
        <f>RTD("tickerplantrtdserver",,"FWRC1#AUDINR#Month Wise Rates#0#Close0")+RTD("tickerplantrtdserver",,"FWRC1#AUDINR#Month Wise Rates#0#Close12")/10000</f>
        <v>52.737783579999999</v>
      </c>
      <c r="I25" s="132">
        <f>RTD("tickerplantrtdserver",,"FWRC1#AUDINR#Month Wise Rates#0#Close0")+RTD("tickerplantrtdserver",,"FWRC1#AUDINR#Month Wise Rates#0#Close13")/10000</f>
        <v>52.90865221</v>
      </c>
      <c r="J25" s="132">
        <f>RTD("tickerplantrtdserver",,"FWRC1#AUDINR#Month Wise Rates#0#Close0")+RTD("tickerplantrtdserver",,"FWRC1#AUDINR#Month Wise Rates#0#Close14")/10000</f>
        <v>53.056570819999997</v>
      </c>
      <c r="K25" s="132">
        <f>RTD("tickerplantrtdserver",,"FWRC1#AUDINR#Month Wise Rates#0#Close0")+RTD("tickerplantrtdserver",,"FWRC1#AUDINR#Month Wise Rates#0#Close15")/10000</f>
        <v>53.225463210000001</v>
      </c>
      <c r="L25" s="132">
        <f>RTD("tickerplantrtdserver",,"FWRC1#AUDINR#Month Wise Rates#0#Close0")+RTD("tickerplantrtdserver",,"FWRC1#AUDINR#Month Wise Rates#0#Close16")/10000</f>
        <v>53.409162179999996</v>
      </c>
      <c r="M25" s="132">
        <f>RTD("tickerplantrtdserver",,"FWRC1#AUDINR#Month Wise Rates#0#Close0")+RTD("tickerplantrtdserver",,"FWRC1#AUDINR#Month Wise Rates#0#Close17")/10000</f>
        <v>53.565061209999996</v>
      </c>
      <c r="N25" s="133">
        <f>RTD("tickerplantrtdserver",,"FWRC1#AUDINR#Month Wise Rates#0#Close0")+RTD("tickerplantrtdserver",,"FWRC1#AUDINR#Month Wise Rates#0#Close18")/10000</f>
        <v>53.741894039999998</v>
      </c>
      <c r="P25" s="172"/>
    </row>
    <row r="26" spans="1:16" ht="18" customHeight="1" x14ac:dyDescent="0.15">
      <c r="A26" s="117" t="str">
        <f>RTD("tickerplantrtdserver",,"17#3#1#6041#SGDINRCOMP#S#Descr.")</f>
        <v>SGDINRCOMP</v>
      </c>
      <c r="B26" s="132">
        <f>RTD("tickerplantrtdserver",,"FWRC1#SGDINR#Month Wise Rates#0#Close0")</f>
        <v>53.515000000000001</v>
      </c>
      <c r="C26" s="132">
        <f>RTD("tickerplantrtdserver",,"FWRC1#SGDINR#Month Wise Rates#0#Close0")+RTD("tickerplantrtdserver",,"FWRC1#SGDINR#Month Wise Rates#0#Close7")/10000</f>
        <v>53.658229089999999</v>
      </c>
      <c r="D26" s="132">
        <f>RTD("tickerplantrtdserver",,"FWRC1#SGDINR#Month Wise Rates#0#Close0")+RTD("tickerplantrtdserver",,"FWRC1#SGDINR#Month Wise Rates#0#Close8")/10000</f>
        <v>53.810148050000002</v>
      </c>
      <c r="E26" s="132">
        <f>RTD("tickerplantrtdserver",,"FWRC1#SGDINR#Month Wise Rates#0#Close0")+RTD("tickerplantrtdserver",,"FWRC1#SGDINR#Month Wise Rates#0#Close9")/10000</f>
        <v>53.96826308</v>
      </c>
      <c r="F26" s="132">
        <f>RTD("tickerplantrtdserver",,"FWRC1#SGDINR#Month Wise Rates#0#Close0")+RTD("tickerplantrtdserver",,"FWRC1#SGDINR#Month Wise Rates#0#Close10")/10000</f>
        <v>54.173507040000004</v>
      </c>
      <c r="G26" s="132">
        <f>RTD("tickerplantrtdserver",,"FWRC1#SGDINR#Month Wise Rates#0#Close0")+RTD("tickerplantrtdserver",,"FWRC1#SGDINR#Month Wise Rates#0#Close11")/10000</f>
        <v>54.326837869999999</v>
      </c>
      <c r="H26" s="132">
        <f>RTD("tickerplantrtdserver",,"FWRC1#SGDINR#Month Wise Rates#0#Close0")+RTD("tickerplantrtdserver",,"FWRC1#SGDINR#Month Wise Rates#0#Close12")/10000</f>
        <v>54.526669759999997</v>
      </c>
      <c r="I26" s="132">
        <f>RTD("tickerplantrtdserver",,"FWRC1#SGDINR#Month Wise Rates#0#Close0")+RTD("tickerplantrtdserver",,"FWRC1#SGDINR#Month Wise Rates#0#Close13")/10000</f>
        <v>54.709533200000003</v>
      </c>
      <c r="J26" s="132">
        <f>RTD("tickerplantrtdserver",,"FWRC1#SGDINR#Month Wise Rates#0#Close0")+RTD("tickerplantrtdserver",,"FWRC1#SGDINR#Month Wise Rates#0#Close14")/10000</f>
        <v>54.868680980000001</v>
      </c>
      <c r="K26" s="132">
        <f>RTD("tickerplantrtdserver",,"FWRC1#SGDINR#Month Wise Rates#0#Close0")+RTD("tickerplantrtdserver",,"FWRC1#SGDINR#Month Wise Rates#0#Close15")/10000</f>
        <v>55.046638710000003</v>
      </c>
      <c r="L26" s="132">
        <f>RTD("tickerplantrtdserver",,"FWRC1#SGDINR#Month Wise Rates#0#Close0")+RTD("tickerplantrtdserver",,"FWRC1#SGDINR#Month Wise Rates#0#Close16")/10000</f>
        <v>55.247152970000002</v>
      </c>
      <c r="M26" s="132">
        <f>RTD("tickerplantrtdserver",,"FWRC1#SGDINR#Month Wise Rates#0#Close0")+RTD("tickerplantrtdserver",,"FWRC1#SGDINR#Month Wise Rates#0#Close17")/10000</f>
        <v>55.41831767</v>
      </c>
      <c r="N26" s="133">
        <f>RTD("tickerplantrtdserver",,"FWRC1#SGDINR#Month Wise Rates#0#Close0")+RTD("tickerplantrtdserver",,"FWRC1#SGDINR#Month Wise Rates#0#Close18")/10000</f>
        <v>55.606050660000001</v>
      </c>
      <c r="P26" s="172"/>
    </row>
    <row r="27" spans="1:16" ht="18" customHeight="1" x14ac:dyDescent="0.15">
      <c r="A27" s="117" t="str">
        <f>RTD("tickerplantrtdserver",,"12#2#1#5949#SEURUSD#S#Descr.")</f>
        <v>EURUSD</v>
      </c>
      <c r="B27" s="132">
        <f>RTD("tickerplantrtdserver",,"FWRC1#EURUSD#Month Wise Rates#0#Close0")</f>
        <v>1.1228</v>
      </c>
      <c r="C27" s="132">
        <f>RTD("tickerplantrtdserver",,"FWRC1#EURUSD#Month Wise Rates#0#Close0")+RTD("tickerplantrtdserver",,"FWRC1#EURUSD#Month Wise Rates#0#Close7")/10000</f>
        <v>1.1235569999999999</v>
      </c>
      <c r="D27" s="132">
        <f>RTD("tickerplantrtdserver",,"FWRC1#EURUSD#Month Wise Rates#0#Close0")+RTD("tickerplantrtdserver",,"FWRC1#EURUSD#Month Wise Rates#0#Close8")/10000</f>
        <v>1.1243604</v>
      </c>
      <c r="E27" s="132">
        <f>RTD("tickerplantrtdserver",,"FWRC1#EURUSD#Month Wise Rates#0#Close0")+RTD("tickerplantrtdserver",,"FWRC1#EURUSD#Month Wise Rates#0#Close9")/10000</f>
        <v>1.1250990000000001</v>
      </c>
      <c r="F27" s="132">
        <f>RTD("tickerplantrtdserver",,"FWRC1#EURUSD#Month Wise Rates#0#Close0")+RTD("tickerplantrtdserver",,"FWRC1#EURUSD#Month Wise Rates#0#Close10")/10000</f>
        <v>1.125899</v>
      </c>
      <c r="G27" s="132">
        <f>RTD("tickerplantrtdserver",,"FWRC1#EURUSD#Month Wise Rates#0#Close0")+RTD("tickerplantrtdserver",,"FWRC1#EURUSD#Month Wise Rates#0#Close11")/10000</f>
        <v>1.126566</v>
      </c>
      <c r="H27" s="132">
        <f>RTD("tickerplantrtdserver",,"FWRC1#EURUSD#Month Wise Rates#0#Close0")+RTD("tickerplantrtdserver",,"FWRC1#EURUSD#Month Wise Rates#0#Close12")/10000</f>
        <v>1.1278539999999999</v>
      </c>
      <c r="I27" s="132">
        <f>RTD("tickerplantrtdserver",,"FWRC1#EURUSD#Month Wise Rates#0#Close0")+RTD("tickerplantrtdserver",,"FWRC1#EURUSD#Month Wise Rates#0#Close13")/10000</f>
        <v>1.128633</v>
      </c>
      <c r="J27" s="132">
        <f>RTD("tickerplantrtdserver",,"FWRC1#EURUSD#Month Wise Rates#0#Close0")+RTD("tickerplantrtdserver",,"FWRC1#EURUSD#Month Wise Rates#0#Close14")/10000</f>
        <v>1.129305</v>
      </c>
      <c r="K27" s="132">
        <f>RTD("tickerplantrtdserver",,"FWRC1#EURUSD#Month Wise Rates#0#Close0")+RTD("tickerplantrtdserver",,"FWRC1#EURUSD#Month Wise Rates#0#Close15")/10000</f>
        <v>1.1301300000000001</v>
      </c>
      <c r="L27" s="132">
        <f>RTD("tickerplantrtdserver",,"FWRC1#EURUSD#Month Wise Rates#0#Close0")+RTD("tickerplantrtdserver",,"FWRC1#EURUSD#Month Wise Rates#0#Close16")/10000</f>
        <v>1.1307800000000001</v>
      </c>
      <c r="M27" s="132">
        <f>RTD("tickerplantrtdserver",,"FWRC1#EURUSD#Month Wise Rates#0#Close0")+RTD("tickerplantrtdserver",,"FWRC1#EURUSD#Month Wise Rates#0#Close17")/10000</f>
        <v>1.131688</v>
      </c>
      <c r="N27" s="133">
        <f>RTD("tickerplantrtdserver",,"FWRC1#EURUSD#Month Wise Rates#0#Close0")+RTD("tickerplantrtdserver",,"FWRC1#EURUSD#Month Wise Rates#0#Close18")/10000</f>
        <v>1.1324719999999999</v>
      </c>
      <c r="P27" s="172"/>
    </row>
    <row r="28" spans="1:16" ht="18" customHeight="1" x14ac:dyDescent="0.15">
      <c r="A28" s="117" t="str">
        <f>RTD("tickerplantrtdserver",,"12#2#1#6031#SGBPUSD#S#Descr.")</f>
        <v>GBPUSD</v>
      </c>
      <c r="B28" s="132">
        <f>RTD("tickerplantrtdserver",,"FWRC1#GBPUSD#Month Wise Rates#0#Close0")</f>
        <v>1.2456199999999999</v>
      </c>
      <c r="C28" s="132">
        <f>RTD("tickerplantrtdserver",,"FWRC1#GBPUSD#Month Wise Rates#0#Close0")+RTD("tickerplantrtdserver",,"FWRC1#GBPUSD#Month Wise Rates#0#Close7")/10000</f>
        <v>1.245841</v>
      </c>
      <c r="D28" s="132">
        <f>RTD("tickerplantrtdserver",,"FWRC1#GBPUSD#Month Wise Rates#0#Close0")+RTD("tickerplantrtdserver",,"FWRC1#GBPUSD#Month Wise Rates#0#Close8")/10000</f>
        <v>1.2460359999999999</v>
      </c>
      <c r="E28" s="132">
        <f>RTD("tickerplantrtdserver",,"FWRC1#GBPUSD#Month Wise Rates#0#Close0")+RTD("tickerplantrtdserver",,"FWRC1#GBPUSD#Month Wise Rates#0#Close9")/10000</f>
        <v>1.2462309999999999</v>
      </c>
      <c r="F28" s="132">
        <f>RTD("tickerplantrtdserver",,"FWRC1#GBPUSD#Month Wise Rates#0#Close0")+RTD("tickerplantrtdserver",,"FWRC1#GBPUSD#Month Wise Rates#0#Close10")/10000</f>
        <v>1.2463849999999999</v>
      </c>
      <c r="G28" s="132">
        <f>RTD("tickerplantrtdserver",,"FWRC1#GBPUSD#Month Wise Rates#0#Close0")+RTD("tickerplantrtdserver",,"FWRC1#GBPUSD#Month Wise Rates#0#Close11")/10000</f>
        <v>1.2465040000000001</v>
      </c>
      <c r="H28" s="132">
        <f>RTD("tickerplantrtdserver",,"FWRC1#GBPUSD#Month Wise Rates#0#Close0")+RTD("tickerplantrtdserver",,"FWRC1#GBPUSD#Month Wise Rates#0#Close12")/10000</f>
        <v>1.2470809999999999</v>
      </c>
      <c r="I28" s="132">
        <f>RTD("tickerplantrtdserver",,"FWRC1#GBPUSD#Month Wise Rates#0#Close0")+RTD("tickerplantrtdserver",,"FWRC1#GBPUSD#Month Wise Rates#0#Close13")/10000</f>
        <v>1.2471939999999999</v>
      </c>
      <c r="J28" s="132">
        <f>RTD("tickerplantrtdserver",,"FWRC1#GBPUSD#Month Wise Rates#0#Close0")+RTD("tickerplantrtdserver",,"FWRC1#GBPUSD#Month Wise Rates#0#Close14")/10000</f>
        <v>1.2472999999999999</v>
      </c>
      <c r="K28" s="132">
        <f>RTD("tickerplantrtdserver",,"FWRC1#GBPUSD#Month Wise Rates#0#Close0")+RTD("tickerplantrtdserver",,"FWRC1#GBPUSD#Month Wise Rates#0#Close15")/10000</f>
        <v>1.2475099999999999</v>
      </c>
      <c r="L28" s="132">
        <f>RTD("tickerplantrtdserver",,"FWRC1#GBPUSD#Month Wise Rates#0#Close0")+RTD("tickerplantrtdserver",,"FWRC1#GBPUSD#Month Wise Rates#0#Close16")/10000</f>
        <v>1.24759</v>
      </c>
      <c r="M28" s="132">
        <f>RTD("tickerplantrtdserver",,"FWRC1#GBPUSD#Month Wise Rates#0#Close0")+RTD("tickerplantrtdserver",,"FWRC1#GBPUSD#Month Wise Rates#0#Close17")/10000</f>
        <v>1.24766</v>
      </c>
      <c r="N28" s="133">
        <f>RTD("tickerplantrtdserver",,"FWRC1#GBPUSD#Month Wise Rates#0#Close0")+RTD("tickerplantrtdserver",,"FWRC1#GBPUSD#Month Wise Rates#0#Close18")/10000</f>
        <v>1.2477939999999998</v>
      </c>
    </row>
    <row r="29" spans="1:16" ht="18" customHeight="1" x14ac:dyDescent="0.15">
      <c r="A29" s="117" t="str">
        <f>RTD("tickerplantrtdserver",,"12#2#1#6069#SUSDJPY#S#Descr.")</f>
        <v>USDJPY</v>
      </c>
      <c r="B29" s="134">
        <f>RTD("tickerplantrtdserver",,"FWRC1#USDJPY#Month Wise Rates#0#Close0")</f>
        <v>107.50700000000001</v>
      </c>
      <c r="C29" s="134">
        <f>RTD("tickerplantrtdserver",,"FWRC1#USDJPY#Month Wise Rates#0#Close0")+RTD("tickerplantrtdserver",,"FWRC1#USDJPY#Month Wise Rates#0#Close7")/100</f>
        <v>107.46480000000001</v>
      </c>
      <c r="D29" s="134">
        <f>RTD("tickerplantrtdserver",,"FWRC1#USDJPY#Month Wise Rates#0#Close0")+RTD("tickerplantrtdserver",,"FWRC1#USDJPY#Month Wise Rates#0#Close8")/100</f>
        <v>107.4238</v>
      </c>
      <c r="E29" s="134">
        <f>RTD("tickerplantrtdserver",,"FWRC1#USDJPY#Month Wise Rates#0#Close0")+RTD("tickerplantrtdserver",,"FWRC1#USDJPY#Month Wise Rates#0#Close9")/100</f>
        <v>107.36760000000001</v>
      </c>
      <c r="F29" s="134">
        <f>RTD("tickerplantrtdserver",,"FWRC1#USDJPY#Month Wise Rates#0#Close0")+RTD("tickerplantrtdserver",,"FWRC1#USDJPY#Month Wise Rates#0#Close10")/100</f>
        <v>107.322</v>
      </c>
      <c r="G29" s="134">
        <f>RTD("tickerplantrtdserver",,"FWRC1#USDJPY#Month Wise Rates#0#Close0")+RTD("tickerplantrtdserver",,"FWRC1#USDJPY#Month Wise Rates#0#Close11")/100</f>
        <v>107.28070000000001</v>
      </c>
      <c r="H29" s="134">
        <f>RTD("tickerplantrtdserver",,"FWRC1#USDJPY#Month Wise Rates#0#Close0")+RTD("tickerplantrtdserver",,"FWRC1#USDJPY#Month Wise Rates#0#Close12")/100</f>
        <v>107.1448</v>
      </c>
      <c r="I29" s="134">
        <f>RTD("tickerplantrtdserver",,"FWRC1#USDJPY#Month Wise Rates#0#Close0")+RTD("tickerplantrtdserver",,"FWRC1#USDJPY#Month Wise Rates#0#Close13")/100</f>
        <v>107.0942</v>
      </c>
      <c r="J29" s="134">
        <f>RTD("tickerplantrtdserver",,"FWRC1#USDJPY#Month Wise Rates#0#Close0")+RTD("tickerplantrtdserver",,"FWRC1#USDJPY#Month Wise Rates#0#Close14")/100</f>
        <v>107.0497</v>
      </c>
      <c r="K29" s="134">
        <f>RTD("tickerplantrtdserver",,"FWRC1#USDJPY#Month Wise Rates#0#Close0")+RTD("tickerplantrtdserver",,"FWRC1#USDJPY#Month Wise Rates#0#Close15")/100</f>
        <v>106.98</v>
      </c>
      <c r="L29" s="134">
        <f>RTD("tickerplantrtdserver",,"FWRC1#USDJPY#Month Wise Rates#0#Close0")+RTD("tickerplantrtdserver",,"FWRC1#USDJPY#Month Wise Rates#0#Close16")/100</f>
        <v>106.9276</v>
      </c>
      <c r="M29" s="134">
        <f>RTD("tickerplantrtdserver",,"FWRC1#USDJPY#Month Wise Rates#0#Close0")+RTD("tickerplantrtdserver",,"FWRC1#USDJPY#Month Wise Rates#0#Close17")/100</f>
        <v>106.87520000000001</v>
      </c>
      <c r="N29" s="135">
        <f>RTD("tickerplantrtdserver",,"FWRC1#USDJPY#Month Wise Rates#0#Close0")+RTD("tickerplantrtdserver",,"FWRC1#USDJPY#Month Wise Rates#0#Close18")/100</f>
        <v>106.813</v>
      </c>
    </row>
    <row r="30" spans="1:16" ht="18" customHeight="1" x14ac:dyDescent="0.15">
      <c r="A30" s="117" t="str">
        <f>RTD("tickerplantrtdserver",,"12#2#1#6069#SUSDCHF#S#Descr.")</f>
        <v>USDCHF</v>
      </c>
      <c r="B30" s="132">
        <f>RTD("tickerplantrtdserver",,"FWRC1#USDCHF#Month Wise Rates#0#Close0")</f>
        <v>0.94610000000000005</v>
      </c>
      <c r="C30" s="132">
        <f>RTD("tickerplantrtdserver",,"FWRC1#USDCHF#Month Wise Rates#0#Close0")+RTD("tickerplantrtdserver",,"FWRC1#USDCHF#Month Wise Rates#0#Close7")/10000</f>
        <v>0.9452370000000001</v>
      </c>
      <c r="D30" s="132">
        <f>RTD("tickerplantrtdserver",,"FWRC1#USDCHF#Month Wise Rates#0#Close0")+RTD("tickerplantrtdserver",,"FWRC1#USDCHF#Month Wise Rates#0#Close8")/10000</f>
        <v>0.94435600000000008</v>
      </c>
      <c r="E30" s="132">
        <f>RTD("tickerplantrtdserver",,"FWRC1#USDCHF#Month Wise Rates#0#Close0")+RTD("tickerplantrtdserver",,"FWRC1#USDCHF#Month Wise Rates#0#Close9")/10000</f>
        <v>0.943519</v>
      </c>
      <c r="F30" s="132">
        <f>RTD("tickerplantrtdserver",,"FWRC1#USDCHF#Month Wise Rates#0#Close0")+RTD("tickerplantrtdserver",,"FWRC1#USDCHF#Month Wise Rates#0#Close10")/10000</f>
        <v>0.94258700000000006</v>
      </c>
      <c r="G30" s="132">
        <f>RTD("tickerplantrtdserver",,"FWRC1#USDCHF#Month Wise Rates#0#Close0")+RTD("tickerplantrtdserver",,"FWRC1#USDCHF#Month Wise Rates#0#Close11")/10000</f>
        <v>0.94179200000000007</v>
      </c>
      <c r="H30" s="132">
        <f>RTD("tickerplantrtdserver",,"FWRC1#USDCHF#Month Wise Rates#0#Close0")+RTD("tickerplantrtdserver",,"FWRC1#USDCHF#Month Wise Rates#0#Close12")/10000</f>
        <v>0.9404880000000001</v>
      </c>
      <c r="I30" s="132">
        <f>RTD("tickerplantrtdserver",,"FWRC1#USDCHF#Month Wise Rates#0#Close0")+RTD("tickerplantrtdserver",,"FWRC1#USDCHF#Month Wise Rates#0#Close13")/10000</f>
        <v>0.93964400000000003</v>
      </c>
      <c r="J30" s="132">
        <f>RTD("tickerplantrtdserver",,"FWRC1#USDCHF#Month Wise Rates#0#Close0")+RTD("tickerplantrtdserver",,"FWRC1#USDCHF#Month Wise Rates#0#Close14")/10000</f>
        <v>0.93874300000000011</v>
      </c>
      <c r="K30" s="132">
        <f>RTD("tickerplantrtdserver",,"FWRC1#USDCHF#Month Wise Rates#0#Close0")+RTD("tickerplantrtdserver",,"FWRC1#USDCHF#Month Wise Rates#0#Close15")/10000</f>
        <v>0.9378200000000001</v>
      </c>
      <c r="L30" s="132">
        <f>RTD("tickerplantrtdserver",,"FWRC1#USDCHF#Month Wise Rates#0#Close0")+RTD("tickerplantrtdserver",,"FWRC1#USDCHF#Month Wise Rates#0#Close16")/10000</f>
        <v>0.93703600000000009</v>
      </c>
      <c r="M30" s="132">
        <f>RTD("tickerplantrtdserver",,"FWRC1#USDCHF#Month Wise Rates#0#Close0")+RTD("tickerplantrtdserver",,"FWRC1#USDCHF#Month Wise Rates#0#Close17")/10000</f>
        <v>0.93623100000000004</v>
      </c>
      <c r="N30" s="133">
        <f>RTD("tickerplantrtdserver",,"FWRC1#USDCHF#Month Wise Rates#0#Close0")+RTD("tickerplantrtdserver",,"FWRC1#USDCHF#Month Wise Rates#0#Close18")/10000</f>
        <v>0.93542400000000003</v>
      </c>
    </row>
    <row r="31" spans="1:16" ht="18" customHeight="1" x14ac:dyDescent="0.15">
      <c r="A31" s="117" t="str">
        <f>RTD("tickerplantrtdserver",,"12#2#1#6069#SUSDCAD#S#Descr.")</f>
        <v>USDCAD</v>
      </c>
      <c r="B31" s="132">
        <f>RTD("tickerplantrtdserver",,"FWRC1#USDCAD#Month Wise Rates#0#Close0")</f>
        <v>1.3568</v>
      </c>
      <c r="C31" s="132">
        <f>RTD("tickerplantrtdserver",,"FWRC1#USDCAD#Month Wise Rates#0#Close0")+RTD("tickerplantrtdserver",,"FWRC1#USDCAD#Month Wise Rates#0#Close7")/10000</f>
        <v>1.356643</v>
      </c>
      <c r="D31" s="132">
        <f>RTD("tickerplantrtdserver",,"FWRC1#USDCAD#Month Wise Rates#0#Close0")+RTD("tickerplantrtdserver",,"FWRC1#USDCAD#Month Wise Rates#0#Close8")/10000</f>
        <v>1.3565579999999999</v>
      </c>
      <c r="E31" s="132">
        <f>RTD("tickerplantrtdserver",,"FWRC1#USDCAD#Month Wise Rates#0#Close0")+RTD("tickerplantrtdserver",,"FWRC1#USDCAD#Month Wise Rates#0#Close9")/10000</f>
        <v>1.356482</v>
      </c>
      <c r="F31" s="132">
        <f>RTD("tickerplantrtdserver",,"FWRC1#USDCAD#Month Wise Rates#0#Close0")+RTD("tickerplantrtdserver",,"FWRC1#USDCAD#Month Wise Rates#0#Close10")/10000</f>
        <v>1.3564210000000001</v>
      </c>
      <c r="G31" s="132">
        <f>RTD("tickerplantrtdserver",,"FWRC1#USDCAD#Month Wise Rates#0#Close0")+RTD("tickerplantrtdserver",,"FWRC1#USDCAD#Month Wise Rates#0#Close11")/10000</f>
        <v>1.3563909999999999</v>
      </c>
      <c r="H31" s="132">
        <f>RTD("tickerplantrtdserver",,"FWRC1#USDCAD#Month Wise Rates#0#Close0")+RTD("tickerplantrtdserver",,"FWRC1#USDCAD#Month Wise Rates#0#Close12")/10000</f>
        <v>1.356096</v>
      </c>
      <c r="I31" s="132">
        <f>RTD("tickerplantrtdserver",,"FWRC1#USDCAD#Month Wise Rates#0#Close0")+RTD("tickerplantrtdserver",,"FWRC1#USDCAD#Month Wise Rates#0#Close13")/10000</f>
        <v>1.356063</v>
      </c>
      <c r="J31" s="132">
        <f>RTD("tickerplantrtdserver",,"FWRC1#USDCAD#Month Wise Rates#0#Close0")+RTD("tickerplantrtdserver",,"FWRC1#USDCAD#Month Wise Rates#0#Close14")/10000</f>
        <v>1.356179</v>
      </c>
      <c r="K31" s="132">
        <f>RTD("tickerplantrtdserver",,"FWRC1#USDCAD#Month Wise Rates#0#Close0")+RTD("tickerplantrtdserver",,"FWRC1#USDCAD#Month Wise Rates#0#Close15")/10000</f>
        <v>1.356152</v>
      </c>
      <c r="L31" s="132">
        <f>RTD("tickerplantrtdserver",,"FWRC1#USDCAD#Month Wise Rates#0#Close0")+RTD("tickerplantrtdserver",,"FWRC1#USDCAD#Month Wise Rates#0#Close16")/10000</f>
        <v>1.3562639999999999</v>
      </c>
      <c r="M31" s="132">
        <f>RTD("tickerplantrtdserver",,"FWRC1#USDCAD#Month Wise Rates#0#Close0")+RTD("tickerplantrtdserver",,"FWRC1#USDCAD#Month Wise Rates#0#Close17")/10000</f>
        <v>1.3563799999999999</v>
      </c>
      <c r="N31" s="133">
        <f>RTD("tickerplantrtdserver",,"FWRC1#USDCAD#Month Wise Rates#0#Close0")+RTD("tickerplantrtdserver",,"FWRC1#USDCAD#Month Wise Rates#0#Close18")/10000</f>
        <v>1.3562000000000001</v>
      </c>
    </row>
    <row r="32" spans="1:16" ht="18" customHeight="1" x14ac:dyDescent="0.15">
      <c r="A32" s="117" t="str">
        <f>RTD("tickerplantrtdserver",,"12#2#1#5903#SAUDUSD#S#Descr.")</f>
        <v>AUDUSD</v>
      </c>
      <c r="B32" s="132">
        <f>RTD("tickerplantrtdserver",,"FWRC1#AUDUSD#Month Wise Rates#0#Close0")</f>
        <v>0.69389000000000001</v>
      </c>
      <c r="C32" s="132">
        <f>RTD("tickerplantrtdserver",,"FWRC1#AUDUSD#Month Wise Rates#0#Close0")+RTD("tickerplantrtdserver",,"FWRC1#AUDUSD#Month Wise Rates#0#Close7")/10000</f>
        <v>0.69396900000000006</v>
      </c>
      <c r="D32" s="132">
        <f>RTD("tickerplantrtdserver",,"FWRC1#AUDUSD#Month Wise Rates#0#Close0")+RTD("tickerplantrtdserver",,"FWRC1#AUDUSD#Month Wise Rates#0#Close8")/10000</f>
        <v>0.69400899999999999</v>
      </c>
      <c r="E32" s="132">
        <f>RTD("tickerplantrtdserver",,"FWRC1#AUDUSD#Month Wise Rates#0#Close0")+RTD("tickerplantrtdserver",,"FWRC1#AUDUSD#Month Wise Rates#0#Close9")/10000</f>
        <v>0.69400899999999999</v>
      </c>
      <c r="F32" s="132">
        <f>RTD("tickerplantrtdserver",,"FWRC1#AUDUSD#Month Wise Rates#0#Close0")+RTD("tickerplantrtdserver",,"FWRC1#AUDUSD#Month Wise Rates#0#Close10")/10000</f>
        <v>0.69400700000000004</v>
      </c>
      <c r="G32" s="132">
        <f>RTD("tickerplantrtdserver",,"FWRC1#AUDUSD#Month Wise Rates#0#Close0")+RTD("tickerplantrtdserver",,"FWRC1#AUDUSD#Month Wise Rates#0#Close11")/10000</f>
        <v>0.69398800000000005</v>
      </c>
      <c r="H32" s="132">
        <f>RTD("tickerplantrtdserver",,"FWRC1#AUDUSD#Month Wise Rates#0#Close0")+RTD("tickerplantrtdserver",,"FWRC1#AUDUSD#Month Wise Rates#0#Close12")/10000</f>
        <v>0.693967</v>
      </c>
      <c r="I32" s="132">
        <f>RTD("tickerplantrtdserver",,"FWRC1#AUDUSD#Month Wise Rates#0#Close0")+RTD("tickerplantrtdserver",,"FWRC1#AUDUSD#Month Wise Rates#0#Close13")/10000</f>
        <v>0.69391100000000006</v>
      </c>
      <c r="J32" s="132">
        <f>RTD("tickerplantrtdserver",,"FWRC1#AUDUSD#Month Wise Rates#0#Close0")+RTD("tickerplantrtdserver",,"FWRC1#AUDUSD#Month Wise Rates#0#Close14")/10000</f>
        <v>0.69384100000000004</v>
      </c>
      <c r="K32" s="132">
        <f>RTD("tickerplantrtdserver",,"FWRC1#AUDUSD#Month Wise Rates#0#Close0")+RTD("tickerplantrtdserver",,"FWRC1#AUDUSD#Month Wise Rates#0#Close15")/10000</f>
        <v>0.69380699999999995</v>
      </c>
      <c r="L32" s="132">
        <f>RTD("tickerplantrtdserver",,"FWRC1#AUDUSD#Month Wise Rates#0#Close0")+RTD("tickerplantrtdserver",,"FWRC1#AUDUSD#Month Wise Rates#0#Close16")/10000</f>
        <v>0.69372299999999998</v>
      </c>
      <c r="M32" s="132">
        <f>RTD("tickerplantrtdserver",,"FWRC1#AUDUSD#Month Wise Rates#0#Close0")+RTD("tickerplantrtdserver",,"FWRC1#AUDUSD#Month Wise Rates#0#Close17")/10000</f>
        <v>0.69362599999999996</v>
      </c>
      <c r="N32" s="133">
        <f>RTD("tickerplantrtdserver",,"FWRC1#AUDUSD#Month Wise Rates#0#Close0")+RTD("tickerplantrtdserver",,"FWRC1#AUDUSD#Month Wise Rates#0#Close18")/10000</f>
        <v>0.69356700000000004</v>
      </c>
    </row>
    <row r="33" spans="1:18" ht="18" customHeight="1" thickBot="1" x14ac:dyDescent="0.2">
      <c r="A33" s="122" t="str">
        <f>RTD("tickerplantrtdserver",,"12#2#1#6069#SUSDSGD#S#Descr.")</f>
        <v>USDSGD</v>
      </c>
      <c r="B33" s="123">
        <f>RTD("tickerplantrtdserver",,"12#2#1#6069#SUSDSGD#LTP")</f>
        <v>1.3944000000000001</v>
      </c>
      <c r="C33" s="123">
        <f>RTD("tickerplantrtdserver",,"12#2#1#6069#SUSDSGD#LTP")+RTD("tickerplantrtdserver",,"12#1#1#6069#FUSDSGD\01M#LTP")/10000</f>
        <v>1.3943210000000001</v>
      </c>
      <c r="D33" s="123">
        <f>RTD("tickerplantrtdserver",,"12#2#1#6069#SUSDSGD#LTP")+RTD("tickerplantrtdserver",,"12#1#1#6069#FUSDSGD\02M#LTP")/10000</f>
        <v>1.394193</v>
      </c>
      <c r="E33" s="123">
        <f>RTD("tickerplantrtdserver",,"12#2#1#6069#SUSDSGD#LTP")+RTD("tickerplantrtdserver",,"12#1#1#6069#FUSDSGD\03M#LTP")/10000</f>
        <v>1.394055</v>
      </c>
      <c r="F33" s="123">
        <f>RTD("tickerplantrtdserver",,"12#2#1#6069#SUSDSGD#LTP")+RTD("tickerplantrtdserver",,"12#1#1#6069#FUSDSGD\04M#LTP")/10000</f>
        <v>1.3935850000000001</v>
      </c>
      <c r="G33" s="123">
        <f>RTD("tickerplantrtdserver",,"12#2#1#6069#SUSDSGD#LTP")+RTD("tickerplantrtdserver",,"12#1#1#6069#FUSDSGD\05M#LTP")/10000</f>
        <v>1.3934250000000001</v>
      </c>
      <c r="H33" s="123">
        <f>RTD("tickerplantrtdserver",,"12#2#1#6069#SUSDSGD#LTP")+RTD("tickerplantrtdserver",,"12#1#1#6069#FUSDSGD\06M#LTP")/10000</f>
        <v>1.3936250000000001</v>
      </c>
      <c r="I33" s="123">
        <f>RTD("tickerplantrtdserver",,"12#2#1#6069#SUSDSGD#LTP")+RTD("tickerplantrtdserver",,"12#1#1#6069#FUSDSGD\07M#LTP")/10000</f>
        <v>1.39345188</v>
      </c>
      <c r="J33" s="123">
        <f>RTD("tickerplantrtdserver",,"12#2#1#6069#SUSDSGD#LTP")+RTD("tickerplantrtdserver",,"12#1#1#6069#FUSDSGD\08M#LTP")/10000</f>
        <v>1.3933004</v>
      </c>
      <c r="K33" s="123">
        <f>RTD("tickerplantrtdserver",,"12#2#1#6069#SUSDSGD#LTP")+RTD("tickerplantrtdserver",,"12#1#1#6069#FUSDSGD\09M#LTP")/10000</f>
        <v>1.393138</v>
      </c>
      <c r="L33" s="123">
        <f>RTD("tickerplantrtdserver",,"12#2#1#6069#SUSDSGD#LTP")+RTD("tickerplantrtdserver",,"12#1#1#6069#FUSDSGD\10M#LTP")/10000</f>
        <v>1.3929361</v>
      </c>
      <c r="M33" s="123">
        <f>RTD("tickerplantrtdserver",,"12#2#1#6069#SUSDSGD#LTP")+RTD("tickerplantrtdserver",,"12#1#1#6069#FUSDSGD\11M#LTP")/10000</f>
        <v>1.3927274700000001</v>
      </c>
      <c r="N33" s="124">
        <f>RTD("tickerplantrtdserver",,"12#2#1#6069#SUSDSGD#LTP")+RTD("tickerplantrtdserver",,"12#1#1#6069#FUSDSGD\12M#LTP")/10000</f>
        <v>1.392525</v>
      </c>
    </row>
    <row r="34" spans="1:18" ht="18" customHeight="1" thickBot="1" x14ac:dyDescent="0.2"/>
    <row r="35" spans="1:18" ht="18" customHeight="1" thickBot="1" x14ac:dyDescent="0.2">
      <c r="A35" s="110" t="s">
        <v>14</v>
      </c>
      <c r="B35" s="136" t="s">
        <v>56</v>
      </c>
      <c r="C35" s="136" t="s">
        <v>57</v>
      </c>
      <c r="D35" s="136" t="s">
        <v>58</v>
      </c>
      <c r="E35" s="136" t="s">
        <v>36</v>
      </c>
      <c r="F35" s="136" t="s">
        <v>37</v>
      </c>
      <c r="G35" s="136" t="s">
        <v>35</v>
      </c>
      <c r="H35" s="136" t="s">
        <v>38</v>
      </c>
      <c r="I35" s="136" t="s">
        <v>39</v>
      </c>
      <c r="J35" s="136" t="s">
        <v>34</v>
      </c>
      <c r="K35" s="137" t="s">
        <v>43</v>
      </c>
      <c r="L35" s="137" t="s">
        <v>44</v>
      </c>
      <c r="M35" s="137" t="s">
        <v>40</v>
      </c>
      <c r="N35" s="137" t="s">
        <v>45</v>
      </c>
      <c r="O35" s="137" t="s">
        <v>46</v>
      </c>
      <c r="P35" s="138" t="s">
        <v>33</v>
      </c>
      <c r="R35" s="172" t="s">
        <v>61</v>
      </c>
    </row>
    <row r="36" spans="1:18" ht="18" customHeight="1" x14ac:dyDescent="0.15">
      <c r="A36" s="114" t="s">
        <v>27</v>
      </c>
      <c r="B36" s="139">
        <f>RTD("tickerplantrtdserver",,"47#5#1#5629#USDON.LIBOR#LTP")</f>
        <v>8.2879999999999995E-2</v>
      </c>
      <c r="C36" s="139">
        <f>RTD("tickerplantrtdserver",,"47#5#1#5629#USD1W.LIBOR#LTP")</f>
        <v>0.10150000000000001</v>
      </c>
      <c r="D36" s="139">
        <f>RTD("tickerplantrtdserver",,"47#5#1#5629#USD2W.LIBOR#LTP")</f>
        <v>0.17113</v>
      </c>
      <c r="E36" s="140">
        <f>RTD("tickerplantrtdserver",,"47#5#1#5629#USD1M.LIBOR#LTP")</f>
        <v>0.16375000000000001</v>
      </c>
      <c r="F36" s="140">
        <f>RTD("tickerplantrtdserver",,"47#5#1#5629#USD2M.LIBOR#LTP")</f>
        <v>0.23375000000000001</v>
      </c>
      <c r="G36" s="140">
        <f>RTD("tickerplantrtdserver",,"47#5#1#5629#USD3M.LIBOR#LTP")</f>
        <v>0.30375000000000002</v>
      </c>
      <c r="H36" s="140">
        <f>RTD("tickerplantrtdserver",,"47#5#1#5629#USD4M.LIBOR#LTP")</f>
        <v>0.31709999999999999</v>
      </c>
      <c r="I36" s="140">
        <f>RTD("tickerplantrtdserver",,"47#5#1#5629#USD5M.LIBOR#LTP")</f>
        <v>0.36725999999999998</v>
      </c>
      <c r="J36" s="140">
        <f>RTD("tickerplantrtdserver",,"47#5#1#5629#USD6M.LIBOR#LTP")</f>
        <v>0.36613000000000001</v>
      </c>
      <c r="K36" s="141">
        <f>RTD("tickerplantrtdserver",,"47#5#1#5629#USD7M.LIBOR#LTP")</f>
        <v>0.46740999999999999</v>
      </c>
      <c r="L36" s="141">
        <f>RTD("tickerplantrtdserver",,"47#5#1#5629#USD8M.LIBOR#LTP")</f>
        <v>0.51214999999999999</v>
      </c>
      <c r="M36" s="141">
        <f>RTD("tickerplantrtdserver",,"47#5#1#5629#USD9M.LIBOR#LTP")</f>
        <v>0.55079999999999996</v>
      </c>
      <c r="N36" s="141">
        <f>RTD("tickerplantrtdserver",,"47#5#1#5629#USD10M.LIBOR#LTP")</f>
        <v>0.59025000000000005</v>
      </c>
      <c r="O36" s="141">
        <f>RTD("tickerplantrtdserver",,"47#5#1#5629#USD11M.LIBOR#LTP")</f>
        <v>0.63939999999999997</v>
      </c>
      <c r="P36" s="142">
        <f>RTD("tickerplantrtdserver",,"47#5#1#5629#USD1Y.LIBOR#LTP")</f>
        <v>0.53863000000000005</v>
      </c>
      <c r="R36" s="172"/>
    </row>
    <row r="37" spans="1:18" ht="18" customHeight="1" x14ac:dyDescent="0.15">
      <c r="A37" s="117" t="s">
        <v>25</v>
      </c>
      <c r="B37" s="143">
        <f>RTD("tickerplantrtdserver",,"47#5#1#5629#EURON.LIBOR#LTP")</f>
        <v>-0.56499999999999995</v>
      </c>
      <c r="C37" s="143">
        <f>RTD("tickerplantrtdserver",,"47#5#1#5629#EUR1W.LIBOR#LTP")</f>
        <v>-0.52600000000000002</v>
      </c>
      <c r="D37" s="143">
        <f>RTD("tickerplantrtdserver",,"47#5#1#5629#EUR2W.LIBOR#LTP")</f>
        <v>4.471E-2</v>
      </c>
      <c r="E37" s="144">
        <f>RTD("tickerplantrtdserver",,"47#5#1#5629#EUR1M.LIBOR#LTP")</f>
        <v>-0.49729000000000001</v>
      </c>
      <c r="F37" s="144">
        <f>RTD("tickerplantrtdserver",,"47#5#1#5629#EUR2M.LIBOR#LTP")</f>
        <v>-0.44229000000000002</v>
      </c>
      <c r="G37" s="144">
        <f>RTD("tickerplantrtdserver",,"47#5#1#5629#EUR3M.LIBOR#LTP")</f>
        <v>-0.39885999999999999</v>
      </c>
      <c r="H37" s="144">
        <f>RTD("tickerplantrtdserver",,"47#5#1#5629#EUR4M.LIBOR#LTP")</f>
        <v>0.14713999999999999</v>
      </c>
      <c r="I37" s="144">
        <f>RTD("tickerplantrtdserver",,"47#5#1#5629#EUR5M.LIBOR#LTP")</f>
        <v>0.17357</v>
      </c>
      <c r="J37" s="144">
        <f>RTD("tickerplantrtdserver",,"47#5#1#5629#EUR6M.LIBOR#LTP")</f>
        <v>-0.33443000000000001</v>
      </c>
      <c r="K37" s="145">
        <f>RTD("tickerplantrtdserver",,"47#5#1#5629#EUR7M.LIBOR#LTP")</f>
        <v>0.22928999999999999</v>
      </c>
      <c r="L37" s="145">
        <f>RTD("tickerplantrtdserver",,"47#5#1#5629#EUR8M.LIBOR#LTP")</f>
        <v>0.26357000000000003</v>
      </c>
      <c r="M37" s="145">
        <f>RTD("tickerplantrtdserver",,"47#5#1#5629#EUR9M.LIBOR#LTP")</f>
        <v>0.29357</v>
      </c>
      <c r="N37" s="145">
        <f>RTD("tickerplantrtdserver",,"47#5#1#5629#EUR10M.LIBOR#LTP")</f>
        <v>0.32429000000000002</v>
      </c>
      <c r="O37" s="145">
        <f>RTD("tickerplantrtdserver",,"47#5#1#5629#EUR11M.LIBOR#LTP")</f>
        <v>0.35499999999999998</v>
      </c>
      <c r="P37" s="146">
        <f>RTD("tickerplantrtdserver",,"47#5#1#5629#EUR1Y.LIBOR#LTP")</f>
        <v>-0.23557</v>
      </c>
      <c r="R37" s="172"/>
    </row>
    <row r="38" spans="1:18" ht="18" customHeight="1" x14ac:dyDescent="0.15">
      <c r="A38" s="117" t="s">
        <v>23</v>
      </c>
      <c r="B38" s="143">
        <f>RTD("tickerplantrtdserver",,"47#5#1#5629#GBPON.LIBOR#LTP")</f>
        <v>5.4879999999999998E-2</v>
      </c>
      <c r="C38" s="143">
        <f>RTD("tickerplantrtdserver",,"47#5#1#5629#GBP1W.LIBOR#LTP")</f>
        <v>6.2379999999999998E-2</v>
      </c>
      <c r="D38" s="143">
        <f>RTD("tickerplantrtdserver",,"47#5#1#5629#GBP1W.LIBOR#LTP")</f>
        <v>6.2379999999999998E-2</v>
      </c>
      <c r="E38" s="144">
        <f>RTD("tickerplantrtdserver",,"47#5#1#5629#GBP1M.LIBOR#LTP")</f>
        <v>8.0250000000000002E-2</v>
      </c>
      <c r="F38" s="144">
        <f>RTD("tickerplantrtdserver",,"47#5#1#5629#GBP2M.LIBOR#LTP")</f>
        <v>0.11713</v>
      </c>
      <c r="G38" s="144">
        <f>RTD("tickerplantrtdserver",,"47#5#1#5629#GBP3M.LIBOR#LTP")</f>
        <v>0.13775000000000001</v>
      </c>
      <c r="H38" s="144">
        <f>RTD("tickerplantrtdserver",,"47#5#1#5629#GBP4M.LIBOR#LTP")</f>
        <v>0.53</v>
      </c>
      <c r="I38" s="144">
        <f>RTD("tickerplantrtdserver",,"47#5#1#5629#GBP5M.LIBOR#LTP")</f>
        <v>0.56188000000000005</v>
      </c>
      <c r="J38" s="144">
        <f>RTD("tickerplantrtdserver",,"47#5#1#5629#GBP6M.LIBOR#LTP")</f>
        <v>0.29249999999999998</v>
      </c>
      <c r="K38" s="145">
        <f>RTD("tickerplantrtdserver",,"47#5#1#5629#GBP7M.LIBOR#LTP")</f>
        <v>0.63688</v>
      </c>
      <c r="L38" s="145">
        <f>RTD("tickerplantrtdserver",,"47#5#1#5629#GBP8M.LIBOR#LTP")</f>
        <v>0.69438</v>
      </c>
      <c r="M38" s="145">
        <f>RTD("tickerplantrtdserver",,"47#5#1#5629#GBP9M.LIBOR#LTP")</f>
        <v>0.73624999999999996</v>
      </c>
      <c r="N38" s="145">
        <f>RTD("tickerplantrtdserver",,"47#5#1#5629#GBP10M.LIBOR#LTP")</f>
        <v>0.77937999999999996</v>
      </c>
      <c r="O38" s="145">
        <f>RTD("tickerplantrtdserver",,"47#5#1#5629#GBP11M.LIBOR#LTP")</f>
        <v>0.83313000000000004</v>
      </c>
      <c r="P38" s="146">
        <f>RTD("tickerplantrtdserver",,"47#5#1#5629#GBP1Y.LIBOR#LTP")</f>
        <v>0.42649999999999999</v>
      </c>
      <c r="R38" s="172"/>
    </row>
    <row r="39" spans="1:18" ht="18" customHeight="1" thickBot="1" x14ac:dyDescent="0.2">
      <c r="A39" s="122" t="s">
        <v>22</v>
      </c>
      <c r="B39" s="147">
        <f>RTD("tickerplantrtdserver",,"47#5#1#5629#JPYSN.LIBOR#LTP")</f>
        <v>-7.3999999999999996E-2</v>
      </c>
      <c r="C39" s="147">
        <f>RTD("tickerplantrtdserver",,"47#5#1#5629#JPY1W.LIBOR#LTP")</f>
        <v>-8.1500000000000003E-2</v>
      </c>
      <c r="D39" s="147">
        <f>RTD("tickerplantrtdserver",,"47#5#1#5629#JPY2W.LIBOR#LTP")</f>
        <v>0.11071</v>
      </c>
      <c r="E39" s="148">
        <f>RTD("tickerplantrtdserver",,"47#5#1#5629#JPY1M.LIBOR#LTP")</f>
        <v>-7.7170000000000002E-2</v>
      </c>
      <c r="F39" s="148">
        <f>RTD("tickerplantrtdserver",,"47#5#1#5629#JPY2M.LIBOR#LTP")</f>
        <v>-5.3330000000000002E-2</v>
      </c>
      <c r="G39" s="148">
        <f>RTD("tickerplantrtdserver",,"47#5#1#5629#JPY3M.LIBOR#LTP")</f>
        <v>-4.7E-2</v>
      </c>
      <c r="H39" s="148">
        <f>RTD("tickerplantrtdserver",,"47#5#1#5629#JPY2M.LIBOR#LTP")</f>
        <v>-5.3330000000000002E-2</v>
      </c>
      <c r="I39" s="148">
        <f>RTD("tickerplantrtdserver",,"47#5#1#5629#JPY5M.LIBOR#LTP")</f>
        <v>0.21571000000000001</v>
      </c>
      <c r="J39" s="148">
        <f>RTD("tickerplantrtdserver",,"47#5#1#5629#JPY6M.LIBOR#LTP")</f>
        <v>-2.3E-2</v>
      </c>
      <c r="K39" s="149">
        <f>RTD("tickerplantrtdserver",,"47#5#1#5629#JPY7M.LIBOR#LTP")</f>
        <v>0.28571000000000002</v>
      </c>
      <c r="L39" s="149">
        <f>RTD("tickerplantrtdserver",,"47#5#1#5629#JPY8M.LIBOR#LTP")</f>
        <v>0.32571</v>
      </c>
      <c r="M39" s="149">
        <f>RTD("tickerplantrtdserver",,"47#5#1#5629#JPY9M.LIBOR#LTP")</f>
        <v>0.35428999999999999</v>
      </c>
      <c r="N39" s="149">
        <f>RTD("tickerplantrtdserver",,"47#5#1#5629#JPY10M.LIBOR#LTP")</f>
        <v>0.38429000000000002</v>
      </c>
      <c r="O39" s="149">
        <f>RTD("tickerplantrtdserver",,"47#5#1#5629#JPY11M.LIBOR#LTP")</f>
        <v>0.41143000000000002</v>
      </c>
      <c r="P39" s="150">
        <f>RTD("tickerplantrtdserver",,"47#5#1#5629#JPY1Y.LIBOR#LTP")</f>
        <v>0.11117</v>
      </c>
      <c r="R39" s="172"/>
    </row>
  </sheetData>
  <mergeCells count="3">
    <mergeCell ref="G5:G9"/>
    <mergeCell ref="P23:P27"/>
    <mergeCell ref="R35:R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USDINR</vt:lpstr>
      <vt:lpstr>EURINR</vt:lpstr>
      <vt:lpstr>GBPINR</vt:lpstr>
      <vt:lpstr>JPYINR</vt:lpstr>
      <vt:lpstr>LIBOR</vt:lpstr>
      <vt:lpstr>OHLC</vt:lpstr>
      <vt:lpstr>Currency futures 1 Month</vt:lpstr>
      <vt:lpstr>Currency Futures 2 Month</vt:lpstr>
      <vt:lpstr>Currency Futures 3 Month</vt:lpstr>
      <vt:lpstr>Forward Rates Tab 1USDINR ME</vt:lpstr>
      <vt:lpstr>Forward Rates Tab 2USDINR MW</vt:lpstr>
      <vt:lpstr>Forward Rates Tab 3EURINR ME</vt:lpstr>
      <vt:lpstr>Forward Rates Tab 4GBPINR ME</vt:lpstr>
      <vt:lpstr>Forward Rates Tab 5JPYINR ME</vt:lpstr>
      <vt:lpstr>Forward Rates Tab 6EURUSD MW</vt:lpstr>
      <vt:lpstr>Forward Rates Tab 7GBPUSD MW</vt:lpstr>
      <vt:lpstr>Forward Rates Tab 8USDJPY MW</vt:lpstr>
      <vt:lpstr>Forward Rate Calculator</vt:lpstr>
      <vt:lpstr>Historical 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siddhesh.ghare</dc:creator>
  <cp:lastModifiedBy>Windows User</cp:lastModifiedBy>
  <dcterms:created xsi:type="dcterms:W3CDTF">2020-04-23T19:35:55Z</dcterms:created>
  <dcterms:modified xsi:type="dcterms:W3CDTF">2020-07-03T12:56:36Z</dcterms:modified>
</cp:coreProperties>
</file>