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phillip/uploads/excel/"/>
    </mc:Choice>
  </mc:AlternateContent>
  <xr:revisionPtr revIDLastSave="0" documentId="13_ncr:1_{5BB3F834-50B4-644D-B1A7-2FA42173B382}" xr6:coauthVersionLast="45" xr6:coauthVersionMax="45" xr10:uidLastSave="{00000000-0000-0000-0000-000000000000}"/>
  <bookViews>
    <workbookView xWindow="240" yWindow="460" windowWidth="28220" windowHeight="15640" firstSheet="10" activeTab="13" xr2:uid="{00000000-000D-0000-FFFF-FFFF00000000}"/>
  </bookViews>
  <sheets>
    <sheet name="Kairav Live Markets- Layout" sheetId="1" r:id="rId1"/>
    <sheet name="USDINR" sheetId="4" r:id="rId2"/>
    <sheet name="EURINR" sheetId="5" r:id="rId3"/>
    <sheet name="GBPINR" sheetId="6" r:id="rId4"/>
    <sheet name="JPYINR" sheetId="7" r:id="rId5"/>
    <sheet name="LIBOR" sheetId="8" r:id="rId6"/>
    <sheet name="OHLC" sheetId="10" r:id="rId7"/>
    <sheet name="Currency futures 1 Month" sheetId="11" r:id="rId8"/>
    <sheet name="Currency Futures 2 Month" sheetId="12" r:id="rId9"/>
    <sheet name="Currency Futures 3 Month" sheetId="13" r:id="rId10"/>
    <sheet name="RBI Reference Rate" sheetId="9" r:id="rId11"/>
    <sheet name="Forward Rates Tab 1" sheetId="14" r:id="rId12"/>
    <sheet name="Forward Rates Tab 2" sheetId="15" r:id="rId13"/>
    <sheet name="Forward Rates Tab 3" sheetId="16" r:id="rId14"/>
    <sheet name="Forward Rates Tab 4" sheetId="17" r:id="rId15"/>
    <sheet name="Forward Rates Tab 5" sheetId="18" r:id="rId16"/>
    <sheet name="Forward Rates Tab 6" sheetId="19" r:id="rId17"/>
    <sheet name="Forward Rates Tab 7" sheetId="20" r:id="rId18"/>
    <sheet name="Forward Rates Tab 8" sheetId="21" r:id="rId19"/>
    <sheet name="Broken Date Calculator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2" l="1"/>
  <c r="H14" i="22"/>
  <c r="D7" i="22"/>
  <c r="F19" i="22"/>
  <c r="I7" i="22"/>
  <c r="H8" i="22"/>
  <c r="D9" i="22"/>
  <c r="H13" i="22"/>
  <c r="J16" i="22"/>
  <c r="C10" i="22"/>
  <c r="E10" i="22"/>
  <c r="E13" i="22"/>
  <c r="G14" i="22"/>
  <c r="N9" i="22"/>
  <c r="M14" i="22"/>
  <c r="N13" i="22"/>
  <c r="O10" i="22"/>
  <c r="P19" i="22"/>
  <c r="K18" i="22"/>
  <c r="M16" i="22"/>
  <c r="L16" i="22"/>
  <c r="K16" i="22"/>
  <c r="P13" i="22"/>
  <c r="O8" i="22"/>
  <c r="O14" i="22"/>
  <c r="F11" i="22"/>
  <c r="M19" i="22"/>
  <c r="K14" i="22"/>
  <c r="O15" i="22"/>
  <c r="O13" i="22"/>
  <c r="G7" i="22"/>
  <c r="H10" i="22"/>
  <c r="I19" i="22"/>
  <c r="E17" i="22"/>
  <c r="E7" i="22"/>
  <c r="F17" i="22"/>
  <c r="J7" i="22"/>
  <c r="H9" i="22"/>
  <c r="J14" i="22"/>
  <c r="C11" i="22"/>
  <c r="G19" i="22"/>
  <c r="E11" i="22"/>
  <c r="G8" i="22"/>
  <c r="M9" i="22"/>
  <c r="N14" i="22"/>
  <c r="M13" i="22"/>
  <c r="P10" i="22"/>
  <c r="O19" i="22"/>
  <c r="L18" i="22"/>
  <c r="P18" i="22"/>
  <c r="L8" i="22"/>
  <c r="K8" i="22"/>
  <c r="M7" i="22"/>
  <c r="F7" i="22"/>
  <c r="G15" i="22"/>
  <c r="E12" i="22"/>
  <c r="N17" i="22"/>
  <c r="N11" i="22"/>
  <c r="N16" i="22"/>
  <c r="P14" i="22"/>
  <c r="G11" i="22"/>
  <c r="K11" i="22"/>
  <c r="L10" i="22"/>
  <c r="N8" i="22"/>
  <c r="K13" i="22"/>
  <c r="C7" i="22"/>
  <c r="F18" i="22"/>
  <c r="I17" i="22"/>
  <c r="F13" i="22"/>
  <c r="J17" i="22"/>
  <c r="F14" i="22"/>
  <c r="E18" i="22"/>
  <c r="J12" i="22"/>
  <c r="J15" i="22"/>
  <c r="E9" i="22"/>
  <c r="L9" i="22"/>
  <c r="O11" i="22"/>
  <c r="K19" i="22"/>
  <c r="N7" i="22"/>
  <c r="J8" i="22"/>
  <c r="G16" i="22"/>
  <c r="L19" i="22"/>
  <c r="M12" i="22"/>
  <c r="L12" i="22"/>
  <c r="J18" i="22"/>
  <c r="F16" i="22"/>
  <c r="I13" i="22"/>
  <c r="F9" i="22"/>
  <c r="I14" i="22"/>
  <c r="F10" i="22"/>
  <c r="I18" i="22"/>
  <c r="F15" i="22"/>
  <c r="J10" i="22"/>
  <c r="J9" i="22"/>
  <c r="G13" i="22"/>
  <c r="C13" i="22"/>
  <c r="J19" i="22"/>
  <c r="K9" i="22"/>
  <c r="M17" i="22"/>
  <c r="P11" i="22"/>
  <c r="M11" i="22"/>
  <c r="P8" i="22"/>
  <c r="K17" i="22"/>
  <c r="O17" i="22"/>
  <c r="O7" i="22"/>
  <c r="P15" i="22"/>
  <c r="K10" i="22"/>
  <c r="I15" i="22"/>
  <c r="N18" i="22"/>
  <c r="K7" i="22"/>
  <c r="O9" i="22"/>
  <c r="I16" i="22"/>
  <c r="F12" i="22"/>
  <c r="I9" i="22"/>
  <c r="D18" i="22"/>
  <c r="I10" i="22"/>
  <c r="C19" i="22"/>
  <c r="C15" i="22"/>
  <c r="C8" i="22"/>
  <c r="P12" i="22"/>
  <c r="P16" i="22"/>
  <c r="O18" i="22"/>
  <c r="L13" i="22"/>
  <c r="I12" i="22"/>
  <c r="F8" i="22"/>
  <c r="G18" i="22"/>
  <c r="D15" i="22"/>
  <c r="H18" i="22"/>
  <c r="D16" i="22"/>
  <c r="I11" i="22"/>
  <c r="D19" i="22"/>
  <c r="C16" i="22"/>
  <c r="C12" i="22"/>
  <c r="G9" i="22"/>
  <c r="J13" i="22"/>
  <c r="G10" i="22"/>
  <c r="N19" i="22"/>
  <c r="M18" i="22"/>
  <c r="O12" i="22"/>
  <c r="L11" i="22"/>
  <c r="L14" i="22"/>
  <c r="K15" i="22"/>
  <c r="M10" i="22"/>
  <c r="O16" i="22"/>
  <c r="L15" i="22"/>
  <c r="I8" i="22"/>
  <c r="D11" i="22"/>
  <c r="H15" i="22"/>
  <c r="D12" i="22"/>
  <c r="H16" i="22"/>
  <c r="C18" i="22"/>
  <c r="H19" i="22"/>
  <c r="D17" i="22"/>
  <c r="C14" i="22"/>
  <c r="G12" i="22"/>
  <c r="E19" i="22"/>
  <c r="J11" i="22"/>
  <c r="E14" i="22"/>
  <c r="M15" i="22"/>
  <c r="P7" i="22"/>
  <c r="H17" i="22"/>
  <c r="H7" i="22"/>
  <c r="H11" i="22"/>
  <c r="D8" i="22"/>
  <c r="H12" i="22"/>
  <c r="D13" i="22"/>
  <c r="G17" i="22"/>
  <c r="D14" i="22"/>
  <c r="E8" i="22"/>
  <c r="E16" i="22"/>
  <c r="E15" i="22"/>
  <c r="C17" i="22"/>
  <c r="C9" i="22"/>
  <c r="N15" i="22"/>
  <c r="M8" i="22"/>
  <c r="P9" i="22"/>
  <c r="K12" i="22"/>
  <c r="L17" i="22"/>
  <c r="P17" i="22"/>
  <c r="N10" i="22"/>
  <c r="N12" i="22"/>
  <c r="L7" i="22"/>
  <c r="D1" i="14"/>
</calcChain>
</file>

<file path=xl/sharedStrings.xml><?xml version="1.0" encoding="utf-8"?>
<sst xmlns="http://schemas.openxmlformats.org/spreadsheetml/2006/main" count="527" uniqueCount="114">
  <si>
    <t>ASK</t>
  </si>
  <si>
    <t>BID</t>
  </si>
  <si>
    <t>Annualised Premium %</t>
  </si>
  <si>
    <t>Outright Rate</t>
  </si>
  <si>
    <t>Forward Premium</t>
  </si>
  <si>
    <t>Today's date</t>
  </si>
  <si>
    <t>End Date</t>
  </si>
  <si>
    <t>MAR-2020</t>
  </si>
  <si>
    <t>FEB-2020</t>
  </si>
  <si>
    <t>JAN-2020</t>
  </si>
  <si>
    <t>DEC-2020</t>
  </si>
  <si>
    <t>NOV-2020</t>
  </si>
  <si>
    <t>OCT-2020</t>
  </si>
  <si>
    <t>SEP-2020</t>
  </si>
  <si>
    <t>AUG-2020</t>
  </si>
  <si>
    <t>JUL-2020</t>
  </si>
  <si>
    <t>JUN-2020</t>
  </si>
  <si>
    <t>MAY-2020</t>
  </si>
  <si>
    <t>APR-2020</t>
  </si>
  <si>
    <t>CASH/SPOT</t>
  </si>
  <si>
    <t>Description</t>
  </si>
  <si>
    <t>USDJPY</t>
  </si>
  <si>
    <t>GBPUSD</t>
  </si>
  <si>
    <t>EURUSD</t>
  </si>
  <si>
    <t>JPYINR</t>
  </si>
  <si>
    <t>GBPINR</t>
  </si>
  <si>
    <t>EURINR</t>
  </si>
  <si>
    <t>USDINR Monthwise</t>
  </si>
  <si>
    <t>USDINR Month End</t>
  </si>
  <si>
    <t>Tab 8</t>
  </si>
  <si>
    <t>Tab 7</t>
  </si>
  <si>
    <t>Tab 6</t>
  </si>
  <si>
    <t>Tab 5</t>
  </si>
  <si>
    <t>Tab 4</t>
  </si>
  <si>
    <t>Tab 3</t>
  </si>
  <si>
    <t>Tab 2</t>
  </si>
  <si>
    <t>Tab 1</t>
  </si>
  <si>
    <t>USDINR</t>
  </si>
  <si>
    <t>Currency</t>
  </si>
  <si>
    <t>3 Month</t>
  </si>
  <si>
    <t>2 Month</t>
  </si>
  <si>
    <t>1 Month</t>
  </si>
  <si>
    <t>Currency Futures</t>
  </si>
  <si>
    <t>52 Week Low</t>
  </si>
  <si>
    <t>52 Week High</t>
  </si>
  <si>
    <t>Prv. Close</t>
  </si>
  <si>
    <t>Low</t>
  </si>
  <si>
    <t>High</t>
  </si>
  <si>
    <t>Open</t>
  </si>
  <si>
    <t>% Change</t>
  </si>
  <si>
    <t>JPY</t>
  </si>
  <si>
    <t>GBP</t>
  </si>
  <si>
    <t>Ask</t>
  </si>
  <si>
    <t>EUR</t>
  </si>
  <si>
    <t>Bid</t>
  </si>
  <si>
    <t>USD</t>
  </si>
  <si>
    <t>Tom Rate</t>
  </si>
  <si>
    <t>Tom</t>
  </si>
  <si>
    <t>Cash Rate</t>
  </si>
  <si>
    <t>Cash</t>
  </si>
  <si>
    <t>Spot</t>
  </si>
  <si>
    <t>Rate</t>
  </si>
  <si>
    <t>Date</t>
  </si>
  <si>
    <t>12M</t>
  </si>
  <si>
    <t>6M</t>
  </si>
  <si>
    <t>3M</t>
  </si>
  <si>
    <t>1M</t>
  </si>
  <si>
    <t>RBI Reference Rate</t>
  </si>
  <si>
    <t>LIBOR Rates</t>
  </si>
  <si>
    <t>2M</t>
  </si>
  <si>
    <t>4M</t>
  </si>
  <si>
    <t>5M</t>
  </si>
  <si>
    <t>9M</t>
  </si>
  <si>
    <t>Currency Pair</t>
  </si>
  <si>
    <t>OHLC</t>
  </si>
  <si>
    <t>Forward Rates</t>
  </si>
  <si>
    <t>SPOT</t>
  </si>
  <si>
    <t>=(109.50-109.38÷109.38) x (360 ÷ 90) x 100% = 0.44%</t>
  </si>
  <si>
    <t>7M</t>
  </si>
  <si>
    <t>8M</t>
  </si>
  <si>
    <t>10M</t>
  </si>
  <si>
    <t>11M</t>
  </si>
  <si>
    <t>Month End Forwards</t>
  </si>
  <si>
    <t>03/29/2019</t>
  </si>
  <si>
    <t>30 APR 2020</t>
  </si>
  <si>
    <t>29 MAY 2020</t>
  </si>
  <si>
    <t>30 JUN 2020</t>
  </si>
  <si>
    <t>31 JUL 2020</t>
  </si>
  <si>
    <t>31 AUG 2020</t>
  </si>
  <si>
    <t>30 SEP 2020</t>
  </si>
  <si>
    <t>30 OCT 2020</t>
  </si>
  <si>
    <t>30 NOV 2020</t>
  </si>
  <si>
    <t>31 DEC 2020</t>
  </si>
  <si>
    <t>29 JAN 2021</t>
  </si>
  <si>
    <t>26 FEB 2021</t>
  </si>
  <si>
    <t>31 MAR 2021</t>
  </si>
  <si>
    <t>29 JUN 2020</t>
  </si>
  <si>
    <t>29 JUL 2020</t>
  </si>
  <si>
    <t>29 SEP 2020</t>
  </si>
  <si>
    <t>29 OCT 2020</t>
  </si>
  <si>
    <t>29 DEC 2020</t>
  </si>
  <si>
    <t>29 MAR 2021</t>
  </si>
  <si>
    <t>29 APR 2021</t>
  </si>
  <si>
    <t>28 AUG 2020</t>
  </si>
  <si>
    <t>30 APR 2021</t>
  </si>
  <si>
    <t>31 MAY 2021</t>
  </si>
  <si>
    <t>BID (Export)</t>
  </si>
  <si>
    <t>ASK (Import)</t>
  </si>
  <si>
    <t>IGNORE THIS SHEET FOR NOW</t>
  </si>
  <si>
    <t>BID
(Export)</t>
  </si>
  <si>
    <t>ASK
(Import)</t>
  </si>
  <si>
    <t>Bid (Export)</t>
  </si>
  <si>
    <t>Ask (Import)</t>
  </si>
  <si>
    <t>LIVE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</si>
</sst>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9" xfId="0" applyNumberFormat="1" applyBorder="1"/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5" fillId="0" borderId="14" xfId="1" applyNumberFormat="1" applyBorder="1" applyAlignment="1">
      <alignment horizontal="center" vertical="center"/>
    </xf>
    <xf numFmtId="2" fontId="5" fillId="0" borderId="9" xfId="1" applyNumberFormat="1" applyBorder="1" applyAlignment="1">
      <alignment horizontal="center" vertical="center"/>
    </xf>
    <xf numFmtId="2" fontId="5" fillId="0" borderId="12" xfId="1" applyNumberFormat="1" applyBorder="1" applyAlignment="1">
      <alignment horizontal="center" vertical="center"/>
    </xf>
    <xf numFmtId="2" fontId="5" fillId="0" borderId="11" xfId="1" applyNumberFormat="1" applyBorder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164" fontId="5" fillId="0" borderId="29" xfId="1" applyNumberFormat="1" applyBorder="1" applyAlignment="1">
      <alignment horizontal="center" vertical="center"/>
    </xf>
    <xf numFmtId="164" fontId="5" fillId="0" borderId="24" xfId="1" applyNumberFormat="1" applyBorder="1" applyAlignment="1">
      <alignment horizontal="center" vertical="center"/>
    </xf>
    <xf numFmtId="0" fontId="1" fillId="0" borderId="31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1" fillId="0" borderId="33" xfId="1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2" fontId="6" fillId="0" borderId="9" xfId="1" applyNumberFormat="1" applyFont="1" applyBorder="1" applyAlignment="1">
      <alignment horizontal="center" vertical="center"/>
    </xf>
    <xf numFmtId="2" fontId="6" fillId="0" borderId="11" xfId="1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ickerplantrtdserver">
      <tp t="e">
        <v>#N/A</v>
        <stp/>
        <stp>17#2#1#6031#GBPINRCOMP Fwd ME 9M#Bid</stp>
        <tr r="G16" s="22"/>
      </tp>
      <tp t="e">
        <v>#N/A</v>
        <stp/>
        <stp>17#2#1#6031#GBPINRCOMP Fwd ME 8M#Bid</stp>
        <tr r="G15" s="22"/>
      </tp>
      <tp t="e">
        <v>#N/A</v>
        <stp/>
        <stp>17#2#1#6031#GBPINRCOMP Fwd ME 5M#Bid</stp>
        <tr r="G12" s="22"/>
      </tp>
      <tp t="e">
        <v>#N/A</v>
        <stp/>
        <stp>17#2#1#6031#GBPINRCOMP Fwd ME 4M#Bid</stp>
        <tr r="G11" s="22"/>
      </tp>
      <tp t="e">
        <v>#N/A</v>
        <stp/>
        <stp>17#2#1#6031#GBPINRCOMP Fwd ME 7M#Bid</stp>
        <tr r="G14" s="22"/>
      </tp>
      <tp t="e">
        <v>#N/A</v>
        <stp/>
        <stp>17#2#1#6031#GBPINRCOMP Fwd ME 6M#Bid</stp>
        <tr r="G13" s="22"/>
      </tp>
      <tp t="e">
        <v>#N/A</v>
        <stp/>
        <stp>17#2#1#6031#GBPINRCOMP Fwd ME 1M#Bid</stp>
        <tr r="G8" s="22"/>
      </tp>
      <tp t="e">
        <v>#N/A</v>
        <stp/>
        <stp>17#2#1#6031#GBPINRCOMP Fwd ME 1Y#Bid</stp>
        <tr r="G19" s="22"/>
      </tp>
      <tp t="e">
        <v>#N/A</v>
        <stp/>
        <stp>17#2#1#6031#GBPINRCOMP Fwd ME 3M#Bid</stp>
        <tr r="G10" s="22"/>
      </tp>
      <tp t="e">
        <v>#N/A</v>
        <stp/>
        <stp>17#2#1#6031#GBPINRCOMP Fwd ME 2M#Bid</stp>
        <tr r="G9" s="22"/>
      </tp>
      <tp t="e">
        <v>#N/A</v>
        <stp/>
        <stp>17#2#1#6031#GBPINRCOMP Fwd ME 7M#Ask</stp>
        <tr r="H14" s="22"/>
      </tp>
      <tp t="e">
        <v>#N/A</v>
        <stp/>
        <stp>17#2#1#6031#GBPINRCOMP Fwd ME 6M#Ask</stp>
        <tr r="H13" s="22"/>
      </tp>
      <tp t="e">
        <v>#N/A</v>
        <stp/>
        <stp>17#2#1#6031#GBPINRCOMP Fwd ME 5M#Ask</stp>
        <tr r="H12" s="22"/>
      </tp>
      <tp t="e">
        <v>#N/A</v>
        <stp/>
        <stp>17#2#1#6031#GBPINRCOMP Fwd ME 4M#Ask</stp>
        <tr r="H11" s="22"/>
      </tp>
      <tp t="e">
        <v>#N/A</v>
        <stp/>
        <stp>17#2#1#6031#GBPINRCOMP Fwd ME 3M#Ask</stp>
        <tr r="H10" s="22"/>
      </tp>
      <tp t="e">
        <v>#N/A</v>
        <stp/>
        <stp>17#2#1#6031#GBPINRCOMP Fwd ME 2M#Ask</stp>
        <tr r="H9" s="22"/>
      </tp>
      <tp t="e">
        <v>#N/A</v>
        <stp/>
        <stp>17#2#1#6031#GBPINRCOMP Fwd ME 1M#Ask</stp>
        <tr r="H8" s="22"/>
      </tp>
      <tp t="e">
        <v>#N/A</v>
        <stp/>
        <stp>17#2#1#6031#GBPINRCOMP Fwd ME 1Y#Ask</stp>
        <tr r="H19" s="22"/>
      </tp>
      <tp t="e">
        <v>#N/A</v>
        <stp/>
        <stp>17#2#1#6031#GBPINRCOMP Fwd ME 9M#Ask</stp>
        <tr r="H16" s="22"/>
      </tp>
      <tp t="e">
        <v>#N/A</v>
        <stp/>
        <stp>17#2#1#6031#GBPINRCOMP Fwd ME 8M#Ask</stp>
        <tr r="H15" s="22"/>
      </tp>
      <tp t="e">
        <v>#N/A</v>
        <stp/>
        <stp>12#2#1#6069#SUSDJPY#Bid</stp>
        <tr r="O7" s="22"/>
      </tp>
      <tp t="e">
        <v>#N/A</v>
        <stp/>
        <stp>12#2#1#6069#SUSDJPY#Ask</stp>
        <tr r="P7" s="22"/>
      </tp>
      <tp t="e">
        <v>#N/A</v>
        <stp/>
        <stp>17#2#1#5978#JPYINRCOMP Fwd ME 7M#Ask</stp>
        <tr r="J14" s="22"/>
      </tp>
      <tp t="e">
        <v>#N/A</v>
        <stp/>
        <stp>17#2#1#5978#JPYINRCOMP Fwd ME 6M#Ask</stp>
        <tr r="J13" s="22"/>
      </tp>
      <tp t="e">
        <v>#N/A</v>
        <stp/>
        <stp>17#2#1#5978#JPYINRCOMP Fwd ME 5M#Ask</stp>
        <tr r="J12" s="22"/>
      </tp>
      <tp t="e">
        <v>#N/A</v>
        <stp/>
        <stp>17#2#1#5978#JPYINRCOMP Fwd ME 4M#Ask</stp>
        <tr r="J11" s="22"/>
      </tp>
      <tp t="e">
        <v>#N/A</v>
        <stp/>
        <stp>17#2#1#5978#JPYINRCOMP Fwd ME 3M#Ask</stp>
        <tr r="J10" s="22"/>
      </tp>
      <tp t="e">
        <v>#N/A</v>
        <stp/>
        <stp>17#2#1#5978#JPYINRCOMP Fwd ME 2M#Ask</stp>
        <tr r="J9" s="22"/>
      </tp>
      <tp t="e">
        <v>#N/A</v>
        <stp/>
        <stp>17#2#1#5978#JPYINRCOMP Fwd ME 1M#Ask</stp>
        <tr r="J8" s="22"/>
      </tp>
      <tp t="e">
        <v>#N/A</v>
        <stp/>
        <stp>17#2#1#5978#JPYINRCOMP Fwd ME 1Y#Ask</stp>
        <tr r="J19" s="22"/>
      </tp>
      <tp t="e">
        <v>#N/A</v>
        <stp/>
        <stp>17#2#1#5978#JPYINRCOMP Fwd ME 9M#Ask</stp>
        <tr r="J16" s="22"/>
      </tp>
      <tp t="e">
        <v>#N/A</v>
        <stp/>
        <stp>17#2#1#5978#JPYINRCOMP Fwd ME 8M#Ask</stp>
        <tr r="J15" s="22"/>
      </tp>
      <tp t="e">
        <v>#N/A</v>
        <stp/>
        <stp>17#2#1#6069#USDINRCOMP Fwd ME 1M#Bid</stp>
        <tr r="C9" s="22"/>
      </tp>
      <tp t="e">
        <v>#N/A</v>
        <stp/>
        <stp>17#2#1#6069#USDINRCOMP Fwd ME 0M#Bid</stp>
        <tr r="C8" s="22"/>
      </tp>
      <tp t="e">
        <v>#N/A</v>
        <stp/>
        <stp>17#2#1#6069#USDINRCOMP Fwd ME 3M#Bid</stp>
        <tr r="C11" s="22"/>
      </tp>
      <tp t="e">
        <v>#N/A</v>
        <stp/>
        <stp>17#2#1#6069#USDINRCOMP Fwd ME 2M#Bid</stp>
        <tr r="C10" s="22"/>
      </tp>
      <tp t="e">
        <v>#N/A</v>
        <stp/>
        <stp>17#2#1#6069#USDINRCOMP Fwd ME 5M#Bid</stp>
        <tr r="C13" s="22"/>
      </tp>
      <tp t="e">
        <v>#N/A</v>
        <stp/>
        <stp>17#2#1#6069#USDINRCOMP Fwd ME 4M#Bid</stp>
        <tr r="C12" s="22"/>
      </tp>
      <tp t="e">
        <v>#N/A</v>
        <stp/>
        <stp>17#2#1#6069#USDINRCOMP Fwd ME 7M#Bid</stp>
        <tr r="C15" s="22"/>
      </tp>
      <tp t="e">
        <v>#N/A</v>
        <stp/>
        <stp>17#2#1#6069#USDINRCOMP Fwd ME 6M#Bid</stp>
        <tr r="C14" s="22"/>
      </tp>
      <tp t="e">
        <v>#N/A</v>
        <stp/>
        <stp>17#2#1#6069#USDINRCOMP Fwd ME 9M#Bid</stp>
        <tr r="C17" s="22"/>
      </tp>
      <tp t="e">
        <v>#N/A</v>
        <stp/>
        <stp>17#2#1#6069#USDINRCOMP Fwd ME 8M#Bid</stp>
        <tr r="C16" s="22"/>
      </tp>
      <tp t="e">
        <v>#N/A</v>
        <stp/>
        <stp>17#2#1#6069#USDINRCOMP Fwd ME 9M#Ask</stp>
        <tr r="D17" s="22"/>
      </tp>
      <tp t="e">
        <v>#N/A</v>
        <stp/>
        <stp>17#2#1#6069#USDINRCOMP Fwd ME 8M#Ask</stp>
        <tr r="D16" s="22"/>
      </tp>
      <tp t="e">
        <v>#N/A</v>
        <stp/>
        <stp>17#2#1#6069#USDINRCOMP Fwd ME 3M#Ask</stp>
        <tr r="D11" s="22"/>
      </tp>
      <tp t="e">
        <v>#N/A</v>
        <stp/>
        <stp>17#2#1#6069#USDINRCOMP Fwd ME 2M#Ask</stp>
        <tr r="D10" s="22"/>
      </tp>
      <tp t="e">
        <v>#N/A</v>
        <stp/>
        <stp>17#2#1#6069#USDINRCOMP Fwd ME 1M#Ask</stp>
        <tr r="D9" s="22"/>
      </tp>
      <tp t="e">
        <v>#N/A</v>
        <stp/>
        <stp>17#2#1#6069#USDINRCOMP Fwd ME 0M#Ask</stp>
        <tr r="D8" s="22"/>
      </tp>
      <tp t="e">
        <v>#N/A</v>
        <stp/>
        <stp>17#2#1#6069#USDINRCOMP Fwd ME 7M#Ask</stp>
        <tr r="D15" s="22"/>
      </tp>
      <tp t="e">
        <v>#N/A</v>
        <stp/>
        <stp>17#2#1#6069#USDINRCOMP Fwd ME 6M#Ask</stp>
        <tr r="D14" s="22"/>
      </tp>
      <tp t="e">
        <v>#N/A</v>
        <stp/>
        <stp>17#2#1#6069#USDINRCOMP Fwd ME 5M#Ask</stp>
        <tr r="D13" s="22"/>
      </tp>
      <tp t="e">
        <v>#N/A</v>
        <stp/>
        <stp>17#2#1#6069#USDINRCOMP Fwd ME 4M#Ask</stp>
        <tr r="D12" s="22"/>
      </tp>
      <tp t="e">
        <v>#N/A</v>
        <stp/>
        <stp>17#2#1#5978#JPYINRCOMP Fwd ME 9M#Bid</stp>
        <tr r="I16" s="22"/>
      </tp>
      <tp t="e">
        <v>#N/A</v>
        <stp/>
        <stp>17#2#1#5978#JPYINRCOMP Fwd ME 8M#Bid</stp>
        <tr r="I15" s="22"/>
      </tp>
      <tp t="e">
        <v>#N/A</v>
        <stp/>
        <stp>17#2#1#5978#JPYINRCOMP Fwd ME 5M#Bid</stp>
        <tr r="I12" s="22"/>
      </tp>
      <tp t="e">
        <v>#N/A</v>
        <stp/>
        <stp>17#2#1#5978#JPYINRCOMP Fwd ME 4M#Bid</stp>
        <tr r="I11" s="22"/>
      </tp>
      <tp t="e">
        <v>#N/A</v>
        <stp/>
        <stp>17#2#1#5978#JPYINRCOMP Fwd ME 7M#Bid</stp>
        <tr r="I14" s="22"/>
      </tp>
      <tp t="e">
        <v>#N/A</v>
        <stp/>
        <stp>17#2#1#5978#JPYINRCOMP Fwd ME 6M#Bid</stp>
        <tr r="I13" s="22"/>
      </tp>
      <tp t="e">
        <v>#N/A</v>
        <stp/>
        <stp>17#2#1#5978#JPYINRCOMP Fwd ME 1M#Bid</stp>
        <tr r="I8" s="22"/>
      </tp>
      <tp t="e">
        <v>#N/A</v>
        <stp/>
        <stp>17#2#1#5978#JPYINRCOMP Fwd ME 1Y#Bid</stp>
        <tr r="I19" s="22"/>
      </tp>
      <tp t="e">
        <v>#N/A</v>
        <stp/>
        <stp>17#2#1#5978#JPYINRCOMP Fwd ME 3M#Bid</stp>
        <tr r="I10" s="22"/>
      </tp>
      <tp t="e">
        <v>#N/A</v>
        <stp/>
        <stp>17#2#1#5978#JPYINRCOMP Fwd ME 2M#Bid</stp>
        <tr r="I9" s="22"/>
      </tp>
      <tp t="e">
        <v>#N/A</v>
        <stp/>
        <stp>12#2#1#6031#SGBPUSD#Ask</stp>
        <tr r="N7" s="22"/>
      </tp>
      <tp t="e">
        <v>#N/A</v>
        <stp/>
        <stp>17#2#1#5949#EURINRCOMP Fwd ME 7M#Bid</stp>
        <tr r="E14" s="22"/>
      </tp>
      <tp t="e">
        <v>#N/A</v>
        <stp/>
        <stp>17#2#1#5949#EURINRCOMP Fwd ME 6M#Bid</stp>
        <tr r="E13" s="22"/>
      </tp>
      <tp t="e">
        <v>#N/A</v>
        <stp/>
        <stp>17#2#1#5949#EURINRCOMP Fwd ME 5M#Bid</stp>
        <tr r="E12" s="22"/>
      </tp>
      <tp t="e">
        <v>#N/A</v>
        <stp/>
        <stp>17#2#1#5949#EURINRCOMP Fwd ME 4M#Bid</stp>
        <tr r="E11" s="22"/>
      </tp>
      <tp t="e">
        <v>#N/A</v>
        <stp/>
        <stp>17#2#1#5949#EURINRCOMP Fwd ME 3M#Bid</stp>
        <tr r="E10" s="22"/>
      </tp>
      <tp t="e">
        <v>#N/A</v>
        <stp/>
        <stp>17#2#1#5949#EURINRCOMP Fwd ME 2M#Bid</stp>
        <tr r="E9" s="22"/>
      </tp>
      <tp t="e">
        <v>#N/A</v>
        <stp/>
        <stp>17#2#1#5949#EURINRCOMP Fwd ME 1M#Bid</stp>
        <tr r="E8" s="22"/>
      </tp>
      <tp t="e">
        <v>#N/A</v>
        <stp/>
        <stp>17#2#1#5949#EURINRCOMP Fwd ME 1Y#Bid</stp>
        <tr r="E19" s="22"/>
      </tp>
      <tp t="e">
        <v>#N/A</v>
        <stp/>
        <stp>17#2#1#5949#EURINRCOMP Fwd ME 9M#Bid</stp>
        <tr r="E16" s="22"/>
      </tp>
      <tp t="e">
        <v>#N/A</v>
        <stp/>
        <stp>17#2#1#5949#EURINRCOMP Fwd ME 8M#Bid</stp>
        <tr r="E15" s="22"/>
      </tp>
      <tp t="e">
        <v>#N/A</v>
        <stp/>
        <stp>17#2#1#5949#EURINRCOMP Fwd ME 9M#Ask</stp>
        <tr r="F16" s="22"/>
      </tp>
      <tp t="e">
        <v>#N/A</v>
        <stp/>
        <stp>17#2#1#5949#EURINRCOMP Fwd ME 8M#Ask</stp>
        <tr r="F15" s="22"/>
      </tp>
      <tp t="e">
        <v>#N/A</v>
        <stp/>
        <stp>17#2#1#5949#EURINRCOMP Fwd ME 5M#Ask</stp>
        <tr r="F12" s="22"/>
      </tp>
      <tp t="e">
        <v>#N/A</v>
        <stp/>
        <stp>17#2#1#5949#EURINRCOMP Fwd ME 4M#Ask</stp>
        <tr r="F11" s="22"/>
      </tp>
      <tp t="e">
        <v>#N/A</v>
        <stp/>
        <stp>17#2#1#5949#EURINRCOMP Fwd ME 7M#Ask</stp>
        <tr r="F14" s="22"/>
      </tp>
      <tp t="e">
        <v>#N/A</v>
        <stp/>
        <stp>17#2#1#5949#EURINRCOMP Fwd ME 6M#Ask</stp>
        <tr r="F13" s="22"/>
      </tp>
      <tp t="e">
        <v>#N/A</v>
        <stp/>
        <stp>17#2#1#5949#EURINRCOMP Fwd ME 1M#Ask</stp>
        <tr r="F8" s="22"/>
      </tp>
      <tp t="e">
        <v>#N/A</v>
        <stp/>
        <stp>17#2#1#5949#EURINRCOMP Fwd ME 1Y#Ask</stp>
        <tr r="F19" s="22"/>
      </tp>
      <tp t="e">
        <v>#N/A</v>
        <stp/>
        <stp>17#2#1#5949#EURINRCOMP Fwd ME 3M#Ask</stp>
        <tr r="F10" s="22"/>
      </tp>
      <tp t="e">
        <v>#N/A</v>
        <stp/>
        <stp>17#2#1#5949#EURINRCOMP Fwd ME 2M#Ask</stp>
        <tr r="F9" s="22"/>
      </tp>
      <tp t="e">
        <v>#N/A</v>
        <stp/>
        <stp>12#2#1#6031#SGBPUSD#Bid</stp>
        <tr r="M7" s="22"/>
      </tp>
      <tp t="e">
        <v>#N/A</v>
        <stp/>
        <stp>17#3#1#6031#GBPINRCOMP#Ask</stp>
        <tr r="H7" s="22"/>
      </tp>
      <tp t="e">
        <v>#N/A</v>
        <stp/>
        <stp>17#3#1#5949#EURINRCOMP#Bid</stp>
        <tr r="E7" s="22"/>
      </tp>
      <tp t="e">
        <v>#N/A</v>
        <stp/>
        <stp>17#3#1#5978#JPYINRCOMP#Bid</stp>
        <tr r="I7" s="22"/>
      </tp>
      <tp t="e">
        <v>#N/A</v>
        <stp/>
        <stp>12#2#1#5949#SEURUSD#Ask</stp>
        <tr r="L7" s="22"/>
      </tp>
      <tp t="e">
        <v>#N/A</v>
        <stp/>
        <stp>17#1#1#6069#USDINRCOMP#Bid</stp>
        <tr r="C7" s="22"/>
      </tp>
      <tp t="e">
        <v>#N/A</v>
        <stp/>
        <stp>12#2#1#5949#SEURUSD#Bid</stp>
        <tr r="K7" s="22"/>
      </tp>
      <tp t="e">
        <v>#N/A</v>
        <stp/>
        <stp>17#1#1#6069#USDINRCOMP#Ask</stp>
        <tr r="D7" s="22"/>
      </tp>
      <tp t="e">
        <v>#N/A</v>
        <stp/>
        <stp>17#3#1#5978#JPYINRCOMP#Ask</stp>
        <tr r="J7" s="22"/>
      </tp>
      <tp t="e">
        <v>#N/A</v>
        <stp/>
        <stp>17#3#1#5949#EURINRCOMP#Ask</stp>
        <tr r="F7" s="22"/>
      </tp>
      <tp t="e">
        <v>#N/A</v>
        <stp/>
        <stp>17#3#1#6031#GBPINRCOMP#Bid</stp>
        <tr r="G7" s="22"/>
      </tp>
      <tp t="e">
        <v>#N/A</v>
        <stp/>
        <stp>17#2#1#5978#JPYINRCOMP Fwd ME 10M#Ask</stp>
        <tr r="J17" s="22"/>
      </tp>
      <tp t="e">
        <v>#N/A</v>
        <stp/>
        <stp>17#2#1#5978#JPYINRCOMP Fwd ME 11M#Ask</stp>
        <tr r="J18" s="22"/>
      </tp>
      <tp t="e">
        <v>#N/A</v>
        <stp/>
        <stp>17#2#1#6031#GBPINRCOMP Fwd ME 11M#Ask</stp>
        <tr r="H18" s="22"/>
      </tp>
      <tp t="e">
        <v>#N/A</v>
        <stp/>
        <stp>17#2#1#6031#GBPINRCOMP Fwd ME 10M#Ask</stp>
        <tr r="H17" s="22"/>
      </tp>
      <tp t="e">
        <v>#N/A</v>
        <stp/>
        <stp>17#2#1#6031#GBPINRCOMP Fwd ME 11M#Bid</stp>
        <tr r="G18" s="22"/>
      </tp>
      <tp t="e">
        <v>#N/A</v>
        <stp/>
        <stp>17#2#1#6031#GBPINRCOMP Fwd ME 10M#Bid</stp>
        <tr r="G17" s="22"/>
      </tp>
      <tp t="e">
        <v>#N/A</v>
        <stp/>
        <stp>17#2#1#5978#JPYINRCOMP Fwd ME 10M#Bid</stp>
        <tr r="I17" s="22"/>
      </tp>
      <tp t="e">
        <v>#N/A</v>
        <stp/>
        <stp>17#2#1#5978#JPYINRCOMP Fwd ME 11M#Bid</stp>
        <tr r="I18" s="22"/>
      </tp>
      <tp t="e">
        <v>#N/A</v>
        <stp/>
        <stp>12#1#1#6069#FUSDJPY\12M#Bid</stp>
        <tr r="O19" s="22"/>
      </tp>
      <tp t="e">
        <v>#N/A</v>
        <stp/>
        <stp>12#1#1#6069#FUSDJPY\11M#Bid</stp>
        <tr r="O18" s="22"/>
      </tp>
      <tp t="e">
        <v>#N/A</v>
        <stp/>
        <stp>12#1#1#6069#FUSDJPY\10M#Bid</stp>
        <tr r="O17" s="22"/>
      </tp>
      <tp t="e">
        <v>#N/A</v>
        <stp/>
        <stp>12#1#1#6069#FUSDJPY\09M#Bid</stp>
        <tr r="O16" s="22"/>
      </tp>
      <tp t="e">
        <v>#N/A</v>
        <stp/>
        <stp>12#1#1#6069#FUSDJPY\08M#Bid</stp>
        <tr r="O15" s="22"/>
      </tp>
      <tp t="e">
        <v>#N/A</v>
        <stp/>
        <stp>12#1#1#6069#FUSDJPY\07M#Bid</stp>
        <tr r="O14" s="22"/>
      </tp>
      <tp t="e">
        <v>#N/A</v>
        <stp/>
        <stp>12#1#1#6069#FUSDJPY\06M#Bid</stp>
        <tr r="O13" s="22"/>
      </tp>
      <tp t="e">
        <v>#N/A</v>
        <stp/>
        <stp>12#1#1#6069#FUSDJPY\05M#Bid</stp>
        <tr r="O12" s="22"/>
      </tp>
      <tp t="e">
        <v>#N/A</v>
        <stp/>
        <stp>12#1#1#6069#FUSDJPY\04M#Bid</stp>
        <tr r="O11" s="22"/>
      </tp>
      <tp t="e">
        <v>#N/A</v>
        <stp/>
        <stp>12#1#1#6069#FUSDJPY\03M#Bid</stp>
        <tr r="O10" s="22"/>
      </tp>
      <tp t="e">
        <v>#N/A</v>
        <stp/>
        <stp>12#1#1#6069#FUSDJPY\02M#Bid</stp>
        <tr r="O9" s="22"/>
        <tr r="P9" s="22"/>
      </tp>
      <tp t="e">
        <v>#N/A</v>
        <stp/>
        <stp>12#1#1#6069#FUSDJPY\01M#Bid</stp>
        <tr r="O8" s="22"/>
      </tp>
      <tp t="e">
        <v>#N/A</v>
        <stp/>
        <stp>17#2#1#5949#EURINRCOMP Fwd ME 10M#Bid</stp>
        <tr r="E17" s="22"/>
      </tp>
      <tp t="e">
        <v>#N/A</v>
        <stp/>
        <stp>17#2#1#5949#EURINRCOMP Fwd ME 11M#Bid</stp>
        <tr r="E18" s="22"/>
      </tp>
      <tp t="e">
        <v>#N/A</v>
        <stp/>
        <stp>12#1#1#6069#FUSDJPY\05M#Ask</stp>
        <tr r="P12" s="22"/>
      </tp>
      <tp t="e">
        <v>#N/A</v>
        <stp/>
        <stp>12#1#1#6069#FUSDJPY\04M#Ask</stp>
        <tr r="P11" s="22"/>
      </tp>
      <tp t="e">
        <v>#N/A</v>
        <stp/>
        <stp>12#1#1#6069#FUSDJPY\07M#Ask</stp>
        <tr r="P14" s="22"/>
      </tp>
      <tp t="e">
        <v>#N/A</v>
        <stp/>
        <stp>12#1#1#6069#FUSDJPY\06M#Ask</stp>
        <tr r="P13" s="22"/>
      </tp>
      <tp t="e">
        <v>#N/A</v>
        <stp/>
        <stp>12#1#1#6069#FUSDJPY\01M#Ask</stp>
        <tr r="P8" s="22"/>
      </tp>
      <tp t="e">
        <v>#N/A</v>
        <stp/>
        <stp>12#1#1#6069#FUSDJPY\03M#Ask</stp>
        <tr r="P10" s="22"/>
      </tp>
      <tp t="e">
        <v>#N/A</v>
        <stp/>
        <stp>12#1#1#6069#FUSDJPY\09M#Ask</stp>
        <tr r="P16" s="22"/>
      </tp>
      <tp t="e">
        <v>#N/A</v>
        <stp/>
        <stp>12#1#1#6069#FUSDJPY\08M#Ask</stp>
        <tr r="P15" s="22"/>
      </tp>
      <tp t="e">
        <v>#N/A</v>
        <stp/>
        <stp>17#2#1#5949#EURINRCOMP Fwd ME 10M#Ask</stp>
        <tr r="F17" s="22"/>
      </tp>
      <tp t="e">
        <v>#N/A</v>
        <stp/>
        <stp>17#2#1#5949#EURINRCOMP Fwd ME 11M#Ask</stp>
        <tr r="F18" s="22"/>
      </tp>
      <tp t="e">
        <v>#N/A</v>
        <stp/>
        <stp>12#1#1#6069#FUSDJPY\11M#Ask</stp>
        <tr r="P18" s="22"/>
      </tp>
      <tp t="e">
        <v>#N/A</v>
        <stp/>
        <stp>12#1#1#6069#FUSDJPY\10M#Ask</stp>
        <tr r="P17" s="22"/>
      </tp>
      <tp t="e">
        <v>#N/A</v>
        <stp/>
        <stp>12#1#1#6069#FUSDJPY\12M#Ask</stp>
        <tr r="P19" s="22"/>
      </tp>
      <tp t="e">
        <v>#N/A</v>
        <stp/>
        <stp>12#1#1#6031#FGBPUSD\11M#Ask</stp>
        <tr r="N18" s="22"/>
      </tp>
      <tp t="e">
        <v>#N/A</v>
        <stp/>
        <stp>12#1#1#6031#FGBPUSD\10M#Ask</stp>
        <tr r="N17" s="22"/>
      </tp>
      <tp t="e">
        <v>#N/A</v>
        <stp/>
        <stp>12#1#1#6031#FGBPUSD\12M#Ask</stp>
        <tr r="N19" s="22"/>
      </tp>
      <tp t="e">
        <v>#N/A</v>
        <stp/>
        <stp>12#1#1#6031#FGBPUSD\01M#Ask</stp>
        <tr r="N8" s="22"/>
      </tp>
      <tp t="e">
        <v>#N/A</v>
        <stp/>
        <stp>12#1#1#6031#FGBPUSD\03M#Ask</stp>
        <tr r="N10" s="22"/>
      </tp>
      <tp t="e">
        <v>#N/A</v>
        <stp/>
        <stp>12#1#1#6031#FGBPUSD\02M#Ask</stp>
        <tr r="N9" s="22"/>
      </tp>
      <tp t="e">
        <v>#N/A</v>
        <stp/>
        <stp>12#1#1#6031#FGBPUSD\05M#Ask</stp>
        <tr r="N12" s="22"/>
      </tp>
      <tp t="e">
        <v>#N/A</v>
        <stp/>
        <stp>12#1#1#6031#FGBPUSD\04M#Ask</stp>
        <tr r="N11" s="22"/>
      </tp>
      <tp t="e">
        <v>#N/A</v>
        <stp/>
        <stp>12#1#1#6031#FGBPUSD\07M#Ask</stp>
        <tr r="N14" s="22"/>
      </tp>
      <tp t="e">
        <v>#N/A</v>
        <stp/>
        <stp>12#1#1#6031#FGBPUSD\06M#Ask</stp>
        <tr r="N13" s="22"/>
      </tp>
      <tp t="e">
        <v>#N/A</v>
        <stp/>
        <stp>12#1#1#6031#FGBPUSD\09M#Ask</stp>
        <tr r="N16" s="22"/>
      </tp>
      <tp t="e">
        <v>#N/A</v>
        <stp/>
        <stp>12#1#1#6031#FGBPUSD\08M#Ask</stp>
        <tr r="N15" s="22"/>
      </tp>
      <tp t="e">
        <v>#N/A</v>
        <stp/>
        <stp>12#1#1#6031#FGBPUSD\09M#Bid</stp>
        <tr r="M16" s="22"/>
      </tp>
      <tp t="e">
        <v>#N/A</v>
        <stp/>
        <stp>12#1#1#6031#FGBPUSD\08M#Bid</stp>
        <tr r="M15" s="22"/>
      </tp>
      <tp t="e">
        <v>#N/A</v>
        <stp/>
        <stp>12#1#1#6031#FGBPUSD\03M#Bid</stp>
        <tr r="M10" s="22"/>
      </tp>
      <tp t="e">
        <v>#N/A</v>
        <stp/>
        <stp>12#1#1#6031#FGBPUSD\02M#Bid</stp>
        <tr r="M9" s="22"/>
      </tp>
      <tp t="e">
        <v>#N/A</v>
        <stp/>
        <stp>12#1#1#6031#FGBPUSD\01M#Bid</stp>
        <tr r="M8" s="22"/>
      </tp>
      <tp t="e">
        <v>#N/A</v>
        <stp/>
        <stp>12#1#1#6031#FGBPUSD\07M#Bid</stp>
        <tr r="M14" s="22"/>
      </tp>
      <tp t="e">
        <v>#N/A</v>
        <stp/>
        <stp>12#1#1#6031#FGBPUSD\06M#Bid</stp>
        <tr r="M13" s="22"/>
      </tp>
      <tp t="e">
        <v>#N/A</v>
        <stp/>
        <stp>12#1#1#6031#FGBPUSD\05M#Bid</stp>
        <tr r="M12" s="22"/>
      </tp>
      <tp t="e">
        <v>#N/A</v>
        <stp/>
        <stp>12#1#1#6031#FGBPUSD\04M#Bid</stp>
        <tr r="M11" s="22"/>
      </tp>
      <tp t="e">
        <v>#N/A</v>
        <stp/>
        <stp>12#1#1#6031#FGBPUSD\12M#Bid</stp>
        <tr r="M19" s="22"/>
      </tp>
      <tp t="e">
        <v>#N/A</v>
        <stp/>
        <stp>12#1#1#6031#FGBPUSD\11M#Bid</stp>
        <tr r="M18" s="22"/>
      </tp>
      <tp t="e">
        <v>#N/A</v>
        <stp/>
        <stp>12#1#1#6031#FGBPUSD\10M#Bid</stp>
        <tr r="M17" s="22"/>
      </tp>
      <tp t="e">
        <v>#N/A</v>
        <stp/>
        <stp>12#1#1#5949#FEURUSD\04M#Ask</stp>
        <tr r="L11" s="22"/>
      </tp>
      <tp t="e">
        <v>#N/A</v>
        <stp/>
        <stp>12#1#1#5949#FEURUSD\05M#Ask</stp>
        <tr r="L12" s="22"/>
      </tp>
      <tp t="e">
        <v>#N/A</v>
        <stp/>
        <stp>12#1#1#5949#FEURUSD\06M#Ask</stp>
        <tr r="L13" s="22"/>
      </tp>
      <tp t="e">
        <v>#N/A</v>
        <stp/>
        <stp>12#1#1#5949#FEURUSD\07M#Ask</stp>
        <tr r="L14" s="22"/>
      </tp>
      <tp t="e">
        <v>#N/A</v>
        <stp/>
        <stp>12#1#1#5949#FEURUSD\01M#Ask</stp>
        <tr r="L8" s="22"/>
      </tp>
      <tp t="e">
        <v>#N/A</v>
        <stp/>
        <stp>12#1#1#5949#FEURUSD\02M#Ask</stp>
        <tr r="L9" s="22"/>
      </tp>
      <tp t="e">
        <v>#N/A</v>
        <stp/>
        <stp>12#1#1#5949#FEURUSD\03M#Ask</stp>
        <tr r="L10" s="22"/>
      </tp>
      <tp t="e">
        <v>#N/A</v>
        <stp/>
        <stp>12#1#1#5949#FEURUSD\08M#Ask</stp>
        <tr r="L15" s="22"/>
      </tp>
      <tp t="e">
        <v>#N/A</v>
        <stp/>
        <stp>12#1#1#5949#FEURUSD\09M#Ask</stp>
        <tr r="L16" s="22"/>
      </tp>
      <tp t="e">
        <v>#N/A</v>
        <stp/>
        <stp>17#2#1#6069#USDINRCOMP Fwd ME 0M#S#Descr.</stp>
        <tr r="D1" s="14"/>
      </tp>
      <tp t="e">
        <v>#N/A</v>
        <stp/>
        <stp>17#2#1#6069#USDINRCOMP Fwd ME 10M#Ask</stp>
        <tr r="D18" s="22"/>
      </tp>
      <tp t="e">
        <v>#N/A</v>
        <stp/>
        <stp>12#1#1#5949#FEURUSD\10M#Ask</stp>
        <tr r="L17" s="22"/>
      </tp>
      <tp t="e">
        <v>#N/A</v>
        <stp/>
        <stp>12#1#1#5949#FEURUSD\11M#Ask</stp>
        <tr r="L18" s="22"/>
      </tp>
      <tp t="e">
        <v>#N/A</v>
        <stp/>
        <stp>12#1#1#5949#FEURUSD\12M#Ask</stp>
        <tr r="L19" s="22"/>
      </tp>
      <tp t="e">
        <v>#N/A</v>
        <stp/>
        <stp>12#1#1#5949#FEURUSD\12M#Bid</stp>
        <tr r="K19" s="22"/>
      </tp>
      <tp t="e">
        <v>#N/A</v>
        <stp/>
        <stp>12#1#1#5949#FEURUSD\10M#Bid</stp>
        <tr r="K17" s="22"/>
      </tp>
      <tp t="e">
        <v>#N/A</v>
        <stp/>
        <stp>12#1#1#5949#FEURUSD\11M#Bid</stp>
        <tr r="K18" s="22"/>
      </tp>
      <tp t="e">
        <v>#N/A</v>
        <stp/>
        <stp>12#1#1#5949#FEURUSD\08M#Bid</stp>
        <tr r="K15" s="22"/>
      </tp>
      <tp t="e">
        <v>#N/A</v>
        <stp/>
        <stp>12#1#1#5949#FEURUSD\09M#Bid</stp>
        <tr r="K16" s="22"/>
      </tp>
      <tp t="e">
        <v>#N/A</v>
        <stp/>
        <stp>12#1#1#5949#FEURUSD\06M#Bid</stp>
        <tr r="K13" s="22"/>
      </tp>
      <tp t="e">
        <v>#N/A</v>
        <stp/>
        <stp>12#1#1#5949#FEURUSD\07M#Bid</stp>
        <tr r="K14" s="22"/>
      </tp>
      <tp t="e">
        <v>#N/A</v>
        <stp/>
        <stp>12#1#1#5949#FEURUSD\04M#Bid</stp>
        <tr r="K11" s="22"/>
      </tp>
      <tp t="e">
        <v>#N/A</v>
        <stp/>
        <stp>12#1#1#5949#FEURUSD\05M#Bid</stp>
        <tr r="K12" s="22"/>
      </tp>
      <tp t="e">
        <v>#N/A</v>
        <stp/>
        <stp>12#1#1#5949#FEURUSD\02M#Bid</stp>
        <tr r="K9" s="22"/>
      </tp>
      <tp t="e">
        <v>#N/A</v>
        <stp/>
        <stp>12#1#1#5949#FEURUSD\03M#Bid</stp>
        <tr r="K10" s="22"/>
      </tp>
      <tp t="e">
        <v>#N/A</v>
        <stp/>
        <stp>12#1#1#5949#FEURUSD\01M#Bid</stp>
        <tr r="K8" s="22"/>
      </tp>
      <tp t="e">
        <v>#N/A</v>
        <stp/>
        <stp>17#2#1#6069#USDINRCOMP Fwd ME 11M#Bid</stp>
        <tr r="C19" s="22"/>
        <tr r="D19" s="22"/>
      </tp>
      <tp t="e">
        <v>#N/A</v>
        <stp/>
        <stp>17#2#1#6069#USDINRCOMP Fwd ME 10M#Bid</stp>
        <tr r="C18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2.6640625" bestFit="1" customWidth="1"/>
    <col min="8" max="8" width="9.6640625" bestFit="1" customWidth="1"/>
    <col min="9" max="9" width="9" customWidth="1"/>
    <col min="10" max="10" width="8.6640625" customWidth="1"/>
    <col min="11" max="12" width="9.33203125" bestFit="1" customWidth="1"/>
    <col min="13" max="13" width="8.5" bestFit="1" customWidth="1"/>
    <col min="14" max="14" width="9.33203125" bestFit="1" customWidth="1"/>
    <col min="15" max="15" width="8.5" bestFit="1" customWidth="1"/>
    <col min="16" max="16" width="9.33203125" bestFit="1" customWidth="1"/>
    <col min="17" max="17" width="10.1640625" bestFit="1" customWidth="1"/>
    <col min="18" max="18" width="8.6640625" bestFit="1" customWidth="1"/>
  </cols>
  <sheetData>
    <row r="1" spans="1:18" ht="16" thickBot="1" x14ac:dyDescent="0.25">
      <c r="A1" s="115" t="s">
        <v>113</v>
      </c>
      <c r="B1" s="116"/>
    </row>
    <row r="2" spans="1:18" ht="15.75" customHeight="1" thickBot="1" x14ac:dyDescent="0.25">
      <c r="A2" s="5"/>
      <c r="B2" s="115" t="s">
        <v>113</v>
      </c>
      <c r="C2" s="116"/>
      <c r="F2" s="5"/>
      <c r="G2" s="5"/>
      <c r="H2" s="136" t="s">
        <v>68</v>
      </c>
      <c r="I2" s="137"/>
      <c r="J2" s="137"/>
      <c r="K2" s="137"/>
      <c r="L2" s="137"/>
      <c r="M2" s="137"/>
      <c r="N2" s="137"/>
      <c r="O2" s="137"/>
      <c r="P2" s="138"/>
    </row>
    <row r="3" spans="1:18" ht="16" thickBot="1" x14ac:dyDescent="0.25">
      <c r="B3" s="5" t="s">
        <v>36</v>
      </c>
      <c r="C3" s="5" t="s">
        <v>35</v>
      </c>
      <c r="D3" s="5" t="s">
        <v>34</v>
      </c>
      <c r="E3" s="5" t="s">
        <v>33</v>
      </c>
      <c r="G3" s="5"/>
      <c r="H3" s="37"/>
      <c r="I3" s="26" t="s">
        <v>66</v>
      </c>
      <c r="J3" s="26" t="s">
        <v>69</v>
      </c>
      <c r="K3" s="26" t="s">
        <v>65</v>
      </c>
      <c r="L3" s="26" t="s">
        <v>70</v>
      </c>
      <c r="M3" s="26" t="s">
        <v>71</v>
      </c>
      <c r="N3" s="26" t="s">
        <v>64</v>
      </c>
      <c r="O3" s="35" t="s">
        <v>72</v>
      </c>
      <c r="P3" s="25" t="s">
        <v>63</v>
      </c>
    </row>
    <row r="4" spans="1:18" ht="16" thickBot="1" x14ac:dyDescent="0.25">
      <c r="A4" s="5"/>
      <c r="B4" s="28" t="s">
        <v>37</v>
      </c>
      <c r="C4" s="29" t="s">
        <v>26</v>
      </c>
      <c r="D4" s="29" t="s">
        <v>25</v>
      </c>
      <c r="E4" s="30" t="s">
        <v>24</v>
      </c>
      <c r="F4" s="27"/>
      <c r="G4" s="5"/>
      <c r="H4" s="38" t="s">
        <v>55</v>
      </c>
      <c r="I4" s="56">
        <v>0.44087999999999999</v>
      </c>
      <c r="J4" s="56">
        <v>0.82774999999999999</v>
      </c>
      <c r="K4" s="56">
        <v>0.88712999999999997</v>
      </c>
      <c r="L4" s="56">
        <v>0.31709999999999999</v>
      </c>
      <c r="M4" s="56">
        <v>0.36725999999999998</v>
      </c>
      <c r="N4" s="56">
        <v>0.92225000000000001</v>
      </c>
      <c r="O4" s="58">
        <v>0.55079999999999996</v>
      </c>
      <c r="P4" s="59">
        <v>0.9395</v>
      </c>
    </row>
    <row r="5" spans="1:18" x14ac:dyDescent="0.2">
      <c r="A5" s="5"/>
      <c r="B5" s="24" t="s">
        <v>60</v>
      </c>
      <c r="C5" s="24" t="s">
        <v>59</v>
      </c>
      <c r="D5" s="24" t="s">
        <v>58</v>
      </c>
      <c r="E5" s="24" t="s">
        <v>57</v>
      </c>
      <c r="F5" s="11" t="s">
        <v>56</v>
      </c>
      <c r="G5" s="5"/>
      <c r="H5" s="38" t="s">
        <v>53</v>
      </c>
      <c r="I5" s="56">
        <v>-0.40028999999999998</v>
      </c>
      <c r="J5" s="56">
        <v>-0.27771000000000001</v>
      </c>
      <c r="K5" s="56">
        <v>-0.152</v>
      </c>
      <c r="L5" s="56">
        <v>0.14713999999999999</v>
      </c>
      <c r="M5" s="56">
        <v>0.17357</v>
      </c>
      <c r="N5" s="56">
        <v>-6.8000000000000005E-2</v>
      </c>
      <c r="O5" s="58">
        <v>0.29357</v>
      </c>
      <c r="P5" s="59">
        <v>-1.0710000000000001E-2</v>
      </c>
    </row>
    <row r="6" spans="1:18" x14ac:dyDescent="0.2">
      <c r="A6" s="11" t="s">
        <v>111</v>
      </c>
      <c r="B6" s="7">
        <v>76.45</v>
      </c>
      <c r="C6" s="7">
        <v>1.5</v>
      </c>
      <c r="D6" s="8">
        <v>76.41</v>
      </c>
      <c r="E6" s="7">
        <v>0.25</v>
      </c>
      <c r="F6" s="8">
        <v>76.4375</v>
      </c>
      <c r="G6" s="5"/>
      <c r="H6" s="38" t="s">
        <v>51</v>
      </c>
      <c r="I6" s="56">
        <v>0.22688</v>
      </c>
      <c r="J6" s="56">
        <v>0.441</v>
      </c>
      <c r="K6" s="56">
        <v>0.63724999999999998</v>
      </c>
      <c r="L6" s="56">
        <v>0.53</v>
      </c>
      <c r="M6" s="56">
        <v>0.56188000000000005</v>
      </c>
      <c r="N6" s="56">
        <v>0.71550000000000002</v>
      </c>
      <c r="O6" s="58">
        <v>0.73624999999999996</v>
      </c>
      <c r="P6" s="59">
        <v>0.88100000000000001</v>
      </c>
    </row>
    <row r="7" spans="1:18" ht="16" thickBot="1" x14ac:dyDescent="0.25">
      <c r="A7" s="11" t="s">
        <v>112</v>
      </c>
      <c r="B7" s="7">
        <v>76.459999999999994</v>
      </c>
      <c r="C7" s="23">
        <v>4</v>
      </c>
      <c r="D7" s="8">
        <v>76.444999999999993</v>
      </c>
      <c r="E7" s="7">
        <v>1.25</v>
      </c>
      <c r="F7" s="8">
        <v>76.457499999999996</v>
      </c>
      <c r="G7" s="5"/>
      <c r="H7" s="39" t="s">
        <v>50</v>
      </c>
      <c r="I7" s="22">
        <v>-5.2499999999999998E-2</v>
      </c>
      <c r="J7" s="22">
        <v>-3.3500000000000002E-2</v>
      </c>
      <c r="K7" s="22">
        <v>-4.0000000000000001E-3</v>
      </c>
      <c r="L7" s="22">
        <v>-3.3500000000000002E-2</v>
      </c>
      <c r="M7" s="22">
        <v>0.21571000000000001</v>
      </c>
      <c r="N7" s="22">
        <v>3.0169999999999999E-2</v>
      </c>
      <c r="O7" s="60">
        <v>0.35428999999999999</v>
      </c>
      <c r="P7" s="61">
        <v>0.11567</v>
      </c>
    </row>
    <row r="8" spans="1:18" x14ac:dyDescent="0.2">
      <c r="A8" s="5"/>
      <c r="B8" s="5"/>
      <c r="C8" s="5"/>
      <c r="D8" s="5"/>
      <c r="E8" s="5"/>
      <c r="F8" s="5"/>
      <c r="G8" s="5"/>
      <c r="M8" s="5"/>
    </row>
    <row r="9" spans="1:18" ht="16" thickBot="1" x14ac:dyDescent="0.25">
      <c r="A9" s="5"/>
      <c r="B9" s="5"/>
      <c r="C9" s="5"/>
      <c r="D9" s="5"/>
      <c r="E9" s="5"/>
      <c r="F9" s="5"/>
      <c r="G9" s="5"/>
      <c r="M9" s="5"/>
    </row>
    <row r="10" spans="1:18" ht="16" thickBot="1" x14ac:dyDescent="0.25">
      <c r="A10" s="5"/>
      <c r="B10" s="115" t="s">
        <v>74</v>
      </c>
      <c r="C10" s="116"/>
      <c r="D10" s="5"/>
      <c r="E10" s="5"/>
      <c r="F10" s="5"/>
      <c r="G10" s="5"/>
    </row>
    <row r="11" spans="1:18" s="19" customFormat="1" x14ac:dyDescent="0.2">
      <c r="A11" s="139" t="s">
        <v>73</v>
      </c>
      <c r="B11" s="132" t="s">
        <v>109</v>
      </c>
      <c r="C11" s="132" t="s">
        <v>110</v>
      </c>
      <c r="D11" s="132" t="s">
        <v>49</v>
      </c>
      <c r="E11" s="132" t="s">
        <v>48</v>
      </c>
      <c r="F11" s="132" t="s">
        <v>47</v>
      </c>
      <c r="G11" s="132" t="s">
        <v>46</v>
      </c>
      <c r="H11" s="132" t="s">
        <v>45</v>
      </c>
      <c r="I11" s="132" t="s">
        <v>44</v>
      </c>
      <c r="J11" s="134" t="s">
        <v>43</v>
      </c>
    </row>
    <row r="12" spans="1:18" s="19" customFormat="1" ht="15.75" customHeight="1" thickBot="1" x14ac:dyDescent="0.25">
      <c r="A12" s="140"/>
      <c r="B12" s="133"/>
      <c r="C12" s="133"/>
      <c r="D12" s="133"/>
      <c r="E12" s="133"/>
      <c r="F12" s="133"/>
      <c r="G12" s="133"/>
      <c r="H12" s="133"/>
      <c r="I12" s="133"/>
      <c r="J12" s="135"/>
    </row>
    <row r="13" spans="1:18" s="19" customFormat="1" ht="16" thickBot="1" x14ac:dyDescent="0.25">
      <c r="A13" s="10" t="s">
        <v>37</v>
      </c>
      <c r="B13" s="8">
        <v>76.239999999999995</v>
      </c>
      <c r="C13" s="8">
        <v>76.25</v>
      </c>
      <c r="D13" s="23">
        <v>-0.27</v>
      </c>
      <c r="E13" s="8">
        <v>76.17</v>
      </c>
      <c r="F13" s="8">
        <v>76.34</v>
      </c>
      <c r="G13" s="8">
        <v>76.055000000000007</v>
      </c>
      <c r="H13" s="13">
        <v>76.45</v>
      </c>
      <c r="I13" s="13">
        <v>76.905000000000001</v>
      </c>
      <c r="J13" s="62">
        <v>68.290000000000006</v>
      </c>
      <c r="L13" s="115" t="s">
        <v>42</v>
      </c>
      <c r="M13" s="141"/>
      <c r="N13" s="116"/>
      <c r="Q13" s="125"/>
      <c r="R13" s="125"/>
    </row>
    <row r="14" spans="1:18" ht="16" thickBot="1" x14ac:dyDescent="0.25">
      <c r="A14" s="10" t="s">
        <v>26</v>
      </c>
      <c r="B14" s="8">
        <v>82.6875</v>
      </c>
      <c r="C14" s="8">
        <v>82.7</v>
      </c>
      <c r="D14" s="23">
        <v>0.57999999999999996</v>
      </c>
      <c r="E14" s="8">
        <v>82.504999999999995</v>
      </c>
      <c r="F14" s="14">
        <v>82.765000000000001</v>
      </c>
      <c r="G14" s="13">
        <v>82.44</v>
      </c>
      <c r="H14" s="13">
        <v>82.212500000000006</v>
      </c>
      <c r="I14" s="13">
        <v>82.212500000000006</v>
      </c>
      <c r="J14" s="13">
        <v>82.212500000000006</v>
      </c>
      <c r="L14" s="32" t="s">
        <v>41</v>
      </c>
      <c r="M14" s="32" t="s">
        <v>40</v>
      </c>
      <c r="N14" s="32" t="s">
        <v>39</v>
      </c>
      <c r="P14" s="126" t="s">
        <v>67</v>
      </c>
      <c r="Q14" s="127"/>
      <c r="R14" s="128"/>
    </row>
    <row r="15" spans="1:18" ht="16" thickBot="1" x14ac:dyDescent="0.25">
      <c r="A15" s="10" t="s">
        <v>25</v>
      </c>
      <c r="B15" s="8">
        <v>76.239999999999995</v>
      </c>
      <c r="C15" s="8">
        <v>76.25</v>
      </c>
      <c r="D15" s="23">
        <v>-0.27</v>
      </c>
      <c r="E15" s="8">
        <v>76.17</v>
      </c>
      <c r="F15" s="8">
        <v>76.34</v>
      </c>
      <c r="G15" s="8">
        <v>76.055000000000007</v>
      </c>
      <c r="H15" s="13">
        <v>76.45</v>
      </c>
      <c r="I15" s="13">
        <v>76.905000000000001</v>
      </c>
      <c r="J15" s="62">
        <v>68.290000000000006</v>
      </c>
      <c r="L15" s="17" t="s">
        <v>38</v>
      </c>
      <c r="M15" s="16" t="s">
        <v>1</v>
      </c>
      <c r="N15" s="15" t="s">
        <v>0</v>
      </c>
      <c r="P15" s="17" t="s">
        <v>38</v>
      </c>
      <c r="Q15" s="16" t="s">
        <v>62</v>
      </c>
      <c r="R15" s="15" t="s">
        <v>61</v>
      </c>
    </row>
    <row r="16" spans="1:18" x14ac:dyDescent="0.2">
      <c r="A16" s="41" t="s">
        <v>24</v>
      </c>
      <c r="B16" s="8">
        <v>82.6875</v>
      </c>
      <c r="C16" s="8">
        <v>82.7</v>
      </c>
      <c r="D16" s="23">
        <v>0.57999999999999996</v>
      </c>
      <c r="E16" s="8">
        <v>82.504999999999995</v>
      </c>
      <c r="F16" s="14">
        <v>82.765000000000001</v>
      </c>
      <c r="G16" s="13">
        <v>82.44</v>
      </c>
      <c r="H16" s="13">
        <v>82.212500000000006</v>
      </c>
      <c r="I16" s="13">
        <v>82.212500000000006</v>
      </c>
      <c r="J16" s="13">
        <v>82.212500000000006</v>
      </c>
      <c r="L16" s="12" t="s">
        <v>37</v>
      </c>
      <c r="M16" s="67">
        <v>76.27</v>
      </c>
      <c r="N16" s="68">
        <v>76.282499999999999</v>
      </c>
      <c r="P16" s="12" t="s">
        <v>37</v>
      </c>
      <c r="Q16" s="69" t="s">
        <v>83</v>
      </c>
      <c r="R16" s="68">
        <v>69.171300000000002</v>
      </c>
    </row>
    <row r="17" spans="1:18" x14ac:dyDescent="0.2">
      <c r="A17" s="41" t="s">
        <v>23</v>
      </c>
      <c r="B17" s="8">
        <v>1.0844499999999999</v>
      </c>
      <c r="C17" s="8">
        <v>1.0845</v>
      </c>
      <c r="D17" s="23">
        <v>0.19</v>
      </c>
      <c r="E17" s="8">
        <v>1.0844499999999999</v>
      </c>
      <c r="F17" s="8">
        <v>1.0845</v>
      </c>
      <c r="G17" s="8">
        <v>1.0844499999999999</v>
      </c>
      <c r="H17" s="8">
        <v>1.0845</v>
      </c>
      <c r="I17" s="8">
        <v>1.0844499999999999</v>
      </c>
      <c r="J17" s="8">
        <v>1.0845</v>
      </c>
      <c r="L17" s="10" t="s">
        <v>26</v>
      </c>
      <c r="M17" s="8">
        <v>82.242500000000007</v>
      </c>
      <c r="N17" s="40">
        <v>82.25</v>
      </c>
      <c r="P17" s="10" t="s">
        <v>26</v>
      </c>
      <c r="Q17" s="7" t="s">
        <v>83</v>
      </c>
      <c r="R17" s="40">
        <v>77.702399999999997</v>
      </c>
    </row>
    <row r="18" spans="1:18" x14ac:dyDescent="0.2">
      <c r="A18" s="41" t="s">
        <v>22</v>
      </c>
      <c r="B18" s="8">
        <v>1.24211</v>
      </c>
      <c r="C18" s="8">
        <v>1.24221</v>
      </c>
      <c r="D18" s="23">
        <v>0.45</v>
      </c>
      <c r="E18" s="8">
        <v>1.24211</v>
      </c>
      <c r="F18" s="8">
        <v>1.24221</v>
      </c>
      <c r="G18" s="8">
        <v>1.24211</v>
      </c>
      <c r="H18" s="8">
        <v>1.24221</v>
      </c>
      <c r="I18" s="8">
        <v>1.24211</v>
      </c>
      <c r="J18" s="8">
        <v>1.24221</v>
      </c>
      <c r="L18" s="10" t="s">
        <v>25</v>
      </c>
      <c r="M18" s="8">
        <v>94.26</v>
      </c>
      <c r="N18" s="40">
        <v>94.3</v>
      </c>
      <c r="P18" s="10" t="s">
        <v>25</v>
      </c>
      <c r="Q18" s="7" t="s">
        <v>83</v>
      </c>
      <c r="R18" s="40">
        <v>90.4756</v>
      </c>
    </row>
    <row r="19" spans="1:18" ht="16" thickBot="1" x14ac:dyDescent="0.25">
      <c r="A19" s="9" t="s">
        <v>21</v>
      </c>
      <c r="B19" s="64">
        <v>107.193</v>
      </c>
      <c r="C19" s="64">
        <v>107.197</v>
      </c>
      <c r="D19" s="64">
        <v>-0.27</v>
      </c>
      <c r="E19" s="64">
        <v>107.193</v>
      </c>
      <c r="F19" s="64">
        <v>107.197</v>
      </c>
      <c r="G19" s="64">
        <v>107.193</v>
      </c>
      <c r="H19" s="64">
        <v>107.197</v>
      </c>
      <c r="I19" s="64">
        <v>107.193</v>
      </c>
      <c r="J19" s="64">
        <v>107.197</v>
      </c>
      <c r="L19" s="9" t="s">
        <v>24</v>
      </c>
      <c r="M19" s="42">
        <v>70.88</v>
      </c>
      <c r="N19" s="57">
        <v>70.900000000000006</v>
      </c>
      <c r="P19" s="9" t="s">
        <v>24</v>
      </c>
      <c r="Q19" s="21" t="s">
        <v>83</v>
      </c>
      <c r="R19" s="57">
        <v>62.52</v>
      </c>
    </row>
    <row r="20" spans="1:18" x14ac:dyDescent="0.2">
      <c r="L20" s="32"/>
    </row>
    <row r="21" spans="1:18" ht="16" thickBot="1" x14ac:dyDescent="0.25">
      <c r="L21" s="32"/>
    </row>
    <row r="22" spans="1:18" ht="16" thickBot="1" x14ac:dyDescent="0.25">
      <c r="B22" s="115" t="s">
        <v>75</v>
      </c>
      <c r="C22" s="116"/>
      <c r="L22" s="32"/>
    </row>
    <row r="23" spans="1:18" x14ac:dyDescent="0.2">
      <c r="C23" s="129" t="s">
        <v>36</v>
      </c>
      <c r="D23" s="129"/>
      <c r="E23" s="129" t="s">
        <v>35</v>
      </c>
      <c r="F23" s="129"/>
      <c r="G23" s="129" t="s">
        <v>34</v>
      </c>
      <c r="H23" s="129"/>
      <c r="I23" s="129" t="s">
        <v>33</v>
      </c>
      <c r="J23" s="129"/>
      <c r="K23" s="129" t="s">
        <v>32</v>
      </c>
      <c r="L23" s="129"/>
      <c r="M23" s="5" t="s">
        <v>31</v>
      </c>
      <c r="N23" s="5" t="s">
        <v>30</v>
      </c>
      <c r="O23" s="5" t="s">
        <v>29</v>
      </c>
    </row>
    <row r="24" spans="1:18" s="5" customFormat="1" ht="16" thickBot="1" x14ac:dyDescent="0.25">
      <c r="B24" s="6"/>
      <c r="C24" s="119" t="s">
        <v>28</v>
      </c>
      <c r="D24" s="119"/>
      <c r="E24" s="119" t="s">
        <v>27</v>
      </c>
      <c r="F24" s="119"/>
      <c r="G24" s="120" t="s">
        <v>26</v>
      </c>
      <c r="H24" s="120"/>
      <c r="I24" s="120" t="s">
        <v>25</v>
      </c>
      <c r="J24" s="120"/>
      <c r="K24" s="120" t="s">
        <v>24</v>
      </c>
      <c r="L24" s="120"/>
      <c r="M24" s="6" t="s">
        <v>23</v>
      </c>
      <c r="N24" s="6" t="s">
        <v>22</v>
      </c>
      <c r="O24" s="6" t="s">
        <v>21</v>
      </c>
    </row>
    <row r="25" spans="1:18" x14ac:dyDescent="0.2">
      <c r="A25" s="130" t="s">
        <v>20</v>
      </c>
      <c r="B25" s="131"/>
      <c r="C25" s="4" t="s">
        <v>19</v>
      </c>
      <c r="D25" s="4" t="s">
        <v>18</v>
      </c>
      <c r="E25" s="4" t="s">
        <v>17</v>
      </c>
      <c r="F25" s="4" t="s">
        <v>16</v>
      </c>
      <c r="G25" s="4" t="s">
        <v>15</v>
      </c>
      <c r="H25" s="4" t="s">
        <v>14</v>
      </c>
      <c r="I25" s="4" t="s">
        <v>13</v>
      </c>
      <c r="J25" s="4" t="s">
        <v>12</v>
      </c>
      <c r="K25" s="4" t="s">
        <v>11</v>
      </c>
      <c r="L25" s="4" t="s">
        <v>10</v>
      </c>
      <c r="M25" s="4" t="s">
        <v>9</v>
      </c>
      <c r="N25" s="4" t="s">
        <v>8</v>
      </c>
      <c r="O25" s="3" t="s">
        <v>7</v>
      </c>
    </row>
    <row r="26" spans="1:18" x14ac:dyDescent="0.2">
      <c r="A26" s="121" t="s">
        <v>6</v>
      </c>
      <c r="B26" s="122"/>
      <c r="C26" s="2" t="s">
        <v>5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  <row r="27" spans="1:18" x14ac:dyDescent="0.2">
      <c r="A27" s="121" t="s">
        <v>4</v>
      </c>
      <c r="B27" s="122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4"/>
    </row>
    <row r="28" spans="1:18" x14ac:dyDescent="0.2">
      <c r="A28" s="121" t="s">
        <v>1</v>
      </c>
      <c r="B28" s="122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1"/>
    </row>
    <row r="29" spans="1:18" x14ac:dyDescent="0.2">
      <c r="A29" s="121" t="s">
        <v>0</v>
      </c>
      <c r="B29" s="122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1"/>
    </row>
    <row r="30" spans="1:18" x14ac:dyDescent="0.2">
      <c r="A30" s="121" t="s">
        <v>3</v>
      </c>
      <c r="B30" s="122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4"/>
    </row>
    <row r="31" spans="1:18" x14ac:dyDescent="0.2">
      <c r="A31" s="121" t="s">
        <v>1</v>
      </c>
      <c r="B31" s="122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1"/>
    </row>
    <row r="32" spans="1:18" x14ac:dyDescent="0.2">
      <c r="A32" s="121" t="s">
        <v>0</v>
      </c>
      <c r="B32" s="122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1"/>
    </row>
    <row r="33" spans="1:15" x14ac:dyDescent="0.2">
      <c r="A33" s="121" t="s">
        <v>2</v>
      </c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4"/>
    </row>
    <row r="34" spans="1:15" x14ac:dyDescent="0.2">
      <c r="A34" s="121" t="s">
        <v>1</v>
      </c>
      <c r="B34" s="122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1"/>
    </row>
    <row r="35" spans="1:15" ht="16" thickBot="1" x14ac:dyDescent="0.25">
      <c r="A35" s="117" t="s">
        <v>0</v>
      </c>
      <c r="B35" s="118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3"/>
    </row>
    <row r="36" spans="1:15" x14ac:dyDescent="0.2">
      <c r="A36" s="1"/>
      <c r="B36" s="1"/>
    </row>
  </sheetData>
  <mergeCells count="42">
    <mergeCell ref="A11:A12"/>
    <mergeCell ref="B10:C10"/>
    <mergeCell ref="L13:N13"/>
    <mergeCell ref="B11:B12"/>
    <mergeCell ref="B2:C2"/>
    <mergeCell ref="G11:G12"/>
    <mergeCell ref="H11:H12"/>
    <mergeCell ref="C23:D23"/>
    <mergeCell ref="E23:F23"/>
    <mergeCell ref="H2:P2"/>
    <mergeCell ref="B22:C22"/>
    <mergeCell ref="Q13:R13"/>
    <mergeCell ref="P14:R14"/>
    <mergeCell ref="G23:H23"/>
    <mergeCell ref="I23:J23"/>
    <mergeCell ref="K24:L24"/>
    <mergeCell ref="K23:L23"/>
    <mergeCell ref="I24:J24"/>
    <mergeCell ref="A28:B28"/>
    <mergeCell ref="A29:B29"/>
    <mergeCell ref="A30:B30"/>
    <mergeCell ref="C30:O30"/>
    <mergeCell ref="A27:B27"/>
    <mergeCell ref="C27:O27"/>
    <mergeCell ref="A25:B25"/>
    <mergeCell ref="A26:B26"/>
    <mergeCell ref="A1:B1"/>
    <mergeCell ref="A35:B35"/>
    <mergeCell ref="E24:F24"/>
    <mergeCell ref="C24:D24"/>
    <mergeCell ref="G24:H24"/>
    <mergeCell ref="A33:B33"/>
    <mergeCell ref="C33:O33"/>
    <mergeCell ref="A34:B34"/>
    <mergeCell ref="A31:B31"/>
    <mergeCell ref="A32:B32"/>
    <mergeCell ref="I11:I12"/>
    <mergeCell ref="J11:J12"/>
    <mergeCell ref="C11:C12"/>
    <mergeCell ref="D11:D12"/>
    <mergeCell ref="E11:E12"/>
    <mergeCell ref="F11:F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"/>
  <sheetViews>
    <sheetView workbookViewId="0">
      <selection activeCell="Y26" sqref="Y26"/>
    </sheetView>
  </sheetViews>
  <sheetFormatPr baseColWidth="10" defaultColWidth="8.83203125" defaultRowHeight="15" x14ac:dyDescent="0.2"/>
  <cols>
    <col min="1" max="7" width="9.1640625" style="19"/>
    <col min="8" max="8" width="9.6640625" style="19" bestFit="1" customWidth="1"/>
    <col min="9" max="9" width="9" style="19" customWidth="1"/>
    <col min="10" max="10" width="8.6640625" style="19" customWidth="1"/>
    <col min="11" max="11" width="7.6640625" bestFit="1" customWidth="1"/>
    <col min="12" max="12" width="8.83203125" bestFit="1" customWidth="1"/>
    <col min="13" max="14" width="8.33203125" bestFit="1" customWidth="1"/>
    <col min="15" max="15" width="7.83203125" bestFit="1" customWidth="1"/>
  </cols>
  <sheetData>
    <row r="1" spans="1:19" s="49" customFormat="1" ht="16" thickBot="1" x14ac:dyDescent="0.25">
      <c r="A1" s="17" t="s">
        <v>38</v>
      </c>
      <c r="B1" s="16" t="s">
        <v>1</v>
      </c>
      <c r="C1" s="15" t="s">
        <v>0</v>
      </c>
    </row>
    <row r="2" spans="1:19" s="49" customFormat="1" ht="15.75" customHeight="1" x14ac:dyDescent="0.2">
      <c r="A2" s="12" t="s">
        <v>37</v>
      </c>
      <c r="B2" s="67">
        <v>76.95</v>
      </c>
      <c r="C2" s="68">
        <v>76.952500000000001</v>
      </c>
      <c r="D2" s="50"/>
      <c r="E2" s="50"/>
      <c r="F2" s="50"/>
      <c r="G2" s="50"/>
      <c r="H2" s="51"/>
      <c r="I2" s="51"/>
      <c r="J2" s="51"/>
      <c r="K2" s="51"/>
      <c r="L2" s="51"/>
      <c r="M2" s="51"/>
      <c r="N2" s="51"/>
      <c r="O2" s="51"/>
    </row>
    <row r="3" spans="1:19" s="49" customFormat="1" x14ac:dyDescent="0.2">
      <c r="A3" s="10" t="s">
        <v>26</v>
      </c>
      <c r="B3" s="8">
        <v>82.782499999999999</v>
      </c>
      <c r="C3" s="40">
        <v>82.97</v>
      </c>
      <c r="D3" s="51"/>
      <c r="E3" s="51"/>
      <c r="F3" s="51"/>
      <c r="G3" s="50"/>
      <c r="H3" s="50"/>
      <c r="I3" s="52"/>
      <c r="J3" s="52"/>
      <c r="K3" s="52"/>
      <c r="L3" s="52"/>
      <c r="M3" s="52"/>
      <c r="N3" s="52"/>
      <c r="O3" s="52"/>
    </row>
    <row r="4" spans="1:19" s="49" customFormat="1" x14ac:dyDescent="0.2">
      <c r="A4" s="10" t="s">
        <v>25</v>
      </c>
      <c r="B4" s="8">
        <v>94.9</v>
      </c>
      <c r="C4" s="40">
        <v>94.944999999999993</v>
      </c>
      <c r="D4" s="51"/>
      <c r="E4" s="51"/>
      <c r="F4" s="51"/>
      <c r="G4" s="50"/>
      <c r="H4" s="50"/>
      <c r="I4" s="50"/>
      <c r="J4" s="50"/>
      <c r="K4" s="50"/>
      <c r="L4" s="50"/>
      <c r="M4" s="50"/>
      <c r="N4" s="50"/>
      <c r="O4" s="50"/>
    </row>
    <row r="5" spans="1:19" s="49" customFormat="1" ht="16" thickBot="1" x14ac:dyDescent="0.25">
      <c r="A5" s="9" t="s">
        <v>24</v>
      </c>
      <c r="B5" s="42">
        <v>71.265000000000001</v>
      </c>
      <c r="C5" s="57">
        <v>71.349999999999994</v>
      </c>
      <c r="D5" s="53"/>
      <c r="E5" s="50"/>
      <c r="F5" s="53"/>
      <c r="G5" s="50"/>
      <c r="H5" s="50"/>
      <c r="I5" s="50"/>
      <c r="J5" s="50"/>
      <c r="K5" s="50"/>
      <c r="L5" s="50"/>
      <c r="M5" s="50"/>
      <c r="N5" s="50"/>
      <c r="O5" s="50"/>
    </row>
    <row r="6" spans="1:19" s="49" customFormat="1" x14ac:dyDescent="0.2">
      <c r="A6" s="51"/>
      <c r="B6" s="50"/>
      <c r="C6" s="54"/>
      <c r="D6" s="53"/>
      <c r="E6" s="50"/>
      <c r="F6" s="53"/>
      <c r="G6" s="50"/>
      <c r="H6" s="50"/>
      <c r="I6" s="50"/>
      <c r="J6" s="50"/>
      <c r="K6" s="50"/>
      <c r="L6" s="50"/>
      <c r="M6" s="50"/>
      <c r="N6" s="50"/>
      <c r="O6" s="50"/>
    </row>
    <row r="7" spans="1:19" s="49" customFormat="1" x14ac:dyDescent="0.2">
      <c r="A7" s="50"/>
      <c r="B7" s="50"/>
      <c r="C7" s="50"/>
      <c r="D7" s="50"/>
      <c r="E7" s="50"/>
      <c r="F7" s="50"/>
      <c r="G7" s="50"/>
      <c r="H7" s="50"/>
      <c r="I7" s="55"/>
      <c r="J7" s="55"/>
      <c r="K7" s="50"/>
      <c r="L7" s="50"/>
      <c r="M7" s="50"/>
      <c r="N7" s="50"/>
      <c r="O7" s="50"/>
    </row>
    <row r="8" spans="1:19" s="49" customFormat="1" x14ac:dyDescent="0.2">
      <c r="A8" s="50"/>
      <c r="B8" s="50"/>
      <c r="C8" s="50"/>
      <c r="D8" s="50"/>
      <c r="E8" s="50"/>
      <c r="F8" s="50"/>
      <c r="G8" s="50"/>
      <c r="M8" s="50"/>
    </row>
    <row r="9" spans="1:19" x14ac:dyDescent="0.2">
      <c r="A9" s="32"/>
      <c r="B9" s="32"/>
      <c r="C9" s="32"/>
      <c r="D9" s="32"/>
      <c r="E9" s="32"/>
      <c r="F9" s="32"/>
      <c r="G9" s="32"/>
      <c r="M9" s="5"/>
    </row>
    <row r="10" spans="1:19" x14ac:dyDescent="0.2">
      <c r="A10" s="32"/>
      <c r="B10" s="45"/>
      <c r="C10" s="45"/>
      <c r="D10" s="32"/>
      <c r="E10" s="32"/>
      <c r="F10" s="32"/>
      <c r="G10" s="32"/>
      <c r="J10" s="107"/>
      <c r="K10" s="107"/>
      <c r="L10" s="19"/>
      <c r="M10" s="19"/>
      <c r="N10" s="107"/>
      <c r="O10" s="107"/>
      <c r="P10" s="19"/>
      <c r="Q10" s="19"/>
      <c r="R10" s="107"/>
      <c r="S10" s="107"/>
    </row>
    <row r="11" spans="1:19" s="19" customForma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19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 spans="1:19" s="19" customFormat="1" ht="16" customHeigh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33"/>
      <c r="K13" s="33"/>
      <c r="L13" s="46"/>
      <c r="M13" s="46"/>
      <c r="N13" s="33"/>
      <c r="O13" s="33"/>
      <c r="P13" s="46"/>
      <c r="Q13" s="46"/>
      <c r="R13" s="33"/>
      <c r="S13" s="33"/>
    </row>
    <row r="14" spans="1:19" ht="15.75" customHeight="1" x14ac:dyDescent="0.2">
      <c r="A14" s="18"/>
      <c r="B14" s="33"/>
      <c r="C14" s="33"/>
      <c r="D14" s="32"/>
      <c r="E14" s="33"/>
      <c r="F14" s="47"/>
      <c r="G14" s="48"/>
      <c r="H14" s="48"/>
      <c r="I14" s="48"/>
      <c r="J14" s="47"/>
      <c r="K14" s="48"/>
      <c r="L14" s="48"/>
      <c r="M14" s="48"/>
      <c r="N14" s="47"/>
      <c r="O14" s="48"/>
      <c r="P14" s="48"/>
      <c r="Q14" s="48"/>
      <c r="R14" s="47"/>
      <c r="S14" s="48"/>
    </row>
    <row r="15" spans="1:19" x14ac:dyDescent="0.2">
      <c r="A15" s="18"/>
      <c r="B15" s="33"/>
      <c r="C15" s="33"/>
      <c r="D15" s="32"/>
      <c r="E15" s="32"/>
      <c r="G15" s="18"/>
      <c r="H15" s="32"/>
      <c r="I15" s="32"/>
      <c r="K15" s="18"/>
      <c r="L15" s="107"/>
      <c r="M15" s="107"/>
      <c r="N15" s="19"/>
      <c r="O15" s="18"/>
      <c r="P15" s="107"/>
      <c r="Q15" s="107"/>
      <c r="R15" s="19"/>
      <c r="S15" s="18"/>
    </row>
    <row r="16" spans="1:19" x14ac:dyDescent="0.2">
      <c r="A16" s="20"/>
      <c r="B16" s="33"/>
      <c r="C16" s="33"/>
      <c r="D16" s="32"/>
      <c r="E16" s="32"/>
      <c r="G16" s="20"/>
      <c r="H16" s="32"/>
      <c r="I16" s="32"/>
      <c r="K16" s="20"/>
      <c r="L16" s="107"/>
      <c r="M16" s="107"/>
      <c r="N16" s="19"/>
      <c r="O16" s="20"/>
      <c r="P16" s="107"/>
      <c r="Q16" s="107"/>
      <c r="R16" s="19"/>
      <c r="S16" s="20"/>
    </row>
    <row r="17" spans="1:19" x14ac:dyDescent="0.2">
      <c r="A17" s="20"/>
      <c r="B17" s="33"/>
      <c r="C17" s="33"/>
      <c r="D17" s="32"/>
      <c r="E17" s="32"/>
      <c r="G17" s="20"/>
      <c r="H17" s="32"/>
      <c r="I17" s="32"/>
      <c r="K17" s="20"/>
      <c r="L17" s="107"/>
      <c r="M17" s="107"/>
      <c r="N17" s="19"/>
      <c r="O17" s="20"/>
      <c r="P17" s="107"/>
      <c r="Q17" s="107"/>
      <c r="R17" s="19"/>
      <c r="S17" s="20"/>
    </row>
    <row r="18" spans="1:19" x14ac:dyDescent="0.2">
      <c r="A18" s="20"/>
      <c r="B18" s="33"/>
      <c r="C18" s="33"/>
      <c r="D18" s="32"/>
      <c r="E18" s="32"/>
      <c r="G18" s="20"/>
      <c r="H18" s="32"/>
      <c r="I18" s="32"/>
      <c r="K18" s="20"/>
      <c r="L18" s="107"/>
      <c r="M18" s="107"/>
      <c r="N18" s="19"/>
      <c r="O18" s="20"/>
      <c r="P18" s="107"/>
      <c r="Q18" s="107"/>
      <c r="R18" s="19"/>
      <c r="S18" s="20"/>
    </row>
    <row r="19" spans="1:19" x14ac:dyDescent="0.2">
      <c r="A19" s="20"/>
      <c r="B19" s="33"/>
      <c r="C19" s="33"/>
      <c r="D19" s="32"/>
      <c r="E19" s="32"/>
      <c r="G19" s="20"/>
      <c r="H19" s="32"/>
      <c r="I19" s="32"/>
      <c r="K19" s="20"/>
      <c r="L19" s="107"/>
      <c r="M19" s="107"/>
      <c r="N19" s="19"/>
      <c r="O19" s="20"/>
      <c r="P19" s="107"/>
      <c r="Q19" s="107"/>
      <c r="R19" s="19"/>
      <c r="S19" s="20"/>
    </row>
    <row r="20" spans="1:19" x14ac:dyDescent="0.2">
      <c r="K20" s="19"/>
      <c r="L20" s="19"/>
      <c r="M20" s="19"/>
      <c r="N20" s="19"/>
      <c r="O20" s="19"/>
      <c r="P20" s="19"/>
      <c r="Q20" s="19"/>
      <c r="R20" s="19"/>
      <c r="S20" s="19"/>
    </row>
    <row r="21" spans="1:19" x14ac:dyDescent="0.2">
      <c r="K21" s="19"/>
      <c r="L21" s="19"/>
      <c r="M21" s="19"/>
      <c r="N21" s="19"/>
      <c r="O21" s="19"/>
      <c r="P21" s="19"/>
      <c r="Q21" s="19"/>
      <c r="R21" s="19"/>
      <c r="S21" s="19"/>
    </row>
    <row r="22" spans="1:19" x14ac:dyDescent="0.2">
      <c r="K22" s="19"/>
      <c r="L22" s="19"/>
      <c r="M22" s="19"/>
      <c r="N22" s="19"/>
      <c r="O22" s="19"/>
      <c r="P22" s="19"/>
      <c r="Q22" s="19"/>
      <c r="R22" s="19"/>
      <c r="S22" s="19"/>
    </row>
    <row r="23" spans="1:19" x14ac:dyDescent="0.2">
      <c r="K23" s="19"/>
      <c r="L23" s="19"/>
      <c r="M23" s="19"/>
      <c r="N23" s="19"/>
      <c r="O23" s="19"/>
      <c r="P23" s="19"/>
      <c r="Q23" s="19"/>
      <c r="R23" s="19"/>
      <c r="S23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1"/>
  <sheetViews>
    <sheetView workbookViewId="0">
      <selection activeCell="T25" sqref="T25"/>
    </sheetView>
  </sheetViews>
  <sheetFormatPr baseColWidth="10" defaultColWidth="8.83203125" defaultRowHeight="15" x14ac:dyDescent="0.2"/>
  <cols>
    <col min="1" max="7" width="9.1640625" style="19"/>
    <col min="8" max="8" width="9.6640625" style="19" bestFit="1" customWidth="1"/>
    <col min="9" max="9" width="9" style="19" customWidth="1"/>
    <col min="10" max="10" width="8.6640625" style="19" customWidth="1"/>
    <col min="11" max="11" width="7.6640625" style="19" bestFit="1" customWidth="1"/>
    <col min="12" max="12" width="8.83203125" style="19" bestFit="1" customWidth="1"/>
    <col min="13" max="14" width="8.33203125" style="19" bestFit="1" customWidth="1"/>
    <col min="15" max="15" width="7.8320312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21" s="19" customFormat="1" ht="16" thickBot="1" x14ac:dyDescent="0.25">
      <c r="A1" s="17" t="s">
        <v>38</v>
      </c>
      <c r="B1" s="16" t="s">
        <v>62</v>
      </c>
      <c r="C1" s="15" t="s">
        <v>61</v>
      </c>
    </row>
    <row r="2" spans="1:21" s="19" customFormat="1" ht="15.75" customHeight="1" x14ac:dyDescent="0.2">
      <c r="A2" s="12" t="s">
        <v>37</v>
      </c>
      <c r="B2" s="69" t="s">
        <v>83</v>
      </c>
      <c r="C2" s="68">
        <v>69.171300000000002</v>
      </c>
      <c r="D2" s="32"/>
      <c r="E2" s="32"/>
      <c r="F2" s="32"/>
      <c r="G2" s="32"/>
      <c r="H2" s="44"/>
      <c r="I2" s="44"/>
      <c r="J2" s="44"/>
      <c r="K2" s="44"/>
      <c r="L2" s="44"/>
      <c r="M2" s="44"/>
      <c r="N2" s="44"/>
      <c r="O2" s="44"/>
      <c r="P2" s="44"/>
    </row>
    <row r="3" spans="1:21" s="19" customFormat="1" x14ac:dyDescent="0.2">
      <c r="A3" s="10" t="s">
        <v>26</v>
      </c>
      <c r="B3" s="7" t="s">
        <v>83</v>
      </c>
      <c r="C3" s="40">
        <v>77.702399999999997</v>
      </c>
      <c r="D3" s="18"/>
      <c r="E3" s="18"/>
      <c r="F3" s="18"/>
      <c r="G3" s="32"/>
      <c r="H3" s="32"/>
      <c r="I3" s="20"/>
      <c r="J3" s="20"/>
      <c r="K3" s="20"/>
      <c r="L3" s="20"/>
      <c r="M3" s="20"/>
      <c r="N3" s="20"/>
      <c r="O3" s="20"/>
      <c r="P3" s="20"/>
    </row>
    <row r="4" spans="1:21" s="19" customFormat="1" x14ac:dyDescent="0.2">
      <c r="A4" s="10" t="s">
        <v>25</v>
      </c>
      <c r="B4" s="7" t="s">
        <v>83</v>
      </c>
      <c r="C4" s="40">
        <v>90.4756</v>
      </c>
      <c r="D4" s="18"/>
      <c r="E4" s="18"/>
      <c r="F4" s="18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21" s="19" customFormat="1" ht="16" thickBot="1" x14ac:dyDescent="0.25">
      <c r="A5" s="9" t="s">
        <v>24</v>
      </c>
      <c r="B5" s="21" t="s">
        <v>83</v>
      </c>
      <c r="C5" s="57">
        <v>62.52</v>
      </c>
      <c r="D5" s="33"/>
      <c r="E5" s="32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21" s="19" customFormat="1" x14ac:dyDescent="0.2">
      <c r="A6" s="18"/>
      <c r="B6" s="32"/>
      <c r="C6" s="34"/>
      <c r="D6" s="33"/>
      <c r="E6" s="32"/>
      <c r="F6" s="33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21" s="19" customFormat="1" x14ac:dyDescent="0.2">
      <c r="A7" s="32"/>
      <c r="B7" s="32"/>
      <c r="C7" s="32"/>
      <c r="D7" s="32"/>
      <c r="E7" s="32"/>
      <c r="F7" s="32"/>
      <c r="G7" s="32"/>
      <c r="H7" s="32"/>
      <c r="I7" s="43"/>
      <c r="J7" s="43"/>
      <c r="K7" s="32"/>
      <c r="L7" s="32"/>
      <c r="M7" s="32"/>
      <c r="N7" s="32"/>
      <c r="O7" s="32"/>
      <c r="P7" s="32"/>
    </row>
    <row r="8" spans="1:21" s="19" customFormat="1" x14ac:dyDescent="0.2">
      <c r="A8" s="32"/>
      <c r="B8" s="32"/>
      <c r="C8" s="32"/>
      <c r="D8" s="32"/>
      <c r="E8" s="32"/>
      <c r="F8" s="32"/>
      <c r="G8" s="32"/>
      <c r="M8" s="32"/>
    </row>
    <row r="9" spans="1:21" s="19" customFormat="1" x14ac:dyDescent="0.2">
      <c r="A9" s="32"/>
      <c r="B9" s="32"/>
      <c r="C9" s="32"/>
      <c r="D9" s="32"/>
      <c r="E9" s="32"/>
      <c r="F9" s="32"/>
      <c r="G9" s="32"/>
      <c r="M9" s="32"/>
    </row>
    <row r="10" spans="1:21" s="19" customFormat="1" x14ac:dyDescent="0.2">
      <c r="A10" s="32"/>
      <c r="B10" s="45"/>
      <c r="C10" s="45"/>
      <c r="D10" s="32"/>
      <c r="E10" s="32"/>
      <c r="F10" s="32"/>
      <c r="G10" s="32"/>
    </row>
    <row r="11" spans="1:21" s="19" customForma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</row>
    <row r="12" spans="1:21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21" s="19" customForma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46"/>
      <c r="L13" s="45"/>
      <c r="M13" s="45"/>
      <c r="N13" s="46"/>
      <c r="P13" s="45"/>
      <c r="Q13" s="45"/>
      <c r="R13" s="46"/>
      <c r="T13" s="45"/>
    </row>
    <row r="14" spans="1:21" ht="16" customHeight="1" x14ac:dyDescent="0.2">
      <c r="A14" s="18"/>
      <c r="B14" s="33"/>
      <c r="C14" s="33"/>
      <c r="D14" s="32"/>
      <c r="E14" s="33"/>
      <c r="F14" s="47"/>
      <c r="G14" s="48"/>
      <c r="H14" s="48"/>
      <c r="I14" s="48"/>
      <c r="J14" s="33"/>
      <c r="L14" s="32"/>
      <c r="M14" s="32"/>
      <c r="N14" s="33"/>
      <c r="O14" s="19"/>
      <c r="P14" s="107"/>
      <c r="Q14" s="107"/>
      <c r="R14" s="33"/>
      <c r="S14" s="19"/>
      <c r="T14" s="107"/>
    </row>
    <row r="15" spans="1:21" x14ac:dyDescent="0.2">
      <c r="A15" s="18"/>
      <c r="B15" s="33"/>
      <c r="C15" s="33"/>
      <c r="D15" s="32"/>
      <c r="E15" s="32"/>
      <c r="G15" s="18"/>
      <c r="H15" s="32"/>
      <c r="I15" s="32"/>
      <c r="J15" s="32"/>
      <c r="L15" s="20"/>
      <c r="M15" s="20"/>
      <c r="N15" s="107"/>
      <c r="O15" s="19"/>
      <c r="P15" s="20"/>
      <c r="Q15" s="20"/>
      <c r="R15" s="107"/>
      <c r="S15" s="19"/>
      <c r="T15" s="20"/>
    </row>
    <row r="16" spans="1:21" ht="15" customHeight="1" x14ac:dyDescent="0.2">
      <c r="A16" s="20"/>
      <c r="B16" s="33"/>
      <c r="C16" s="33"/>
      <c r="D16" s="32"/>
      <c r="E16" s="32"/>
      <c r="G16" s="20"/>
      <c r="H16" s="32"/>
      <c r="I16" s="32"/>
      <c r="J16" s="32"/>
      <c r="K16" s="45"/>
      <c r="L16" s="114"/>
      <c r="M16" s="114"/>
      <c r="N16" s="107"/>
      <c r="O16" s="45"/>
      <c r="P16" s="114"/>
      <c r="Q16" s="114"/>
      <c r="R16" s="107"/>
      <c r="S16" s="45"/>
      <c r="T16" s="114"/>
      <c r="U16" s="114"/>
    </row>
    <row r="17" spans="1:21" x14ac:dyDescent="0.2">
      <c r="A17" s="20"/>
      <c r="B17" s="33"/>
      <c r="C17" s="33"/>
      <c r="D17" s="32"/>
      <c r="E17" s="32"/>
      <c r="G17" s="20"/>
      <c r="H17" s="32"/>
      <c r="I17" s="32"/>
      <c r="J17" s="32"/>
      <c r="K17" s="114"/>
      <c r="L17" s="114"/>
      <c r="M17" s="114"/>
      <c r="N17" s="107"/>
      <c r="O17" s="114"/>
      <c r="P17" s="114"/>
      <c r="Q17" s="114"/>
      <c r="R17" s="107"/>
      <c r="S17" s="114"/>
      <c r="T17" s="114"/>
      <c r="U17" s="114"/>
    </row>
    <row r="18" spans="1:21" x14ac:dyDescent="0.2">
      <c r="A18" s="20"/>
      <c r="B18" s="33"/>
      <c r="C18" s="33"/>
      <c r="D18" s="32"/>
      <c r="E18" s="32"/>
      <c r="G18" s="20"/>
      <c r="H18" s="32"/>
      <c r="I18" s="32"/>
      <c r="J18" s="32"/>
      <c r="K18" s="114"/>
      <c r="L18" s="114"/>
      <c r="M18" s="114"/>
      <c r="N18" s="107"/>
      <c r="O18" s="114"/>
      <c r="P18" s="114"/>
      <c r="Q18" s="114"/>
      <c r="R18" s="107"/>
      <c r="S18" s="114"/>
      <c r="T18" s="114"/>
      <c r="U18" s="114"/>
    </row>
    <row r="19" spans="1:21" x14ac:dyDescent="0.2">
      <c r="A19" s="20"/>
      <c r="B19" s="33"/>
      <c r="C19" s="33"/>
      <c r="D19" s="32"/>
      <c r="E19" s="32"/>
      <c r="G19" s="20"/>
      <c r="H19" s="32"/>
      <c r="I19" s="32"/>
      <c r="J19" s="32"/>
      <c r="L19" s="20"/>
      <c r="O19" s="20"/>
      <c r="P19" s="19"/>
      <c r="Q19" s="19"/>
      <c r="R19" s="20"/>
      <c r="S19" s="19"/>
      <c r="T19" s="19"/>
      <c r="U19" s="20"/>
    </row>
    <row r="20" spans="1:21" x14ac:dyDescent="0.2">
      <c r="L20" s="32"/>
    </row>
    <row r="21" spans="1:21" x14ac:dyDescent="0.2">
      <c r="L21" s="3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6"/>
  <sheetViews>
    <sheetView workbookViewId="0">
      <selection activeCell="D1" sqref="D1"/>
    </sheetView>
  </sheetViews>
  <sheetFormatPr baseColWidth="10" defaultColWidth="8.83203125" defaultRowHeight="15" x14ac:dyDescent="0.2"/>
  <cols>
    <col min="3" max="3" width="9.1640625" customWidth="1"/>
    <col min="5" max="5" width="9.5" bestFit="1" customWidth="1"/>
    <col min="6" max="6" width="9.33203125" bestFit="1" customWidth="1"/>
    <col min="7" max="7" width="9" bestFit="1" customWidth="1"/>
    <col min="8" max="8" width="9.5" bestFit="1" customWidth="1"/>
    <col min="9" max="9" width="9" customWidth="1"/>
    <col min="10" max="10" width="9.33203125" bestFit="1" customWidth="1"/>
    <col min="11" max="11" width="9.5" bestFit="1" customWidth="1"/>
    <col min="12" max="12" width="9.33203125" bestFit="1" customWidth="1"/>
    <col min="13" max="13" width="9.1640625" bestFit="1" customWidth="1"/>
    <col min="14" max="14" width="9" bestFit="1" customWidth="1"/>
    <col min="15" max="15" width="9.664062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08" t="s">
        <v>20</v>
      </c>
      <c r="B1" s="109"/>
      <c r="C1" s="4" t="s">
        <v>19</v>
      </c>
      <c r="D1" s="79" t="e">
        <f>RTD("tickerplantrtdserver",,"17#2#1#6069#USDINRCOMP Fwd ME 0M#S#Descr.")</f>
        <v>#N/A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1:18" s="19" customFormat="1" ht="15.75" customHeight="1" x14ac:dyDescent="0.2">
      <c r="A2" s="103" t="s">
        <v>6</v>
      </c>
      <c r="B2" s="104"/>
      <c r="C2" s="77" t="s">
        <v>5</v>
      </c>
      <c r="D2" s="75" t="s">
        <v>84</v>
      </c>
      <c r="E2" s="75" t="s">
        <v>85</v>
      </c>
      <c r="F2" s="75" t="s">
        <v>86</v>
      </c>
      <c r="G2" s="75" t="s">
        <v>87</v>
      </c>
      <c r="H2" s="75" t="s">
        <v>88</v>
      </c>
      <c r="I2" s="75" t="s">
        <v>89</v>
      </c>
      <c r="J2" s="75" t="s">
        <v>90</v>
      </c>
      <c r="K2" s="75" t="s">
        <v>91</v>
      </c>
      <c r="L2" s="75" t="s">
        <v>92</v>
      </c>
      <c r="M2" s="75" t="s">
        <v>93</v>
      </c>
      <c r="N2" s="75" t="s">
        <v>94</v>
      </c>
      <c r="O2" s="76" t="s">
        <v>95</v>
      </c>
      <c r="P2" s="44"/>
    </row>
    <row r="3" spans="1:18" s="19" customFormat="1" x14ac:dyDescent="0.2">
      <c r="A3" s="111" t="s">
        <v>4</v>
      </c>
      <c r="B3" s="112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  <c r="P3" s="20"/>
    </row>
    <row r="4" spans="1:18" s="19" customFormat="1" x14ac:dyDescent="0.2">
      <c r="A4" s="103" t="s">
        <v>106</v>
      </c>
      <c r="B4" s="104"/>
      <c r="C4" s="70">
        <v>1.5</v>
      </c>
      <c r="D4" s="70">
        <v>0.5</v>
      </c>
      <c r="E4" s="70">
        <v>24</v>
      </c>
      <c r="F4" s="70">
        <v>49</v>
      </c>
      <c r="G4" s="70">
        <v>74</v>
      </c>
      <c r="H4" s="70">
        <v>98.5</v>
      </c>
      <c r="I4" s="70">
        <v>123.5</v>
      </c>
      <c r="J4" s="70">
        <v>148</v>
      </c>
      <c r="K4" s="70">
        <v>171.5</v>
      </c>
      <c r="L4" s="70">
        <v>198.5</v>
      </c>
      <c r="M4" s="70">
        <v>221.5</v>
      </c>
      <c r="N4" s="70">
        <v>243.5</v>
      </c>
      <c r="O4" s="71">
        <v>270</v>
      </c>
      <c r="P4" s="32"/>
    </row>
    <row r="5" spans="1:18" s="19" customFormat="1" x14ac:dyDescent="0.2">
      <c r="A5" s="103" t="s">
        <v>107</v>
      </c>
      <c r="B5" s="104"/>
      <c r="C5" s="70">
        <v>4</v>
      </c>
      <c r="D5" s="70">
        <v>2.5</v>
      </c>
      <c r="E5" s="70">
        <v>28</v>
      </c>
      <c r="F5" s="70">
        <v>54</v>
      </c>
      <c r="G5" s="70">
        <v>79</v>
      </c>
      <c r="H5" s="70">
        <v>103.5</v>
      </c>
      <c r="I5" s="70">
        <v>128.5</v>
      </c>
      <c r="J5" s="70">
        <v>153</v>
      </c>
      <c r="K5" s="70">
        <v>176.5</v>
      </c>
      <c r="L5" s="70">
        <v>203.5</v>
      </c>
      <c r="M5" s="70">
        <v>226.5</v>
      </c>
      <c r="N5" s="70">
        <v>248.5</v>
      </c>
      <c r="O5" s="71">
        <v>275</v>
      </c>
      <c r="P5" s="32"/>
    </row>
    <row r="6" spans="1:18" s="19" customFormat="1" x14ac:dyDescent="0.2">
      <c r="A6" s="111" t="s">
        <v>3</v>
      </c>
      <c r="B6" s="112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P6" s="32"/>
    </row>
    <row r="7" spans="1:18" s="19" customFormat="1" x14ac:dyDescent="0.2">
      <c r="A7" s="103" t="s">
        <v>106</v>
      </c>
      <c r="B7" s="104"/>
      <c r="C7" s="74">
        <v>76.41</v>
      </c>
      <c r="D7" s="74">
        <v>76.454999999999998</v>
      </c>
      <c r="E7" s="74">
        <v>76.69</v>
      </c>
      <c r="F7" s="74">
        <v>76.94</v>
      </c>
      <c r="G7" s="74">
        <v>77.19</v>
      </c>
      <c r="H7" s="74">
        <v>77.435000000000002</v>
      </c>
      <c r="I7" s="74">
        <v>77.685000000000002</v>
      </c>
      <c r="J7" s="74">
        <v>77.930000000000007</v>
      </c>
      <c r="K7" s="74">
        <v>78.165000000000006</v>
      </c>
      <c r="L7" s="74">
        <v>78.435000000000002</v>
      </c>
      <c r="M7" s="74">
        <v>78.665000000000006</v>
      </c>
      <c r="N7" s="74">
        <v>78.885000000000005</v>
      </c>
      <c r="O7" s="78">
        <v>79.150000000000006</v>
      </c>
      <c r="P7" s="32"/>
    </row>
    <row r="8" spans="1:18" s="19" customFormat="1" x14ac:dyDescent="0.2">
      <c r="A8" s="121" t="s">
        <v>107</v>
      </c>
      <c r="B8" s="122"/>
      <c r="C8" s="74">
        <v>76.444999999999993</v>
      </c>
      <c r="D8" s="74">
        <v>76.484999999999999</v>
      </c>
      <c r="E8" s="74">
        <v>76.739999999999995</v>
      </c>
      <c r="F8" s="74">
        <v>77</v>
      </c>
      <c r="G8" s="74">
        <v>77.25</v>
      </c>
      <c r="H8" s="74">
        <v>77.49499999999999</v>
      </c>
      <c r="I8" s="74">
        <v>77.74499999999999</v>
      </c>
      <c r="J8" s="74">
        <v>77.989999999999995</v>
      </c>
      <c r="K8" s="74">
        <v>78.224999999999994</v>
      </c>
      <c r="L8" s="74">
        <v>78.49499999999999</v>
      </c>
      <c r="M8" s="74">
        <v>78.724999999999994</v>
      </c>
      <c r="N8" s="74">
        <v>78.944999999999993</v>
      </c>
      <c r="O8" s="78">
        <v>79.209999999999994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1.7902</v>
      </c>
      <c r="D10" s="70">
        <v>1.1934</v>
      </c>
      <c r="E10" s="70">
        <v>3.6958000000000002</v>
      </c>
      <c r="F10" s="70">
        <v>3.7128999999999999</v>
      </c>
      <c r="G10" s="70">
        <v>3.758</v>
      </c>
      <c r="H10" s="70">
        <v>3.7616999999999998</v>
      </c>
      <c r="I10" s="70">
        <v>3.8035999999999999</v>
      </c>
      <c r="J10" s="70">
        <v>3.819</v>
      </c>
      <c r="K10" s="70">
        <v>3.7902999999999998</v>
      </c>
      <c r="L10" s="70">
        <v>3.8363999999999998</v>
      </c>
      <c r="M10" s="70">
        <v>3.8311000000000002</v>
      </c>
      <c r="N10" s="70">
        <v>3.8237000000000001</v>
      </c>
      <c r="O10" s="71">
        <v>3.8247</v>
      </c>
    </row>
    <row r="11" spans="1:18" s="19" customFormat="1" ht="16" thickBot="1" x14ac:dyDescent="0.25">
      <c r="A11" s="117" t="s">
        <v>107</v>
      </c>
      <c r="B11" s="118"/>
      <c r="C11" s="72">
        <v>4.7744</v>
      </c>
      <c r="D11" s="72">
        <v>5.968</v>
      </c>
      <c r="E11" s="72">
        <v>4.3122999999999996</v>
      </c>
      <c r="F11" s="72">
        <v>4.0922999999999998</v>
      </c>
      <c r="G11" s="72">
        <v>4.0125000000000002</v>
      </c>
      <c r="H11" s="72">
        <v>3.9531999999999998</v>
      </c>
      <c r="I11" s="72">
        <v>3.9581</v>
      </c>
      <c r="J11" s="72">
        <v>3.9485000000000001</v>
      </c>
      <c r="K11" s="72">
        <v>3.9013</v>
      </c>
      <c r="L11" s="72">
        <v>3.9335</v>
      </c>
      <c r="M11" s="72">
        <v>3.9180999999999999</v>
      </c>
      <c r="N11" s="72">
        <v>3.9026999999999998</v>
      </c>
      <c r="O11" s="73">
        <v>3.8959999999999999</v>
      </c>
    </row>
    <row r="12" spans="1:18" s="19" customFormat="1" ht="15.75" customHeight="1" x14ac:dyDescent="0.2"/>
    <row r="13" spans="1:18" s="19" customFormat="1" x14ac:dyDescent="0.2">
      <c r="Q13" s="36"/>
      <c r="R13" s="36"/>
    </row>
    <row r="14" spans="1:18" s="19" customFormat="1" x14ac:dyDescent="0.2">
      <c r="P14" s="45"/>
      <c r="Q14" s="45"/>
      <c r="R14" s="45"/>
    </row>
    <row r="15" spans="1:18" s="19" customFormat="1" x14ac:dyDescent="0.2">
      <c r="P15" s="20"/>
      <c r="Q15" s="20"/>
      <c r="R15" s="20"/>
    </row>
    <row r="16" spans="1:18" s="19" customFormat="1" x14ac:dyDescent="0.2">
      <c r="A16" s="20"/>
      <c r="B16" s="33"/>
      <c r="C16" s="33"/>
      <c r="D16" s="32"/>
      <c r="E16" s="32"/>
      <c r="G16" s="20"/>
      <c r="H16" s="32"/>
      <c r="I16" s="32"/>
      <c r="J16" s="32"/>
      <c r="L16" s="18"/>
      <c r="P16" s="18"/>
    </row>
    <row r="17" spans="1:16" s="19" customFormat="1" x14ac:dyDescent="0.2">
      <c r="A17" s="20"/>
      <c r="B17" s="33"/>
      <c r="C17" s="33"/>
      <c r="D17" s="32"/>
      <c r="E17" s="32"/>
      <c r="G17" s="20"/>
      <c r="H17" s="32"/>
      <c r="I17" s="32"/>
      <c r="J17" s="32"/>
      <c r="L17" s="18"/>
      <c r="P17" s="18"/>
    </row>
    <row r="18" spans="1:16" s="19" customFormat="1" x14ac:dyDescent="0.2">
      <c r="A18" s="20"/>
      <c r="B18" s="33"/>
      <c r="C18" s="33"/>
      <c r="D18" s="32"/>
      <c r="E18" s="32"/>
      <c r="G18" s="20"/>
      <c r="H18" s="32"/>
      <c r="I18" s="32"/>
      <c r="J18" s="32"/>
      <c r="L18" s="18"/>
      <c r="P18" s="18"/>
    </row>
    <row r="19" spans="1:16" s="19" customForma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s="19" customForma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6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6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6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6" s="5" customForma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6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6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6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6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6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6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1:16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1:16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1:15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</row>
    <row r="35" spans="1:15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1:15" x14ac:dyDescent="0.2">
      <c r="A36" s="1"/>
      <c r="B36" s="1"/>
    </row>
  </sheetData>
  <mergeCells count="5">
    <mergeCell ref="A10:B10"/>
    <mergeCell ref="A11:B11"/>
    <mergeCell ref="A8:B8"/>
    <mergeCell ref="A9:B9"/>
    <mergeCell ref="C9:O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3"/>
  <sheetViews>
    <sheetView workbookViewId="0">
      <selection activeCell="U20" sqref="U20"/>
    </sheetView>
  </sheetViews>
  <sheetFormatPr baseColWidth="10" defaultColWidth="8.83203125" defaultRowHeight="15" x14ac:dyDescent="0.2"/>
  <cols>
    <col min="4" max="4" width="9.5" bestFit="1" customWidth="1"/>
    <col min="5" max="5" width="9.33203125" bestFit="1" customWidth="1"/>
    <col min="6" max="6" width="9" bestFit="1" customWidth="1"/>
    <col min="7" max="7" width="9.5" bestFit="1" customWidth="1"/>
    <col min="8" max="8" width="9" bestFit="1" customWidth="1"/>
    <col min="9" max="9" width="9.33203125" bestFit="1" customWidth="1"/>
    <col min="10" max="10" width="9.5" bestFit="1" customWidth="1"/>
    <col min="11" max="11" width="9.33203125" bestFit="1" customWidth="1"/>
    <col min="12" max="12" width="9.1640625" bestFit="1" customWidth="1"/>
    <col min="13" max="13" width="9" bestFit="1" customWidth="1"/>
    <col min="14" max="14" width="9.6640625" bestFit="1" customWidth="1"/>
    <col min="15" max="15" width="9.3320312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17</v>
      </c>
      <c r="E1" s="4" t="s">
        <v>16</v>
      </c>
      <c r="F1" s="4" t="s">
        <v>15</v>
      </c>
      <c r="G1" s="4" t="s">
        <v>14</v>
      </c>
      <c r="H1" s="4" t="s">
        <v>13</v>
      </c>
      <c r="I1" s="4" t="s">
        <v>12</v>
      </c>
      <c r="J1" s="4" t="s">
        <v>11</v>
      </c>
      <c r="K1" s="4" t="s">
        <v>10</v>
      </c>
      <c r="L1" s="4" t="s">
        <v>9</v>
      </c>
      <c r="M1" s="4" t="s">
        <v>8</v>
      </c>
      <c r="N1" s="4" t="s">
        <v>7</v>
      </c>
      <c r="O1" s="3" t="s">
        <v>18</v>
      </c>
    </row>
    <row r="2" spans="1:18" s="19" customFormat="1" ht="15.75" customHeight="1" x14ac:dyDescent="0.2">
      <c r="A2" s="121" t="s">
        <v>6</v>
      </c>
      <c r="B2" s="122"/>
      <c r="C2" s="77" t="s">
        <v>5</v>
      </c>
      <c r="D2" s="75" t="s">
        <v>85</v>
      </c>
      <c r="E2" s="75" t="s">
        <v>96</v>
      </c>
      <c r="F2" s="75" t="s">
        <v>97</v>
      </c>
      <c r="G2" s="75" t="s">
        <v>88</v>
      </c>
      <c r="H2" s="75" t="s">
        <v>98</v>
      </c>
      <c r="I2" s="75" t="s">
        <v>99</v>
      </c>
      <c r="J2" s="75" t="s">
        <v>91</v>
      </c>
      <c r="K2" s="75" t="s">
        <v>100</v>
      </c>
      <c r="L2" s="75" t="s">
        <v>93</v>
      </c>
      <c r="M2" s="75" t="s">
        <v>94</v>
      </c>
      <c r="N2" s="75" t="s">
        <v>101</v>
      </c>
      <c r="O2" s="76" t="s">
        <v>102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1.5</v>
      </c>
      <c r="D4" s="70">
        <v>23.189699999999998</v>
      </c>
      <c r="E4" s="70">
        <v>48.218800000000002</v>
      </c>
      <c r="F4" s="70">
        <v>71.580600000000004</v>
      </c>
      <c r="G4" s="70">
        <v>96.129000000000005</v>
      </c>
      <c r="H4" s="70">
        <v>122.6379</v>
      </c>
      <c r="I4" s="70">
        <v>146.4194</v>
      </c>
      <c r="J4" s="70">
        <v>171.5</v>
      </c>
      <c r="K4" s="70">
        <v>195.8871</v>
      </c>
      <c r="L4" s="70">
        <v>220.70689999999999</v>
      </c>
      <c r="M4" s="70">
        <v>243.5</v>
      </c>
      <c r="N4" s="70">
        <v>268.39389999999997</v>
      </c>
      <c r="O4" s="71">
        <v>292.48480000000001</v>
      </c>
      <c r="P4" s="32"/>
    </row>
    <row r="5" spans="1:18" s="19" customFormat="1" x14ac:dyDescent="0.2">
      <c r="A5" s="121" t="s">
        <v>107</v>
      </c>
      <c r="B5" s="122"/>
      <c r="C5" s="70">
        <v>4</v>
      </c>
      <c r="D5" s="70">
        <v>27.120699999999999</v>
      </c>
      <c r="E5" s="70">
        <v>53.1875</v>
      </c>
      <c r="F5" s="70">
        <v>76.580600000000004</v>
      </c>
      <c r="G5" s="70">
        <v>101.129</v>
      </c>
      <c r="H5" s="70">
        <v>127.6379</v>
      </c>
      <c r="I5" s="70">
        <v>151.4194</v>
      </c>
      <c r="J5" s="70">
        <v>176.5</v>
      </c>
      <c r="K5" s="70">
        <v>200.8871</v>
      </c>
      <c r="L5" s="70">
        <v>225.70689999999999</v>
      </c>
      <c r="M5" s="70">
        <v>248.5</v>
      </c>
      <c r="N5" s="70">
        <v>273.39389999999997</v>
      </c>
      <c r="O5" s="71">
        <v>297.48480000000001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4">
        <v>76.41</v>
      </c>
      <c r="D7" s="74">
        <v>76.681897000000006</v>
      </c>
      <c r="E7" s="74">
        <v>76.932187999999996</v>
      </c>
      <c r="F7" s="74">
        <v>77.165806000000003</v>
      </c>
      <c r="G7" s="74">
        <v>77.411290000000008</v>
      </c>
      <c r="H7" s="74">
        <v>77.676378999999997</v>
      </c>
      <c r="I7" s="74">
        <v>77.914194000000009</v>
      </c>
      <c r="J7" s="74">
        <v>78.165000000000006</v>
      </c>
      <c r="K7" s="74">
        <v>78.408871000000005</v>
      </c>
      <c r="L7" s="74">
        <v>78.657069000000007</v>
      </c>
      <c r="M7" s="74">
        <v>78.885000000000005</v>
      </c>
      <c r="N7" s="74">
        <v>79.133938999999998</v>
      </c>
      <c r="O7" s="78">
        <v>79.374848</v>
      </c>
      <c r="P7" s="32"/>
    </row>
    <row r="8" spans="1:18" s="19" customFormat="1" x14ac:dyDescent="0.2">
      <c r="A8" s="121" t="s">
        <v>107</v>
      </c>
      <c r="B8" s="122"/>
      <c r="C8" s="74">
        <v>76.444999999999993</v>
      </c>
      <c r="D8" s="74">
        <v>76.731206999999998</v>
      </c>
      <c r="E8" s="74">
        <v>76.991874999999993</v>
      </c>
      <c r="F8" s="74">
        <v>77.225805999999992</v>
      </c>
      <c r="G8" s="74">
        <v>77.471289999999996</v>
      </c>
      <c r="H8" s="74">
        <v>77.736378999999999</v>
      </c>
      <c r="I8" s="74">
        <v>77.974193999999997</v>
      </c>
      <c r="J8" s="74">
        <v>78.224999999999994</v>
      </c>
      <c r="K8" s="74">
        <v>78.468870999999993</v>
      </c>
      <c r="L8" s="74">
        <v>78.717068999999995</v>
      </c>
      <c r="M8" s="74">
        <v>78.944999999999993</v>
      </c>
      <c r="N8" s="74">
        <v>79.193939</v>
      </c>
      <c r="O8" s="78">
        <v>79.434847999999988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1.7902</v>
      </c>
      <c r="D10" s="70">
        <v>3.6901000000000002</v>
      </c>
      <c r="E10" s="70">
        <v>3.7126000000000001</v>
      </c>
      <c r="F10" s="70">
        <v>3.7549999999999999</v>
      </c>
      <c r="G10" s="70">
        <v>3.7614000000000001</v>
      </c>
      <c r="H10" s="70">
        <v>3.8264</v>
      </c>
      <c r="I10" s="70">
        <v>3.8195000000000001</v>
      </c>
      <c r="J10" s="70">
        <v>3.7902999999999998</v>
      </c>
      <c r="K10" s="70">
        <v>3.8323999999999998</v>
      </c>
      <c r="L10" s="70">
        <v>3.8313000000000001</v>
      </c>
      <c r="M10" s="70">
        <v>3.8237000000000001</v>
      </c>
      <c r="N10" s="70">
        <v>3.8246000000000002</v>
      </c>
      <c r="O10" s="71">
        <v>3.8252999999999999</v>
      </c>
    </row>
    <row r="11" spans="1:18" s="19" customFormat="1" ht="16" thickBot="1" x14ac:dyDescent="0.25">
      <c r="A11" s="117" t="s">
        <v>107</v>
      </c>
      <c r="B11" s="118"/>
      <c r="C11" s="72">
        <v>4.7744</v>
      </c>
      <c r="D11" s="72">
        <v>4.3160999999999996</v>
      </c>
      <c r="E11" s="72">
        <v>4.0956999999999999</v>
      </c>
      <c r="F11" s="72">
        <v>4.0178000000000003</v>
      </c>
      <c r="G11" s="72">
        <v>3.9575999999999998</v>
      </c>
      <c r="H11" s="72">
        <v>3.9828999999999999</v>
      </c>
      <c r="I11" s="72">
        <v>3.9504000000000001</v>
      </c>
      <c r="J11" s="72">
        <v>3.9013</v>
      </c>
      <c r="K11" s="72">
        <v>3.9308000000000001</v>
      </c>
      <c r="L11" s="72">
        <v>3.9186000000000001</v>
      </c>
      <c r="M11" s="72">
        <v>3.9026999999999998</v>
      </c>
      <c r="N11" s="72">
        <v>3.8963999999999999</v>
      </c>
      <c r="O11" s="73">
        <v>3.8912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33"/>
      <c r="C13" s="33"/>
      <c r="D13" s="107"/>
      <c r="E13" s="33"/>
      <c r="F13" s="33"/>
      <c r="G13" s="33"/>
      <c r="H13" s="46"/>
      <c r="I13" s="46"/>
      <c r="J13" s="46"/>
      <c r="L13" s="45"/>
      <c r="M13" s="45"/>
      <c r="N13" s="45"/>
      <c r="Q13" s="36"/>
      <c r="R13" s="36"/>
    </row>
    <row r="14" spans="1:18" s="19" customFormat="1" x14ac:dyDescent="0.2">
      <c r="A14" s="18"/>
      <c r="B14" s="33"/>
      <c r="C14" s="33"/>
      <c r="D14" s="107"/>
      <c r="E14" s="33"/>
      <c r="F14" s="47"/>
      <c r="G14" s="48"/>
      <c r="H14" s="48"/>
      <c r="I14" s="48"/>
      <c r="J14" s="33"/>
      <c r="L14" s="107"/>
      <c r="M14" s="107"/>
      <c r="N14" s="107"/>
      <c r="P14" s="45"/>
      <c r="Q14" s="45"/>
      <c r="R14" s="45"/>
    </row>
    <row r="15" spans="1:18" s="19" customFormat="1" x14ac:dyDescent="0.2">
      <c r="A15" s="18"/>
      <c r="B15" s="33"/>
      <c r="C15" s="33"/>
      <c r="D15" s="107"/>
      <c r="E15" s="33"/>
      <c r="F15" s="47"/>
      <c r="G15" s="48"/>
      <c r="H15" s="48"/>
      <c r="I15" s="48"/>
      <c r="J15" s="33"/>
      <c r="L15" s="107"/>
      <c r="M15" s="107"/>
      <c r="N15" s="107"/>
      <c r="P15" s="45"/>
      <c r="Q15" s="45"/>
      <c r="R15" s="45"/>
    </row>
    <row r="16" spans="1:18" s="19" customFormat="1" x14ac:dyDescent="0.2">
      <c r="A16" s="18"/>
      <c r="B16" s="33"/>
      <c r="C16" s="33"/>
      <c r="D16" s="107"/>
      <c r="E16" s="33"/>
      <c r="F16" s="47"/>
      <c r="G16" s="48"/>
      <c r="H16" s="48"/>
      <c r="I16" s="48"/>
      <c r="J16" s="33"/>
      <c r="L16" s="107"/>
      <c r="M16" s="107"/>
      <c r="N16" s="107"/>
      <c r="P16" s="45"/>
      <c r="Q16" s="45"/>
      <c r="R16" s="45"/>
    </row>
    <row r="17" spans="1:18" s="19" customFormat="1" x14ac:dyDescent="0.2">
      <c r="A17" s="18"/>
      <c r="B17" s="33"/>
      <c r="C17" s="33"/>
      <c r="D17" s="107"/>
      <c r="E17" s="33"/>
      <c r="F17" s="47"/>
      <c r="G17" s="48"/>
      <c r="H17" s="48"/>
      <c r="I17" s="48"/>
      <c r="J17" s="33"/>
      <c r="L17" s="107"/>
      <c r="M17" s="107"/>
      <c r="N17" s="107"/>
      <c r="P17" s="45"/>
      <c r="Q17" s="45"/>
      <c r="R17" s="45"/>
    </row>
    <row r="18" spans="1:18" s="19" customFormat="1" x14ac:dyDescent="0.2">
      <c r="A18" s="18"/>
      <c r="B18" s="33"/>
      <c r="C18" s="33"/>
      <c r="D18" s="107"/>
      <c r="E18" s="33"/>
      <c r="F18" s="47"/>
      <c r="G18" s="48"/>
      <c r="H18" s="48"/>
      <c r="I18" s="48"/>
      <c r="J18" s="33"/>
      <c r="L18" s="107"/>
      <c r="M18" s="107"/>
      <c r="N18" s="107"/>
      <c r="P18" s="45"/>
      <c r="Q18" s="45"/>
      <c r="R18" s="45"/>
    </row>
    <row r="19" spans="1:18" s="19" customFormat="1" x14ac:dyDescent="0.2">
      <c r="A19" s="18"/>
      <c r="B19" s="33"/>
      <c r="C19" s="33"/>
      <c r="D19" s="107"/>
      <c r="E19" s="33"/>
      <c r="F19" s="47"/>
      <c r="G19" s="48"/>
      <c r="H19" s="48"/>
      <c r="I19" s="48"/>
      <c r="J19" s="33"/>
      <c r="L19" s="107"/>
      <c r="M19" s="107"/>
      <c r="N19" s="107"/>
      <c r="P19" s="45"/>
      <c r="Q19" s="45"/>
      <c r="R19" s="45"/>
    </row>
    <row r="20" spans="1:18" s="19" customFormat="1" x14ac:dyDescent="0.2">
      <c r="A20" s="18"/>
      <c r="B20" s="33"/>
      <c r="C20" s="33"/>
      <c r="D20" s="107"/>
      <c r="E20" s="33"/>
      <c r="F20" s="47"/>
      <c r="G20" s="48"/>
      <c r="H20" s="48"/>
      <c r="I20" s="48"/>
      <c r="J20" s="33"/>
      <c r="L20" s="107"/>
      <c r="M20" s="107"/>
      <c r="N20" s="107"/>
      <c r="P20" s="45"/>
      <c r="Q20" s="45"/>
      <c r="R20" s="45"/>
    </row>
    <row r="21" spans="1:18" x14ac:dyDescent="0.2">
      <c r="A21" s="18"/>
      <c r="B21" s="33"/>
      <c r="C21" s="33"/>
      <c r="D21" s="107"/>
      <c r="E21" s="33"/>
      <c r="F21" s="47"/>
      <c r="G21" s="48"/>
      <c r="H21" s="48"/>
      <c r="I21" s="48"/>
      <c r="J21" s="33"/>
      <c r="K21" s="19"/>
      <c r="L21" s="107"/>
      <c r="M21" s="107"/>
      <c r="N21" s="107"/>
      <c r="O21" s="19"/>
      <c r="P21" s="45"/>
      <c r="Q21" s="45"/>
      <c r="R21" s="45"/>
    </row>
    <row r="22" spans="1:18" x14ac:dyDescent="0.2">
      <c r="A22" s="18"/>
      <c r="B22" s="33"/>
      <c r="C22" s="33"/>
      <c r="D22" s="107"/>
      <c r="E22" s="33"/>
      <c r="F22" s="47"/>
      <c r="G22" s="48"/>
      <c r="H22" s="48"/>
      <c r="I22" s="48"/>
      <c r="J22" s="33"/>
      <c r="K22" s="19"/>
      <c r="L22" s="107"/>
      <c r="M22" s="107"/>
      <c r="N22" s="107"/>
      <c r="O22" s="19"/>
      <c r="P22" s="45"/>
      <c r="Q22" s="45"/>
      <c r="R22" s="45"/>
    </row>
    <row r="23" spans="1:18" x14ac:dyDescent="0.2">
      <c r="A23" s="18"/>
      <c r="B23" s="33"/>
      <c r="C23" s="33"/>
      <c r="D23" s="107"/>
      <c r="E23" s="33"/>
      <c r="F23" s="47"/>
      <c r="G23" s="48"/>
      <c r="H23" s="48"/>
      <c r="I23" s="48"/>
      <c r="J23" s="33"/>
      <c r="K23" s="19"/>
      <c r="L23" s="107"/>
      <c r="M23" s="107"/>
      <c r="N23" s="107"/>
      <c r="O23" s="19"/>
      <c r="P23" s="45"/>
      <c r="Q23" s="45"/>
      <c r="R23" s="45"/>
    </row>
    <row r="24" spans="1:18" s="5" customFormat="1" x14ac:dyDescent="0.2">
      <c r="A24" s="18"/>
      <c r="B24" s="33"/>
      <c r="C24" s="33"/>
      <c r="D24" s="107"/>
      <c r="E24" s="33"/>
      <c r="F24" s="47"/>
      <c r="G24" s="48"/>
      <c r="H24" s="48"/>
      <c r="I24" s="48"/>
      <c r="J24" s="33"/>
      <c r="K24" s="19"/>
      <c r="L24" s="107"/>
      <c r="M24" s="107"/>
      <c r="N24" s="107"/>
      <c r="O24" s="19"/>
      <c r="P24" s="45"/>
      <c r="Q24" s="45"/>
      <c r="R24" s="45"/>
    </row>
    <row r="25" spans="1:18" x14ac:dyDescent="0.2">
      <c r="A25" s="18"/>
      <c r="B25" s="33"/>
      <c r="C25" s="33"/>
      <c r="D25" s="107"/>
      <c r="E25" s="33"/>
      <c r="F25" s="47"/>
      <c r="G25" s="48"/>
      <c r="H25" s="48"/>
      <c r="I25" s="48"/>
      <c r="J25" s="33"/>
      <c r="K25" s="19"/>
      <c r="L25" s="107"/>
      <c r="M25" s="107"/>
      <c r="N25" s="107"/>
      <c r="O25" s="19"/>
      <c r="P25" s="45"/>
      <c r="Q25" s="45"/>
      <c r="R25" s="45"/>
    </row>
    <row r="26" spans="1:18" x14ac:dyDescent="0.2">
      <c r="A26" s="18"/>
      <c r="B26" s="33"/>
      <c r="C26" s="33"/>
      <c r="D26" s="107"/>
      <c r="E26" s="33"/>
      <c r="F26" s="47"/>
      <c r="G26" s="48"/>
      <c r="H26" s="48"/>
      <c r="I26" s="48"/>
      <c r="J26" s="33"/>
      <c r="K26" s="19"/>
      <c r="L26" s="107"/>
      <c r="M26" s="107"/>
      <c r="N26" s="107"/>
      <c r="O26" s="19"/>
      <c r="P26" s="45"/>
      <c r="Q26" s="45"/>
      <c r="R26" s="45"/>
    </row>
    <row r="27" spans="1:18" x14ac:dyDescent="0.2">
      <c r="A27" s="18"/>
      <c r="B27" s="33"/>
      <c r="C27" s="33"/>
      <c r="D27" s="107"/>
      <c r="E27" s="33"/>
      <c r="F27" s="47"/>
      <c r="G27" s="48"/>
      <c r="H27" s="48"/>
      <c r="I27" s="48"/>
      <c r="J27" s="33"/>
      <c r="K27" s="19"/>
      <c r="L27" s="107"/>
      <c r="M27" s="107"/>
      <c r="N27" s="107"/>
      <c r="O27" s="19"/>
      <c r="P27" s="45"/>
      <c r="Q27" s="45"/>
      <c r="R27" s="45"/>
    </row>
    <row r="28" spans="1:18" x14ac:dyDescent="0.2">
      <c r="A28" s="18"/>
      <c r="B28" s="33"/>
      <c r="C28" s="33"/>
      <c r="D28" s="107"/>
      <c r="E28" s="33"/>
      <c r="F28" s="47"/>
      <c r="G28" s="48"/>
      <c r="H28" s="48"/>
      <c r="I28" s="48"/>
      <c r="J28" s="33"/>
      <c r="K28" s="19"/>
      <c r="L28" s="107"/>
      <c r="M28" s="107"/>
      <c r="N28" s="107"/>
      <c r="O28" s="19"/>
      <c r="P28" s="45"/>
      <c r="Q28" s="45"/>
      <c r="R28" s="45"/>
    </row>
    <row r="29" spans="1:18" x14ac:dyDescent="0.2">
      <c r="A29" s="18"/>
      <c r="B29" s="33"/>
      <c r="C29" s="33"/>
      <c r="D29" s="107"/>
      <c r="E29" s="33"/>
      <c r="F29" s="47"/>
      <c r="G29" s="48"/>
      <c r="H29" s="48"/>
      <c r="I29" s="48"/>
      <c r="J29" s="33"/>
      <c r="K29" s="19"/>
      <c r="L29" s="107"/>
      <c r="M29" s="107"/>
      <c r="N29" s="107"/>
      <c r="O29" s="19"/>
      <c r="P29" s="45"/>
      <c r="Q29" s="45"/>
      <c r="R29" s="45"/>
    </row>
    <row r="30" spans="1:18" x14ac:dyDescent="0.2">
      <c r="A30" s="18"/>
      <c r="B30" s="33"/>
      <c r="C30" s="33"/>
      <c r="D30" s="107"/>
      <c r="E30" s="33"/>
      <c r="F30" s="47"/>
      <c r="G30" s="48"/>
      <c r="H30" s="48"/>
      <c r="I30" s="48"/>
      <c r="J30" s="33"/>
      <c r="K30" s="19"/>
      <c r="L30" s="107"/>
      <c r="M30" s="107"/>
      <c r="N30" s="107"/>
      <c r="O30" s="19"/>
      <c r="P30" s="45"/>
      <c r="Q30" s="45"/>
      <c r="R30" s="45"/>
    </row>
    <row r="31" spans="1:18" x14ac:dyDescent="0.2">
      <c r="A31" s="18"/>
      <c r="B31" s="33"/>
      <c r="C31" s="33"/>
      <c r="D31" s="107"/>
      <c r="E31" s="33"/>
      <c r="F31" s="47"/>
      <c r="G31" s="48"/>
      <c r="H31" s="48"/>
      <c r="I31" s="48"/>
      <c r="J31" s="33"/>
      <c r="K31" s="19"/>
      <c r="L31" s="107"/>
      <c r="M31" s="107"/>
      <c r="N31" s="107"/>
      <c r="O31" s="19"/>
      <c r="P31" s="45"/>
      <c r="Q31" s="45"/>
      <c r="R31" s="45"/>
    </row>
    <row r="32" spans="1:18" x14ac:dyDescent="0.2">
      <c r="A32" s="18"/>
      <c r="B32" s="33"/>
      <c r="C32" s="33"/>
      <c r="D32" s="107"/>
      <c r="E32" s="33"/>
      <c r="F32" s="47"/>
      <c r="G32" s="48"/>
      <c r="H32" s="48"/>
      <c r="I32" s="48"/>
      <c r="J32" s="33"/>
      <c r="K32" s="19"/>
      <c r="L32" s="107"/>
      <c r="M32" s="107"/>
      <c r="N32" s="107"/>
      <c r="O32" s="19"/>
      <c r="P32" s="45"/>
      <c r="Q32" s="45"/>
      <c r="R32" s="45"/>
    </row>
    <row r="33" spans="1:18" x14ac:dyDescent="0.2">
      <c r="A33" s="18"/>
      <c r="B33" s="33"/>
      <c r="C33" s="33"/>
      <c r="D33" s="107"/>
      <c r="E33" s="33"/>
      <c r="F33" s="47"/>
      <c r="G33" s="48"/>
      <c r="H33" s="48"/>
      <c r="I33" s="48"/>
      <c r="J33" s="33"/>
      <c r="K33" s="19"/>
      <c r="L33" s="107"/>
      <c r="M33" s="107"/>
      <c r="N33" s="107"/>
      <c r="O33" s="19"/>
      <c r="P33" s="45"/>
      <c r="Q33" s="45"/>
      <c r="R33" s="45"/>
    </row>
    <row r="36" spans="1:18" x14ac:dyDescent="0.2">
      <c r="A36" s="1"/>
      <c r="B36" s="1"/>
    </row>
    <row r="42" spans="1:18" x14ac:dyDescent="0.2">
      <c r="F42" s="86"/>
      <c r="G42" s="86"/>
    </row>
    <row r="43" spans="1:18" x14ac:dyDescent="0.2">
      <c r="F43" s="86"/>
      <c r="G43" s="86"/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0"/>
  <sheetViews>
    <sheetView tabSelected="1" workbookViewId="0">
      <selection activeCell="E33" sqref="E33"/>
    </sheetView>
  </sheetViews>
  <sheetFormatPr baseColWidth="10" defaultColWidth="8.83203125" defaultRowHeight="15" x14ac:dyDescent="0.2"/>
  <cols>
    <col min="3" max="3" width="9.5" bestFit="1" customWidth="1"/>
    <col min="4" max="4" width="9.33203125" bestFit="1" customWidth="1"/>
    <col min="5" max="5" width="9.5" bestFit="1" customWidth="1"/>
    <col min="6" max="6" width="9.33203125" bestFit="1" customWidth="1"/>
    <col min="7" max="7" width="9" bestFit="1" customWidth="1"/>
    <col min="8" max="8" width="9.5" bestFit="1" customWidth="1"/>
    <col min="9" max="9" width="9" customWidth="1"/>
    <col min="10" max="10" width="9.33203125" bestFit="1" customWidth="1"/>
    <col min="11" max="11" width="9.5" bestFit="1" customWidth="1"/>
    <col min="12" max="12" width="9.33203125" bestFit="1" customWidth="1"/>
    <col min="13" max="13" width="9.1640625" bestFit="1" customWidth="1"/>
    <col min="14" max="14" width="9" bestFit="1" customWidth="1"/>
    <col min="15" max="15" width="9.664062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23" s="19" customFormat="1" x14ac:dyDescent="0.2">
      <c r="A1" s="130" t="s">
        <v>20</v>
      </c>
      <c r="B1" s="131"/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4" t="s">
        <v>14</v>
      </c>
      <c r="I1" s="4" t="s">
        <v>13</v>
      </c>
      <c r="J1" s="4" t="s">
        <v>12</v>
      </c>
      <c r="K1" s="4" t="s">
        <v>11</v>
      </c>
      <c r="L1" s="4" t="s">
        <v>10</v>
      </c>
      <c r="M1" s="4" t="s">
        <v>9</v>
      </c>
      <c r="N1" s="4" t="s">
        <v>8</v>
      </c>
      <c r="O1" s="3" t="s">
        <v>7</v>
      </c>
    </row>
    <row r="2" spans="1:23" s="19" customFormat="1" ht="15.75" customHeight="1" x14ac:dyDescent="0.2">
      <c r="A2" s="121" t="s">
        <v>6</v>
      </c>
      <c r="B2" s="122"/>
      <c r="C2" s="87" t="s">
        <v>5</v>
      </c>
      <c r="D2" s="77" t="s">
        <v>84</v>
      </c>
      <c r="E2" s="77" t="s">
        <v>85</v>
      </c>
      <c r="F2" s="77" t="s">
        <v>86</v>
      </c>
      <c r="G2" s="77" t="s">
        <v>87</v>
      </c>
      <c r="H2" s="77" t="s">
        <v>88</v>
      </c>
      <c r="I2" s="77" t="s">
        <v>89</v>
      </c>
      <c r="J2" s="77" t="s">
        <v>90</v>
      </c>
      <c r="K2" s="77" t="s">
        <v>91</v>
      </c>
      <c r="L2" s="75" t="s">
        <v>92</v>
      </c>
      <c r="M2" s="75" t="s">
        <v>93</v>
      </c>
      <c r="N2" s="75" t="s">
        <v>94</v>
      </c>
      <c r="O2" s="76" t="s">
        <v>95</v>
      </c>
      <c r="P2" s="44"/>
    </row>
    <row r="3" spans="1:23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23" s="19" customFormat="1" x14ac:dyDescent="0.2">
      <c r="A4" s="121" t="s">
        <v>106</v>
      </c>
      <c r="B4" s="122"/>
      <c r="C4" s="70">
        <v>1.8608</v>
      </c>
      <c r="D4" s="70">
        <v>1.96</v>
      </c>
      <c r="E4" s="70">
        <v>31.772500000000001</v>
      </c>
      <c r="F4" s="70">
        <v>64.172499999999999</v>
      </c>
      <c r="G4" s="70">
        <v>95.78</v>
      </c>
      <c r="H4" s="70">
        <v>131.30500000000001</v>
      </c>
      <c r="I4" s="70">
        <v>161.845</v>
      </c>
      <c r="J4" s="70">
        <v>194.3425</v>
      </c>
      <c r="K4" s="70">
        <v>228.13249999999999</v>
      </c>
      <c r="L4" s="70">
        <v>265.17750000000001</v>
      </c>
      <c r="M4" s="70">
        <v>295.6875</v>
      </c>
      <c r="N4" s="70">
        <v>325.65249999999997</v>
      </c>
      <c r="O4" s="71">
        <v>360.4975</v>
      </c>
      <c r="P4" s="32"/>
    </row>
    <row r="5" spans="1:23" s="19" customFormat="1" x14ac:dyDescent="0.2">
      <c r="A5" s="121" t="s">
        <v>107</v>
      </c>
      <c r="B5" s="122"/>
      <c r="C5" s="70">
        <v>4.8715999999999999</v>
      </c>
      <c r="D5" s="70">
        <v>2.2425000000000002</v>
      </c>
      <c r="E5" s="70">
        <v>34.564999999999998</v>
      </c>
      <c r="F5" s="70">
        <v>68.025000000000006</v>
      </c>
      <c r="G5" s="70">
        <v>100.13</v>
      </c>
      <c r="H5" s="70">
        <v>135.94499999999999</v>
      </c>
      <c r="I5" s="70">
        <v>167.2225</v>
      </c>
      <c r="J5" s="70">
        <v>201.32749999999999</v>
      </c>
      <c r="K5" s="70">
        <v>234.435</v>
      </c>
      <c r="L5" s="70">
        <v>271.82499999999999</v>
      </c>
      <c r="M5" s="70">
        <v>304.20749999999998</v>
      </c>
      <c r="N5" s="70">
        <v>334.54500000000002</v>
      </c>
      <c r="O5" s="71">
        <v>367.65499999999997</v>
      </c>
      <c r="P5" s="32"/>
    </row>
    <row r="6" spans="1:23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23" s="19" customFormat="1" x14ac:dyDescent="0.2">
      <c r="A7" s="121" t="s">
        <v>106</v>
      </c>
      <c r="B7" s="122"/>
      <c r="C7" s="74">
        <v>82.163784000000007</v>
      </c>
      <c r="D7" s="74">
        <v>82.232100000000003</v>
      </c>
      <c r="E7" s="74">
        <v>82.530225000000002</v>
      </c>
      <c r="F7" s="74">
        <v>82.854225</v>
      </c>
      <c r="G7" s="74">
        <v>83.170300000000012</v>
      </c>
      <c r="H7" s="74">
        <v>83.52555000000001</v>
      </c>
      <c r="I7" s="74">
        <v>83.830950000000001</v>
      </c>
      <c r="J7" s="74">
        <v>84.155925000000011</v>
      </c>
      <c r="K7" s="74">
        <v>84.493825000000001</v>
      </c>
      <c r="L7" s="74">
        <v>84.864275000000006</v>
      </c>
      <c r="M7" s="74">
        <v>85.169375000000002</v>
      </c>
      <c r="N7" s="74">
        <v>85.469025000000002</v>
      </c>
      <c r="O7" s="78">
        <v>85.817475000000002</v>
      </c>
      <c r="P7" s="32"/>
    </row>
    <row r="8" spans="1:23" s="19" customFormat="1" x14ac:dyDescent="0.2">
      <c r="A8" s="121" t="s">
        <v>107</v>
      </c>
      <c r="B8" s="122"/>
      <c r="C8" s="74">
        <v>82.206391999999994</v>
      </c>
      <c r="D8" s="74">
        <v>82.247424999999993</v>
      </c>
      <c r="E8" s="74">
        <v>82.570650000000001</v>
      </c>
      <c r="F8" s="74">
        <v>82.905249999999995</v>
      </c>
      <c r="G8" s="74">
        <v>83.226299999999995</v>
      </c>
      <c r="H8" s="74">
        <v>83.58444999999999</v>
      </c>
      <c r="I8" s="74">
        <v>83.897224999999992</v>
      </c>
      <c r="J8" s="74">
        <v>84.238274999999987</v>
      </c>
      <c r="K8" s="74">
        <v>84.56935</v>
      </c>
      <c r="L8" s="74">
        <v>84.943249999999992</v>
      </c>
      <c r="M8" s="74">
        <v>85.267074999999991</v>
      </c>
      <c r="N8" s="74">
        <v>85.570449999999994</v>
      </c>
      <c r="O8" s="78">
        <v>85.90155</v>
      </c>
    </row>
    <row r="9" spans="1:23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23" s="19" customFormat="1" x14ac:dyDescent="0.2">
      <c r="A10" s="121" t="s">
        <v>106</v>
      </c>
      <c r="B10" s="122"/>
      <c r="C10" s="70">
        <v>0.28608788201303137</v>
      </c>
      <c r="D10" s="70">
        <v>0.28608788201303137</v>
      </c>
      <c r="E10" s="70">
        <v>2.3188079671582482</v>
      </c>
      <c r="F10" s="70">
        <v>3.122274593279581</v>
      </c>
      <c r="G10" s="70">
        <v>3.4950889463281349</v>
      </c>
      <c r="H10" s="70">
        <v>3.8331397293599014</v>
      </c>
      <c r="I10" s="70">
        <v>3.9372358218032431</v>
      </c>
      <c r="J10" s="70">
        <v>4.0524077412628516</v>
      </c>
      <c r="K10" s="70">
        <v>4.1623688611829008</v>
      </c>
      <c r="L10" s="70">
        <v>4.3006842025239473</v>
      </c>
      <c r="M10" s="70">
        <v>4.3159495210582275</v>
      </c>
      <c r="N10" s="70">
        <v>4.3212075137877122</v>
      </c>
      <c r="O10" s="71">
        <v>4.3849475444731594</v>
      </c>
    </row>
    <row r="11" spans="1:23" s="19" customFormat="1" ht="16" thickBot="1" x14ac:dyDescent="0.25">
      <c r="A11" s="117" t="s">
        <v>107</v>
      </c>
      <c r="B11" s="118"/>
      <c r="C11" s="72">
        <v>0.3272727272727034</v>
      </c>
      <c r="D11" s="72">
        <v>0.3272727272727034</v>
      </c>
      <c r="E11" s="72">
        <v>2.5222256004865158</v>
      </c>
      <c r="F11" s="72">
        <v>3.3092125266038357</v>
      </c>
      <c r="G11" s="72">
        <v>3.6532684706597771</v>
      </c>
      <c r="H11" s="72">
        <v>3.9679902705989525</v>
      </c>
      <c r="I11" s="72">
        <v>4.0674369109151653</v>
      </c>
      <c r="J11" s="72">
        <v>4.1974199713330007</v>
      </c>
      <c r="K11" s="72">
        <v>4.2767102462754742</v>
      </c>
      <c r="L11" s="72">
        <v>4.4078240599979699</v>
      </c>
      <c r="M11" s="72">
        <v>4.4396351474612299</v>
      </c>
      <c r="N11" s="72">
        <v>4.4385306393211525</v>
      </c>
      <c r="O11" s="73">
        <v>4.4713286713286786</v>
      </c>
    </row>
    <row r="12" spans="1:23" s="19" customFormat="1" ht="15.75" customHeight="1" x14ac:dyDescent="0.2"/>
    <row r="13" spans="1:23" s="19" customFormat="1" x14ac:dyDescent="0.2"/>
    <row r="14" spans="1:23" s="19" customFormat="1" x14ac:dyDescent="0.2"/>
    <row r="15" spans="1:23" s="19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9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9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9" customForma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s="19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9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4" spans="1:23" s="5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7" spans="1:23" x14ac:dyDescent="0.2">
      <c r="A27" s="18"/>
      <c r="B27" s="33"/>
      <c r="C27" s="33"/>
      <c r="D27" s="107"/>
      <c r="E27" s="33"/>
      <c r="F27" s="33"/>
      <c r="G27" s="33"/>
      <c r="H27" s="46"/>
      <c r="I27" s="46"/>
      <c r="J27" s="46"/>
      <c r="K27" s="19"/>
      <c r="L27" s="45"/>
      <c r="M27" s="45"/>
      <c r="N27" s="45"/>
      <c r="O27" s="19"/>
    </row>
    <row r="28" spans="1:23" x14ac:dyDescent="0.2">
      <c r="A28" s="18"/>
      <c r="B28" s="33"/>
      <c r="C28" s="33"/>
      <c r="D28" s="107"/>
      <c r="E28" s="33"/>
      <c r="F28" s="33"/>
      <c r="G28" s="33"/>
      <c r="H28" s="46"/>
      <c r="I28" s="46"/>
      <c r="J28" s="46"/>
      <c r="K28" s="19"/>
      <c r="L28" s="45"/>
      <c r="M28" s="45"/>
      <c r="N28" s="45"/>
      <c r="O28" s="19"/>
    </row>
    <row r="29" spans="1:23" x14ac:dyDescent="0.2">
      <c r="A29" s="18"/>
      <c r="B29" s="33"/>
      <c r="C29" s="33"/>
      <c r="D29" s="107"/>
      <c r="E29" s="33"/>
      <c r="F29" s="33"/>
      <c r="G29" s="33"/>
      <c r="H29" s="46"/>
      <c r="I29" s="46"/>
      <c r="J29" s="46"/>
      <c r="K29" s="19"/>
      <c r="L29" s="45"/>
      <c r="M29" s="45"/>
      <c r="N29" s="45"/>
      <c r="O29" s="19"/>
    </row>
    <row r="30" spans="1:23" x14ac:dyDescent="0.2">
      <c r="A30" s="18"/>
      <c r="B30" s="33"/>
      <c r="C30" s="33"/>
      <c r="D30" s="107"/>
      <c r="E30" s="33"/>
      <c r="F30" s="33"/>
      <c r="G30" s="33"/>
      <c r="H30" s="46"/>
      <c r="I30" s="46"/>
      <c r="J30" s="46"/>
      <c r="K30" s="19"/>
      <c r="L30" s="45"/>
      <c r="M30" s="45"/>
      <c r="N30" s="45"/>
      <c r="O30" s="19"/>
    </row>
    <row r="31" spans="1:23" x14ac:dyDescent="0.2">
      <c r="A31" s="18"/>
      <c r="B31" s="33"/>
      <c r="C31" s="33"/>
      <c r="D31" s="107"/>
      <c r="E31" s="33"/>
      <c r="F31" s="33"/>
      <c r="G31" s="33"/>
      <c r="H31" s="46"/>
      <c r="I31" s="46"/>
      <c r="J31" s="46"/>
      <c r="K31" s="19"/>
      <c r="L31" s="45"/>
      <c r="M31" s="45"/>
      <c r="N31" s="45"/>
      <c r="O31" s="19"/>
    </row>
    <row r="36" spans="1:5" x14ac:dyDescent="0.2">
      <c r="A36" s="1"/>
      <c r="B36" s="1"/>
    </row>
    <row r="40" spans="1:5" x14ac:dyDescent="0.2">
      <c r="E40" s="85" t="s">
        <v>77</v>
      </c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9"/>
  <sheetViews>
    <sheetView workbookViewId="0">
      <selection sqref="A1:B1"/>
    </sheetView>
  </sheetViews>
  <sheetFormatPr baseColWidth="10" defaultColWidth="8.83203125" defaultRowHeight="15" x14ac:dyDescent="0.2"/>
  <cols>
    <col min="3" max="4" width="9.5" bestFit="1" customWidth="1"/>
    <col min="5" max="5" width="9.33203125" bestFit="1" customWidth="1"/>
    <col min="6" max="6" width="9" bestFit="1" customWidth="1"/>
    <col min="7" max="7" width="9.5" bestFit="1" customWidth="1"/>
    <col min="8" max="8" width="9" bestFit="1" customWidth="1"/>
    <col min="9" max="9" width="9.33203125" bestFit="1" customWidth="1"/>
    <col min="10" max="10" width="9.5" bestFit="1" customWidth="1"/>
    <col min="11" max="11" width="9.33203125" bestFit="1" customWidth="1"/>
    <col min="12" max="12" width="9.1640625" bestFit="1" customWidth="1"/>
    <col min="13" max="13" width="9" bestFit="1" customWidth="1"/>
    <col min="14" max="14" width="9.6640625" bestFit="1" customWidth="1"/>
    <col min="15" max="15" width="9.3320312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17</v>
      </c>
      <c r="E1" s="4" t="s">
        <v>16</v>
      </c>
      <c r="F1" s="4" t="s">
        <v>15</v>
      </c>
      <c r="G1" s="4" t="s">
        <v>14</v>
      </c>
      <c r="H1" s="4" t="s">
        <v>13</v>
      </c>
      <c r="I1" s="4" t="s">
        <v>12</v>
      </c>
      <c r="J1" s="4" t="s">
        <v>11</v>
      </c>
      <c r="K1" s="4" t="s">
        <v>10</v>
      </c>
      <c r="L1" s="4" t="s">
        <v>9</v>
      </c>
      <c r="M1" s="4" t="s">
        <v>8</v>
      </c>
      <c r="N1" s="4" t="s">
        <v>7</v>
      </c>
      <c r="O1" s="3" t="s">
        <v>18</v>
      </c>
    </row>
    <row r="2" spans="1:18" s="19" customFormat="1" ht="15.75" customHeight="1" x14ac:dyDescent="0.2">
      <c r="A2" s="121" t="s">
        <v>6</v>
      </c>
      <c r="B2" s="122"/>
      <c r="C2" s="99" t="s">
        <v>5</v>
      </c>
      <c r="D2" s="75" t="s">
        <v>85</v>
      </c>
      <c r="E2" s="75" t="s">
        <v>86</v>
      </c>
      <c r="F2" s="75" t="s">
        <v>87</v>
      </c>
      <c r="G2" s="75" t="s">
        <v>103</v>
      </c>
      <c r="H2" s="75" t="s">
        <v>89</v>
      </c>
      <c r="I2" s="75" t="s">
        <v>90</v>
      </c>
      <c r="J2" s="75" t="s">
        <v>91</v>
      </c>
      <c r="K2" s="75" t="s">
        <v>92</v>
      </c>
      <c r="L2" s="75" t="s">
        <v>93</v>
      </c>
      <c r="M2" s="75" t="s">
        <v>94</v>
      </c>
      <c r="N2" s="75" t="s">
        <v>95</v>
      </c>
      <c r="O2" s="76" t="s">
        <v>104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1.416077</v>
      </c>
      <c r="D4" s="70">
        <v>1.9204249999999998</v>
      </c>
      <c r="E4" s="70">
        <v>31.114149999999999</v>
      </c>
      <c r="F4" s="70">
        <v>63.670400000000001</v>
      </c>
      <c r="G4" s="70">
        <v>95.568224999999998</v>
      </c>
      <c r="H4" s="70">
        <v>127.71102500000001</v>
      </c>
      <c r="I4" s="70">
        <v>156.86490000000001</v>
      </c>
      <c r="J4" s="70">
        <v>187.26862499999999</v>
      </c>
      <c r="K4" s="70">
        <v>219.18044999999998</v>
      </c>
      <c r="L4" s="70">
        <v>253.915975</v>
      </c>
      <c r="M4" s="70">
        <v>281.67517500000002</v>
      </c>
      <c r="N4" s="70">
        <v>309.66095000000001</v>
      </c>
      <c r="O4" s="71">
        <v>342.31717499999996</v>
      </c>
      <c r="P4" s="32"/>
    </row>
    <row r="5" spans="1:18" s="19" customFormat="1" x14ac:dyDescent="0.2">
      <c r="A5" s="121" t="s">
        <v>107</v>
      </c>
      <c r="B5" s="122"/>
      <c r="C5" s="70">
        <v>5.1067360000000006</v>
      </c>
      <c r="D5" s="70">
        <v>2.2625000000000002</v>
      </c>
      <c r="E5" s="70">
        <v>34.560675000000003</v>
      </c>
      <c r="F5" s="70">
        <v>68.476799999999997</v>
      </c>
      <c r="G5" s="70">
        <v>101.21684999999999</v>
      </c>
      <c r="H5" s="70">
        <v>133.98317499999999</v>
      </c>
      <c r="I5" s="70">
        <v>163.48845</v>
      </c>
      <c r="J5" s="70">
        <v>194.57060000000001</v>
      </c>
      <c r="K5" s="70">
        <v>227.397425</v>
      </c>
      <c r="L5" s="70">
        <v>261.83145000000002</v>
      </c>
      <c r="M5" s="70">
        <v>291.59452499999998</v>
      </c>
      <c r="N5" s="70">
        <v>319.59185000000002</v>
      </c>
      <c r="O5" s="71">
        <v>353.90370000000001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0">
        <v>94.058932639999995</v>
      </c>
      <c r="D7" s="70">
        <v>94.129204250000001</v>
      </c>
      <c r="E7" s="70">
        <v>94.421141500000004</v>
      </c>
      <c r="F7" s="70">
        <v>94.746703999999994</v>
      </c>
      <c r="G7" s="70">
        <v>95.065682249999995</v>
      </c>
      <c r="H7" s="70">
        <v>95.387110250000006</v>
      </c>
      <c r="I7" s="70">
        <v>95.678648999999993</v>
      </c>
      <c r="J7" s="70">
        <v>95.98268625</v>
      </c>
      <c r="K7" s="70">
        <v>96.301804500000003</v>
      </c>
      <c r="L7" s="70">
        <v>96.649159749999995</v>
      </c>
      <c r="M7" s="70">
        <v>96.926751749999994</v>
      </c>
      <c r="N7" s="70">
        <v>97.206609499999999</v>
      </c>
      <c r="O7" s="71">
        <v>97.533171749999994</v>
      </c>
      <c r="P7" s="32"/>
    </row>
    <row r="8" spans="1:18" s="19" customFormat="1" x14ac:dyDescent="0.2">
      <c r="A8" s="121" t="s">
        <v>107</v>
      </c>
      <c r="B8" s="122"/>
      <c r="C8" s="70">
        <v>94.108339229999999</v>
      </c>
      <c r="D8" s="70">
        <v>94.145125000000007</v>
      </c>
      <c r="E8" s="70">
        <v>94.468106750000004</v>
      </c>
      <c r="F8" s="70">
        <v>94.807268000000008</v>
      </c>
      <c r="G8" s="70">
        <v>95.134668500000004</v>
      </c>
      <c r="H8" s="70">
        <v>95.462331750000004</v>
      </c>
      <c r="I8" s="70">
        <v>95.757384500000001</v>
      </c>
      <c r="J8" s="70">
        <v>96.068206000000004</v>
      </c>
      <c r="K8" s="70">
        <v>96.396474249999997</v>
      </c>
      <c r="L8" s="70">
        <v>96.740814499999999</v>
      </c>
      <c r="M8" s="70">
        <v>97.038445249999995</v>
      </c>
      <c r="N8" s="70">
        <v>97.318418500000007</v>
      </c>
      <c r="O8" s="71">
        <v>97.661536999999996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0.24487408351930337</v>
      </c>
      <c r="D10" s="70">
        <v>0.24487408351930337</v>
      </c>
      <c r="E10" s="70">
        <v>1.9836882371693023</v>
      </c>
      <c r="F10" s="70">
        <v>2.7062118797152039</v>
      </c>
      <c r="G10" s="70">
        <v>3.0464846987567591</v>
      </c>
      <c r="H10" s="70">
        <v>3.25689576028054</v>
      </c>
      <c r="I10" s="70">
        <v>3.3336499840611911</v>
      </c>
      <c r="J10" s="70">
        <v>3.4112414044355401</v>
      </c>
      <c r="K10" s="70">
        <v>3.4934722664966582</v>
      </c>
      <c r="L10" s="70">
        <v>3.597435270782412</v>
      </c>
      <c r="M10" s="70">
        <v>3.5916503028370981</v>
      </c>
      <c r="N10" s="70">
        <v>3.5895435708696777</v>
      </c>
      <c r="O10" s="71">
        <v>3.6374155243863502</v>
      </c>
    </row>
    <row r="11" spans="1:18" s="19" customFormat="1" ht="16" thickBot="1" x14ac:dyDescent="0.25">
      <c r="A11" s="117" t="s">
        <v>107</v>
      </c>
      <c r="B11" s="118"/>
      <c r="C11" s="72">
        <v>0.28845387659705174</v>
      </c>
      <c r="D11" s="72">
        <v>0.28845387659705174</v>
      </c>
      <c r="E11" s="72">
        <v>2.2031294323886534</v>
      </c>
      <c r="F11" s="72">
        <v>2.9101139472496174</v>
      </c>
      <c r="G11" s="72">
        <v>3.2261207468989923</v>
      </c>
      <c r="H11" s="72">
        <v>3.41639480464289</v>
      </c>
      <c r="I11" s="72">
        <v>3.4739504369305925</v>
      </c>
      <c r="J11" s="72">
        <v>3.5437817737522934</v>
      </c>
      <c r="K11" s="72">
        <v>3.6239596005205899</v>
      </c>
      <c r="L11" s="72">
        <v>3.7090876251693223</v>
      </c>
      <c r="M11" s="72">
        <v>3.7176385030146788</v>
      </c>
      <c r="N11" s="72">
        <v>3.704169083327101</v>
      </c>
      <c r="O11" s="73">
        <v>3.7600329358017404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33"/>
      <c r="C13" s="33"/>
      <c r="D13" s="107"/>
      <c r="E13" s="33"/>
      <c r="F13" s="33"/>
      <c r="G13" s="33"/>
      <c r="H13" s="46"/>
      <c r="I13" s="46"/>
      <c r="J13" s="46"/>
      <c r="L13" s="45"/>
      <c r="M13" s="45"/>
      <c r="N13" s="45"/>
      <c r="Q13" s="36"/>
      <c r="R13" s="36"/>
    </row>
    <row r="14" spans="1:18" s="19" customFormat="1" x14ac:dyDescent="0.2">
      <c r="A14" s="18"/>
      <c r="B14" s="33"/>
      <c r="C14" s="33"/>
      <c r="D14" s="107"/>
      <c r="E14" s="33"/>
      <c r="F14" s="33"/>
      <c r="G14" s="33"/>
      <c r="H14" s="46"/>
      <c r="I14" s="46"/>
      <c r="J14" s="46"/>
      <c r="L14" s="45"/>
      <c r="M14" s="45"/>
      <c r="N14" s="45"/>
      <c r="Q14" s="36"/>
      <c r="R14" s="36"/>
    </row>
    <row r="15" spans="1:18" s="19" customFormat="1" x14ac:dyDescent="0.2">
      <c r="A15" s="18"/>
      <c r="B15" s="33"/>
      <c r="C15" s="33"/>
      <c r="D15" s="107"/>
      <c r="E15" s="33"/>
      <c r="F15" s="33"/>
      <c r="G15" s="33"/>
      <c r="H15" s="46"/>
      <c r="I15" s="46"/>
      <c r="J15" s="46"/>
      <c r="L15" s="45"/>
      <c r="M15" s="45"/>
      <c r="N15" s="45"/>
      <c r="Q15" s="36"/>
      <c r="R15" s="36"/>
    </row>
    <row r="16" spans="1:18" s="19" customFormat="1" x14ac:dyDescent="0.2">
      <c r="A16" s="18"/>
      <c r="B16" s="33"/>
      <c r="C16" s="33"/>
      <c r="D16" s="107"/>
      <c r="E16" s="33"/>
      <c r="F16" s="33"/>
      <c r="G16" s="33"/>
      <c r="H16" s="46"/>
      <c r="I16" s="46"/>
      <c r="J16" s="46"/>
      <c r="L16" s="45"/>
      <c r="M16" s="45"/>
      <c r="N16" s="45"/>
      <c r="Q16" s="36"/>
      <c r="R16" s="36"/>
    </row>
    <row r="17" spans="1:19" s="19" customFormat="1" x14ac:dyDescent="0.2">
      <c r="A17" s="18"/>
      <c r="B17" s="33"/>
      <c r="C17" s="33"/>
      <c r="D17" s="107"/>
      <c r="E17" s="33"/>
      <c r="F17" s="33"/>
      <c r="G17" s="33"/>
      <c r="H17" s="46"/>
      <c r="I17" s="46"/>
      <c r="J17" s="46"/>
      <c r="L17" s="45"/>
      <c r="M17" s="45"/>
      <c r="N17" s="45"/>
      <c r="Q17" s="36"/>
      <c r="R17" s="36"/>
    </row>
    <row r="18" spans="1:19" s="19" customFormat="1" x14ac:dyDescent="0.2">
      <c r="A18" s="18"/>
      <c r="B18" s="33"/>
      <c r="C18" s="33"/>
      <c r="D18" s="107"/>
      <c r="E18" s="33"/>
      <c r="F18" s="33"/>
      <c r="G18" s="33"/>
      <c r="H18" s="46"/>
      <c r="I18" s="46"/>
      <c r="J18" s="46"/>
      <c r="L18" s="45"/>
      <c r="M18" s="45"/>
      <c r="N18" s="45"/>
      <c r="Q18" s="36"/>
      <c r="R18" s="36"/>
    </row>
    <row r="19" spans="1:19" s="19" customFormat="1" x14ac:dyDescent="0.2">
      <c r="A19" s="18"/>
      <c r="B19" s="33"/>
      <c r="C19" s="33"/>
      <c r="D19" s="107"/>
      <c r="E19" s="33"/>
      <c r="F19" s="33"/>
      <c r="G19" s="33"/>
      <c r="H19" s="46"/>
      <c r="I19" s="46"/>
      <c r="J19" s="46"/>
      <c r="L19" s="45"/>
      <c r="M19" s="45"/>
      <c r="N19" s="45"/>
      <c r="Q19" s="36"/>
      <c r="R19" s="36"/>
    </row>
    <row r="20" spans="1:19" s="19" customFormat="1" x14ac:dyDescent="0.2">
      <c r="A20" s="18"/>
      <c r="B20" s="33"/>
      <c r="C20" s="33"/>
      <c r="D20" s="107"/>
      <c r="E20" s="33"/>
      <c r="F20" s="33"/>
      <c r="G20" s="33"/>
      <c r="H20" s="46"/>
      <c r="I20" s="46"/>
      <c r="J20" s="46"/>
      <c r="L20" s="45"/>
      <c r="M20" s="45"/>
      <c r="N20" s="45"/>
      <c r="Q20" s="36"/>
      <c r="R20" s="36"/>
    </row>
    <row r="21" spans="1:19" x14ac:dyDescent="0.2">
      <c r="A21" s="18"/>
      <c r="B21" s="33"/>
      <c r="C21" s="33"/>
      <c r="D21" s="107"/>
      <c r="E21" s="33"/>
      <c r="F21" s="33"/>
      <c r="G21" s="33"/>
      <c r="H21" s="46"/>
      <c r="I21" s="46"/>
      <c r="J21" s="46"/>
      <c r="K21" s="19"/>
      <c r="L21" s="45"/>
      <c r="M21" s="45"/>
      <c r="N21" s="45"/>
      <c r="O21" s="19"/>
      <c r="P21" s="19"/>
      <c r="Q21" s="36"/>
      <c r="R21" s="36"/>
      <c r="S21" s="19"/>
    </row>
    <row r="22" spans="1:19" x14ac:dyDescent="0.2">
      <c r="A22" s="18"/>
      <c r="B22" s="33"/>
      <c r="C22" s="33"/>
      <c r="D22" s="107"/>
      <c r="E22" s="33"/>
      <c r="F22" s="33"/>
      <c r="G22" s="33"/>
      <c r="H22" s="46"/>
      <c r="I22" s="46"/>
      <c r="J22" s="46"/>
      <c r="K22" s="19"/>
      <c r="L22" s="45"/>
      <c r="M22" s="45"/>
      <c r="N22" s="45"/>
      <c r="O22" s="19"/>
      <c r="P22" s="19"/>
      <c r="Q22" s="36"/>
      <c r="R22" s="36"/>
      <c r="S22" s="19"/>
    </row>
    <row r="23" spans="1:19" x14ac:dyDescent="0.2">
      <c r="A23" s="18"/>
      <c r="B23" s="33"/>
      <c r="C23" s="33"/>
      <c r="D23" s="107"/>
      <c r="E23" s="33"/>
      <c r="F23" s="33"/>
      <c r="G23" s="33"/>
      <c r="H23" s="46"/>
      <c r="I23" s="46"/>
      <c r="J23" s="46"/>
      <c r="K23" s="19"/>
      <c r="L23" s="45"/>
      <c r="M23" s="45"/>
      <c r="N23" s="45"/>
      <c r="O23" s="19"/>
      <c r="P23" s="19"/>
      <c r="Q23" s="36"/>
      <c r="R23" s="36"/>
      <c r="S23" s="19"/>
    </row>
    <row r="24" spans="1:19" s="5" customFormat="1" x14ac:dyDescent="0.2">
      <c r="A24" s="18"/>
      <c r="B24" s="33"/>
      <c r="C24" s="33"/>
      <c r="D24" s="107"/>
      <c r="E24" s="33"/>
      <c r="F24" s="33"/>
      <c r="G24" s="33"/>
      <c r="H24" s="46"/>
      <c r="I24" s="46"/>
      <c r="J24" s="46"/>
      <c r="K24" s="19"/>
      <c r="L24" s="45"/>
      <c r="M24" s="45"/>
      <c r="N24" s="45"/>
      <c r="O24" s="19"/>
      <c r="P24" s="19"/>
      <c r="Q24" s="36"/>
      <c r="R24" s="36"/>
      <c r="S24" s="19"/>
    </row>
    <row r="25" spans="1:19" x14ac:dyDescent="0.2">
      <c r="A25" s="18"/>
      <c r="B25" s="33"/>
      <c r="C25" s="33"/>
      <c r="D25" s="107"/>
      <c r="E25" s="33"/>
      <c r="F25" s="33"/>
      <c r="G25" s="33"/>
      <c r="H25" s="46"/>
      <c r="I25" s="46"/>
      <c r="J25" s="46"/>
      <c r="K25" s="19"/>
      <c r="L25" s="45"/>
      <c r="M25" s="45"/>
      <c r="N25" s="45"/>
      <c r="O25" s="19"/>
      <c r="P25" s="19"/>
      <c r="Q25" s="36"/>
      <c r="R25" s="36"/>
      <c r="S25" s="19"/>
    </row>
    <row r="26" spans="1:19" x14ac:dyDescent="0.2">
      <c r="A26" s="18"/>
      <c r="B26" s="33"/>
      <c r="C26" s="33"/>
      <c r="D26" s="107"/>
      <c r="E26" s="33"/>
      <c r="F26" s="33"/>
      <c r="G26" s="33"/>
      <c r="H26" s="46"/>
      <c r="I26" s="46"/>
      <c r="J26" s="46"/>
      <c r="K26" s="19"/>
      <c r="L26" s="45"/>
      <c r="M26" s="45"/>
      <c r="N26" s="45"/>
      <c r="O26" s="19"/>
      <c r="P26" s="19"/>
      <c r="Q26" s="36"/>
      <c r="R26" s="36"/>
      <c r="S26" s="19"/>
    </row>
    <row r="27" spans="1:19" x14ac:dyDescent="0.2">
      <c r="A27" s="18"/>
      <c r="B27" s="33"/>
      <c r="C27" s="33"/>
      <c r="D27" s="107"/>
      <c r="E27" s="33"/>
      <c r="F27" s="33"/>
      <c r="G27" s="33"/>
      <c r="H27" s="46"/>
      <c r="I27" s="46"/>
      <c r="J27" s="46"/>
      <c r="K27" s="19"/>
      <c r="L27" s="45"/>
      <c r="M27" s="45"/>
      <c r="N27" s="45"/>
      <c r="O27" s="19"/>
      <c r="P27" s="19"/>
      <c r="Q27" s="36"/>
      <c r="R27" s="36"/>
      <c r="S27" s="19"/>
    </row>
    <row r="28" spans="1:19" x14ac:dyDescent="0.2">
      <c r="A28" s="18"/>
      <c r="B28" s="33"/>
      <c r="C28" s="33"/>
      <c r="D28" s="107"/>
      <c r="E28" s="33"/>
      <c r="F28" s="33"/>
      <c r="G28" s="33"/>
      <c r="H28" s="46"/>
      <c r="I28" s="46"/>
      <c r="J28" s="46"/>
      <c r="K28" s="19"/>
      <c r="L28" s="45"/>
      <c r="M28" s="45"/>
      <c r="N28" s="45"/>
      <c r="O28" s="19"/>
      <c r="P28" s="19"/>
      <c r="Q28" s="36"/>
      <c r="R28" s="36"/>
      <c r="S28" s="19"/>
    </row>
    <row r="29" spans="1:19" x14ac:dyDescent="0.2">
      <c r="A29" s="18"/>
      <c r="B29" s="33"/>
      <c r="C29" s="33"/>
      <c r="D29" s="107"/>
      <c r="E29" s="33"/>
      <c r="F29" s="33"/>
      <c r="G29" s="33"/>
      <c r="H29" s="46"/>
      <c r="I29" s="46"/>
      <c r="J29" s="46"/>
      <c r="K29" s="19"/>
      <c r="L29" s="45"/>
      <c r="M29" s="45"/>
      <c r="N29" s="45"/>
      <c r="O29" s="19"/>
      <c r="P29" s="19"/>
      <c r="Q29" s="36"/>
      <c r="R29" s="36"/>
      <c r="S29" s="19"/>
    </row>
    <row r="30" spans="1:19" x14ac:dyDescent="0.2">
      <c r="A30" s="18"/>
      <c r="B30" s="33"/>
      <c r="C30" s="33"/>
      <c r="D30" s="107"/>
      <c r="E30" s="33"/>
      <c r="F30" s="33"/>
      <c r="G30" s="33"/>
      <c r="H30" s="46"/>
      <c r="I30" s="46"/>
      <c r="J30" s="46"/>
      <c r="K30" s="19"/>
      <c r="L30" s="45"/>
      <c r="M30" s="45"/>
      <c r="N30" s="45"/>
      <c r="O30" s="19"/>
      <c r="P30" s="19"/>
      <c r="Q30" s="36"/>
      <c r="R30" s="36"/>
      <c r="S30" s="19"/>
    </row>
    <row r="31" spans="1:19" x14ac:dyDescent="0.2">
      <c r="A31" s="18"/>
      <c r="B31" s="33"/>
      <c r="C31" s="33"/>
      <c r="D31" s="107"/>
      <c r="E31" s="33"/>
      <c r="F31" s="33"/>
      <c r="G31" s="33"/>
      <c r="H31" s="46"/>
      <c r="I31" s="46"/>
      <c r="J31" s="46"/>
      <c r="K31" s="19"/>
      <c r="L31" s="45"/>
      <c r="M31" s="45"/>
      <c r="N31" s="45"/>
      <c r="O31" s="19"/>
      <c r="P31" s="19"/>
      <c r="Q31" s="36"/>
      <c r="R31" s="36"/>
      <c r="S31" s="19"/>
    </row>
    <row r="32" spans="1:19" x14ac:dyDescent="0.2">
      <c r="A32" s="18"/>
      <c r="B32" s="33"/>
      <c r="C32" s="33"/>
      <c r="D32" s="107"/>
      <c r="E32" s="33"/>
      <c r="F32" s="33"/>
      <c r="G32" s="33"/>
      <c r="H32" s="46"/>
      <c r="I32" s="46"/>
      <c r="J32" s="46"/>
      <c r="K32" s="19"/>
      <c r="L32" s="45"/>
      <c r="M32" s="45"/>
      <c r="N32" s="45"/>
      <c r="O32" s="19"/>
      <c r="P32" s="19"/>
      <c r="Q32" s="36"/>
      <c r="R32" s="36"/>
      <c r="S32" s="19"/>
    </row>
    <row r="33" spans="1:19" x14ac:dyDescent="0.2">
      <c r="A33" s="18"/>
      <c r="B33" s="33"/>
      <c r="C33" s="33"/>
      <c r="D33" s="107"/>
      <c r="E33" s="33"/>
      <c r="F33" s="33"/>
      <c r="G33" s="33"/>
      <c r="H33" s="46"/>
      <c r="I33" s="46"/>
      <c r="J33" s="46"/>
      <c r="K33" s="19"/>
      <c r="L33" s="45"/>
      <c r="M33" s="45"/>
      <c r="N33" s="45"/>
      <c r="O33" s="19"/>
      <c r="P33" s="19"/>
      <c r="Q33" s="36"/>
      <c r="R33" s="36"/>
      <c r="S33" s="19"/>
    </row>
    <row r="34" spans="1:19" x14ac:dyDescent="0.2">
      <c r="A34" s="18"/>
      <c r="B34" s="33"/>
      <c r="C34" s="33"/>
      <c r="D34" s="107"/>
      <c r="E34" s="33"/>
      <c r="F34" s="33"/>
      <c r="G34" s="33"/>
      <c r="H34" s="46"/>
      <c r="I34" s="46"/>
      <c r="J34" s="46"/>
      <c r="K34" s="19"/>
      <c r="L34" s="45"/>
      <c r="M34" s="45"/>
      <c r="N34" s="45"/>
      <c r="O34" s="19"/>
      <c r="P34" s="19"/>
      <c r="Q34" s="36"/>
      <c r="R34" s="36"/>
      <c r="S34" s="19"/>
    </row>
    <row r="35" spans="1:19" x14ac:dyDescent="0.2">
      <c r="A35" s="18"/>
      <c r="B35" s="33"/>
      <c r="C35" s="33"/>
      <c r="D35" s="107"/>
      <c r="E35" s="33"/>
      <c r="F35" s="33"/>
      <c r="G35" s="33"/>
      <c r="H35" s="46"/>
      <c r="I35" s="46"/>
      <c r="J35" s="46"/>
      <c r="K35" s="19"/>
      <c r="L35" s="45"/>
      <c r="M35" s="45"/>
      <c r="N35" s="45"/>
      <c r="O35" s="19"/>
      <c r="P35" s="19"/>
      <c r="Q35" s="36"/>
      <c r="R35" s="36"/>
      <c r="S35" s="19"/>
    </row>
    <row r="36" spans="1:19" x14ac:dyDescent="0.2">
      <c r="A36" s="18"/>
      <c r="B36" s="33"/>
      <c r="C36" s="33"/>
      <c r="D36" s="107"/>
      <c r="E36" s="33"/>
      <c r="F36" s="33"/>
      <c r="G36" s="33"/>
      <c r="H36" s="46"/>
      <c r="I36" s="46"/>
      <c r="J36" s="46"/>
      <c r="K36" s="19"/>
      <c r="L36" s="45"/>
      <c r="M36" s="45"/>
      <c r="N36" s="45"/>
      <c r="O36" s="19"/>
      <c r="P36" s="19"/>
      <c r="Q36" s="36"/>
      <c r="R36" s="36"/>
      <c r="S36" s="19"/>
    </row>
    <row r="37" spans="1:19" x14ac:dyDescent="0.2">
      <c r="A37" s="18"/>
      <c r="B37" s="33"/>
      <c r="C37" s="33"/>
      <c r="D37" s="107"/>
      <c r="E37" s="33"/>
      <c r="F37" s="33"/>
      <c r="G37" s="33"/>
      <c r="H37" s="46"/>
      <c r="I37" s="46"/>
      <c r="J37" s="46"/>
      <c r="K37" s="19"/>
      <c r="L37" s="45"/>
      <c r="M37" s="45"/>
      <c r="N37" s="45"/>
      <c r="O37" s="19"/>
      <c r="P37" s="19"/>
      <c r="Q37" s="36"/>
      <c r="R37" s="36"/>
      <c r="S37" s="19"/>
    </row>
    <row r="38" spans="1:19" x14ac:dyDescent="0.2">
      <c r="A38" s="18"/>
      <c r="B38" s="33"/>
      <c r="C38" s="33"/>
      <c r="D38" s="107"/>
      <c r="E38" s="33"/>
      <c r="F38" s="33"/>
      <c r="G38" s="33"/>
      <c r="H38" s="46"/>
      <c r="I38" s="46"/>
      <c r="J38" s="46"/>
      <c r="K38" s="19"/>
      <c r="L38" s="45"/>
      <c r="M38" s="45"/>
      <c r="N38" s="45"/>
      <c r="O38" s="19"/>
      <c r="P38" s="19"/>
      <c r="Q38" s="36"/>
      <c r="R38" s="36"/>
      <c r="S38" s="19"/>
    </row>
    <row r="39" spans="1:19" x14ac:dyDescent="0.2">
      <c r="A39" s="18"/>
      <c r="B39" s="33"/>
      <c r="C39" s="33"/>
      <c r="D39" s="107"/>
      <c r="E39" s="33"/>
      <c r="F39" s="33"/>
      <c r="G39" s="33"/>
      <c r="H39" s="46"/>
      <c r="I39" s="46"/>
      <c r="J39" s="46"/>
      <c r="K39" s="19"/>
      <c r="L39" s="45"/>
      <c r="M39" s="45"/>
      <c r="N39" s="45"/>
      <c r="O39" s="19"/>
      <c r="P39" s="19"/>
      <c r="Q39" s="36"/>
      <c r="R39" s="36"/>
      <c r="S39" s="19"/>
    </row>
  </sheetData>
  <mergeCells count="14">
    <mergeCell ref="A1:B1"/>
    <mergeCell ref="A2:B2"/>
    <mergeCell ref="A3:B3"/>
    <mergeCell ref="C3:O3"/>
    <mergeCell ref="A4:B4"/>
    <mergeCell ref="A9:B9"/>
    <mergeCell ref="C9:O9"/>
    <mergeCell ref="A10:B10"/>
    <mergeCell ref="A11:B11"/>
    <mergeCell ref="A5:B5"/>
    <mergeCell ref="A6:B6"/>
    <mergeCell ref="C6:O6"/>
    <mergeCell ref="A7:B7"/>
    <mergeCell ref="A8:B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6"/>
  <sheetViews>
    <sheetView workbookViewId="0">
      <selection activeCell="I24" sqref="I24"/>
    </sheetView>
  </sheetViews>
  <sheetFormatPr baseColWidth="10" defaultColWidth="8.83203125" defaultRowHeight="15" x14ac:dyDescent="0.2"/>
  <cols>
    <col min="4" max="4" width="9.33203125" bestFit="1" customWidth="1"/>
    <col min="5" max="5" width="9" bestFit="1" customWidth="1"/>
    <col min="6" max="6" width="9.5" bestFit="1" customWidth="1"/>
    <col min="7" max="7" width="9" bestFit="1" customWidth="1"/>
    <col min="8" max="8" width="9.33203125" bestFit="1" customWidth="1"/>
    <col min="9" max="9" width="9.5" bestFit="1" customWidth="1"/>
    <col min="10" max="10" width="9.33203125" bestFit="1" customWidth="1"/>
    <col min="11" max="11" width="9.1640625" bestFit="1" customWidth="1"/>
    <col min="12" max="12" width="9" bestFit="1" customWidth="1"/>
    <col min="13" max="13" width="9.6640625" bestFit="1" customWidth="1"/>
    <col min="14" max="14" width="9.33203125" bestFit="1" customWidth="1"/>
    <col min="15" max="15" width="9.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16</v>
      </c>
      <c r="E1" s="4" t="s">
        <v>15</v>
      </c>
      <c r="F1" s="4" t="s">
        <v>14</v>
      </c>
      <c r="G1" s="4" t="s">
        <v>13</v>
      </c>
      <c r="H1" s="4" t="s">
        <v>12</v>
      </c>
      <c r="I1" s="4" t="s">
        <v>11</v>
      </c>
      <c r="J1" s="4" t="s">
        <v>10</v>
      </c>
      <c r="K1" s="4" t="s">
        <v>9</v>
      </c>
      <c r="L1" s="4" t="s">
        <v>8</v>
      </c>
      <c r="M1" s="4" t="s">
        <v>7</v>
      </c>
      <c r="N1" s="4" t="s">
        <v>18</v>
      </c>
      <c r="O1" s="3" t="s">
        <v>17</v>
      </c>
    </row>
    <row r="2" spans="1:18" s="19" customFormat="1" ht="15.75" customHeight="1" x14ac:dyDescent="0.2">
      <c r="A2" s="121" t="s">
        <v>6</v>
      </c>
      <c r="B2" s="122"/>
      <c r="C2" s="99" t="s">
        <v>5</v>
      </c>
      <c r="D2" s="75" t="s">
        <v>86</v>
      </c>
      <c r="E2" s="75" t="s">
        <v>87</v>
      </c>
      <c r="F2" s="75" t="s">
        <v>88</v>
      </c>
      <c r="G2" s="75" t="s">
        <v>89</v>
      </c>
      <c r="H2" s="75" t="s">
        <v>90</v>
      </c>
      <c r="I2" s="75" t="s">
        <v>91</v>
      </c>
      <c r="J2" s="75" t="s">
        <v>92</v>
      </c>
      <c r="K2" s="75" t="s">
        <v>93</v>
      </c>
      <c r="L2" s="75" t="s">
        <v>94</v>
      </c>
      <c r="M2" s="75" t="s">
        <v>95</v>
      </c>
      <c r="N2" s="75" t="s">
        <v>104</v>
      </c>
      <c r="O2" s="76" t="s">
        <v>105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1.299806</v>
      </c>
      <c r="D4" s="70">
        <v>1.6215250000000001</v>
      </c>
      <c r="E4" s="70">
        <v>26.085450000000002</v>
      </c>
      <c r="F4" s="70">
        <v>53.790799999999997</v>
      </c>
      <c r="G4" s="70">
        <v>79.807924999999997</v>
      </c>
      <c r="H4" s="70">
        <v>109.039725</v>
      </c>
      <c r="I4" s="70">
        <v>135.74270000000001</v>
      </c>
      <c r="J4" s="70">
        <v>161.964325</v>
      </c>
      <c r="K4" s="70">
        <v>191.69467499999999</v>
      </c>
      <c r="L4" s="70">
        <v>224.623425</v>
      </c>
      <c r="M4" s="70">
        <v>250.95849999999999</v>
      </c>
      <c r="N4" s="70">
        <v>274.72732500000001</v>
      </c>
      <c r="O4" s="71">
        <v>307.31645000000003</v>
      </c>
      <c r="P4" s="32"/>
    </row>
    <row r="5" spans="1:18" s="19" customFormat="1" x14ac:dyDescent="0.2">
      <c r="A5" s="121" t="s">
        <v>107</v>
      </c>
      <c r="B5" s="122"/>
      <c r="C5" s="70">
        <v>3.9932100000000004</v>
      </c>
      <c r="D5" s="70">
        <v>1.86165</v>
      </c>
      <c r="E5" s="70">
        <v>28.493625000000002</v>
      </c>
      <c r="F5" s="70">
        <v>57.094549999999998</v>
      </c>
      <c r="G5" s="70">
        <v>84.069850000000002</v>
      </c>
      <c r="H5" s="70">
        <v>113.648375</v>
      </c>
      <c r="I5" s="70">
        <v>140.50319999999999</v>
      </c>
      <c r="J5" s="70">
        <v>168.8596</v>
      </c>
      <c r="K5" s="70">
        <v>197.02235000000002</v>
      </c>
      <c r="L5" s="70">
        <v>229.761</v>
      </c>
      <c r="M5" s="70">
        <v>256.15432499999997</v>
      </c>
      <c r="N5" s="70">
        <v>281.19217499999996</v>
      </c>
      <c r="O5" s="71">
        <v>312.94577499999997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0">
        <v>70.987567900000002</v>
      </c>
      <c r="D7" s="70">
        <v>71.043715250000005</v>
      </c>
      <c r="E7" s="70">
        <v>71.288354499999997</v>
      </c>
      <c r="F7" s="70">
        <v>71.565408000000005</v>
      </c>
      <c r="G7" s="70">
        <v>71.825579250000004</v>
      </c>
      <c r="H7" s="70">
        <v>72.117897249999999</v>
      </c>
      <c r="I7" s="70">
        <v>72.384927000000005</v>
      </c>
      <c r="J7" s="70">
        <v>72.647143249999999</v>
      </c>
      <c r="K7" s="70">
        <v>72.944446749999997</v>
      </c>
      <c r="L7" s="70">
        <v>73.273734250000004</v>
      </c>
      <c r="M7" s="70">
        <v>73.537085000000005</v>
      </c>
      <c r="N7" s="70">
        <v>73.77477325000001</v>
      </c>
      <c r="O7" s="71">
        <v>74.100664500000008</v>
      </c>
      <c r="P7" s="32"/>
    </row>
    <row r="8" spans="1:18" s="19" customFormat="1" x14ac:dyDescent="0.2">
      <c r="A8" s="121" t="s">
        <v>107</v>
      </c>
      <c r="B8" s="122"/>
      <c r="C8" s="70">
        <v>71.024501939999993</v>
      </c>
      <c r="D8" s="70">
        <v>71.056116499999987</v>
      </c>
      <c r="E8" s="70">
        <v>71.322436249999996</v>
      </c>
      <c r="F8" s="70">
        <v>71.608445499999988</v>
      </c>
      <c r="G8" s="70">
        <v>71.878198499999996</v>
      </c>
      <c r="H8" s="70">
        <v>72.173983749999991</v>
      </c>
      <c r="I8" s="70">
        <v>72.442532</v>
      </c>
      <c r="J8" s="70">
        <v>72.726095999999998</v>
      </c>
      <c r="K8" s="70">
        <v>73.007723499999997</v>
      </c>
      <c r="L8" s="70">
        <v>73.33511</v>
      </c>
      <c r="M8" s="70">
        <v>73.599043249999994</v>
      </c>
      <c r="N8" s="70">
        <v>73.849421749999991</v>
      </c>
      <c r="O8" s="71">
        <v>74.166957749999995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0.2739544542607058</v>
      </c>
      <c r="D10" s="70">
        <v>0.2739544542607058</v>
      </c>
      <c r="E10" s="70">
        <v>2.2035507373903926</v>
      </c>
      <c r="F10" s="70">
        <v>3.0292942874238942</v>
      </c>
      <c r="G10" s="70">
        <v>3.3708602301925334</v>
      </c>
      <c r="H10" s="70">
        <v>3.6844227939882277</v>
      </c>
      <c r="I10" s="70">
        <v>3.8222575762908764</v>
      </c>
      <c r="J10" s="70">
        <v>3.9090933592119645</v>
      </c>
      <c r="K10" s="70">
        <v>4.0483194889303302</v>
      </c>
      <c r="L10" s="70">
        <v>4.2166470733166737</v>
      </c>
      <c r="M10" s="70">
        <v>4.2399098940551205</v>
      </c>
      <c r="N10" s="70">
        <v>4.2195281597076768</v>
      </c>
      <c r="O10" s="71">
        <v>4.3267248600894082</v>
      </c>
    </row>
    <row r="11" spans="1:18" s="19" customFormat="1" ht="16" thickBot="1" x14ac:dyDescent="0.25">
      <c r="A11" s="117" t="s">
        <v>107</v>
      </c>
      <c r="B11" s="118"/>
      <c r="C11" s="72">
        <v>0.31447897237363059</v>
      </c>
      <c r="D11" s="72">
        <v>0.31447897237363059</v>
      </c>
      <c r="E11" s="72">
        <v>2.406640858701401</v>
      </c>
      <c r="F11" s="72">
        <v>3.2148963575575915</v>
      </c>
      <c r="G11" s="72">
        <v>3.5503719866267907</v>
      </c>
      <c r="H11" s="72">
        <v>3.8396072496920524</v>
      </c>
      <c r="I11" s="72">
        <v>3.9557473165581718</v>
      </c>
      <c r="J11" s="72">
        <v>4.0749407003343405</v>
      </c>
      <c r="K11" s="72">
        <v>4.1602467006862636</v>
      </c>
      <c r="L11" s="72">
        <v>4.3124828435685494</v>
      </c>
      <c r="M11" s="72">
        <v>4.3270834418440964</v>
      </c>
      <c r="N11" s="72">
        <v>4.3182136195671248</v>
      </c>
      <c r="O11" s="73">
        <v>4.4053601970790082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33"/>
      <c r="C13" s="33"/>
      <c r="D13" s="107"/>
      <c r="E13" s="33"/>
      <c r="F13" s="33"/>
      <c r="G13" s="33"/>
      <c r="H13" s="46"/>
      <c r="I13" s="46"/>
      <c r="J13" s="46"/>
      <c r="L13" s="45"/>
      <c r="M13" s="45"/>
      <c r="N13" s="45"/>
      <c r="Q13" s="36"/>
      <c r="R13" s="36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5" customForma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6" spans="1:2" x14ac:dyDescent="0.2">
      <c r="A36" s="1"/>
      <c r="B36" s="1"/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6"/>
  <sheetViews>
    <sheetView workbookViewId="0">
      <selection activeCell="W31" sqref="W31"/>
    </sheetView>
  </sheetViews>
  <sheetFormatPr baseColWidth="10" defaultColWidth="8.83203125" defaultRowHeight="15" x14ac:dyDescent="0.2"/>
  <cols>
    <col min="4" max="4" width="9.33203125" bestFit="1" customWidth="1"/>
    <col min="5" max="5" width="9" bestFit="1" customWidth="1"/>
    <col min="6" max="6" width="9.5" bestFit="1" customWidth="1"/>
    <col min="7" max="7" width="9" bestFit="1" customWidth="1"/>
    <col min="8" max="8" width="9.33203125" bestFit="1" customWidth="1"/>
    <col min="9" max="9" width="9.5" bestFit="1" customWidth="1"/>
    <col min="10" max="10" width="9.33203125" bestFit="1" customWidth="1"/>
    <col min="11" max="11" width="9.1640625" bestFit="1" customWidth="1"/>
    <col min="12" max="12" width="9" bestFit="1" customWidth="1"/>
    <col min="13" max="13" width="9.6640625" bestFit="1" customWidth="1"/>
    <col min="14" max="14" width="9.33203125" bestFit="1" customWidth="1"/>
    <col min="15" max="15" width="9.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4" t="s">
        <v>14</v>
      </c>
      <c r="I1" s="4" t="s">
        <v>13</v>
      </c>
      <c r="J1" s="4" t="s">
        <v>12</v>
      </c>
      <c r="K1" s="4" t="s">
        <v>11</v>
      </c>
      <c r="L1" s="4" t="s">
        <v>10</v>
      </c>
      <c r="M1" s="4" t="s">
        <v>9</v>
      </c>
      <c r="N1" s="4" t="s">
        <v>8</v>
      </c>
      <c r="O1" s="3" t="s">
        <v>7</v>
      </c>
    </row>
    <row r="2" spans="1:18" s="19" customFormat="1" ht="15.75" customHeight="1" x14ac:dyDescent="0.2">
      <c r="A2" s="121" t="s">
        <v>6</v>
      </c>
      <c r="B2" s="122"/>
      <c r="C2" s="88" t="s">
        <v>5</v>
      </c>
      <c r="D2" s="75" t="s">
        <v>86</v>
      </c>
      <c r="E2" s="75" t="s">
        <v>87</v>
      </c>
      <c r="F2" s="75" t="s">
        <v>88</v>
      </c>
      <c r="G2" s="75" t="s">
        <v>89</v>
      </c>
      <c r="H2" s="75" t="s">
        <v>90</v>
      </c>
      <c r="I2" s="75" t="s">
        <v>91</v>
      </c>
      <c r="J2" s="75" t="s">
        <v>92</v>
      </c>
      <c r="K2" s="75" t="s">
        <v>93</v>
      </c>
      <c r="L2" s="75" t="s">
        <v>94</v>
      </c>
      <c r="M2" s="75" t="s">
        <v>95</v>
      </c>
      <c r="N2" s="75" t="s">
        <v>104</v>
      </c>
      <c r="O2" s="76" t="s">
        <v>105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6.98</v>
      </c>
      <c r="D4" s="70">
        <v>6.98</v>
      </c>
      <c r="E4" s="70">
        <v>15.01</v>
      </c>
      <c r="F4" s="70">
        <v>22.98</v>
      </c>
      <c r="G4" s="70">
        <v>31.25</v>
      </c>
      <c r="H4" s="70">
        <v>39.159999999999997</v>
      </c>
      <c r="I4" s="70">
        <v>47.62</v>
      </c>
      <c r="J4" s="70">
        <v>56.26</v>
      </c>
      <c r="K4" s="70">
        <v>63.61</v>
      </c>
      <c r="L4" s="70">
        <v>76.27</v>
      </c>
      <c r="M4" s="70">
        <v>83.21</v>
      </c>
      <c r="N4" s="70">
        <v>91.62</v>
      </c>
      <c r="O4" s="71">
        <v>100.93</v>
      </c>
      <c r="P4" s="32"/>
    </row>
    <row r="5" spans="1:18" s="19" customFormat="1" x14ac:dyDescent="0.2">
      <c r="A5" s="121" t="s">
        <v>107</v>
      </c>
      <c r="B5" s="122"/>
      <c r="C5" s="70">
        <v>7.38</v>
      </c>
      <c r="D5" s="70">
        <v>7.38</v>
      </c>
      <c r="E5" s="70">
        <v>15.96</v>
      </c>
      <c r="F5" s="70">
        <v>24.07</v>
      </c>
      <c r="G5" s="70">
        <v>32.049999999999997</v>
      </c>
      <c r="H5" s="70">
        <v>39.96</v>
      </c>
      <c r="I5" s="70">
        <v>48.62</v>
      </c>
      <c r="J5" s="70">
        <v>57.26</v>
      </c>
      <c r="K5" s="70">
        <v>65.11</v>
      </c>
      <c r="L5" s="70">
        <v>78.77</v>
      </c>
      <c r="M5" s="70">
        <v>85.71</v>
      </c>
      <c r="N5" s="70">
        <v>94.12</v>
      </c>
      <c r="O5" s="71">
        <v>103.43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4">
        <v>1.083118</v>
      </c>
      <c r="D7" s="74">
        <v>1.083118</v>
      </c>
      <c r="E7" s="74">
        <v>1.0839209999999999</v>
      </c>
      <c r="F7" s="74">
        <v>1.0847179999999998</v>
      </c>
      <c r="G7" s="74">
        <v>1.085545</v>
      </c>
      <c r="H7" s="74">
        <v>1.086336</v>
      </c>
      <c r="I7" s="74">
        <v>1.0871819999999999</v>
      </c>
      <c r="J7" s="74">
        <v>1.0880459999999998</v>
      </c>
      <c r="K7" s="74">
        <v>1.088781</v>
      </c>
      <c r="L7" s="74">
        <v>1.090047</v>
      </c>
      <c r="M7" s="74">
        <v>1.090741</v>
      </c>
      <c r="N7" s="74">
        <v>1.0915819999999998</v>
      </c>
      <c r="O7" s="78">
        <v>1.0925129999999998</v>
      </c>
      <c r="P7" s="32"/>
    </row>
    <row r="8" spans="1:18" s="19" customFormat="1" x14ac:dyDescent="0.2">
      <c r="A8" s="121" t="s">
        <v>107</v>
      </c>
      <c r="B8" s="122"/>
      <c r="C8" s="74">
        <v>1.083318</v>
      </c>
      <c r="D8" s="74">
        <v>1.083318</v>
      </c>
      <c r="E8" s="74">
        <v>1.084176</v>
      </c>
      <c r="F8" s="74">
        <v>1.0849870000000001</v>
      </c>
      <c r="G8" s="74">
        <v>1.085785</v>
      </c>
      <c r="H8" s="74">
        <v>1.0865760000000002</v>
      </c>
      <c r="I8" s="74">
        <v>1.087442</v>
      </c>
      <c r="J8" s="74">
        <v>1.088306</v>
      </c>
      <c r="K8" s="74">
        <v>1.089091</v>
      </c>
      <c r="L8" s="74">
        <v>1.090457</v>
      </c>
      <c r="M8" s="74">
        <v>1.0911510000000002</v>
      </c>
      <c r="N8" s="74">
        <v>1.0919920000000001</v>
      </c>
      <c r="O8" s="78">
        <v>1.0929230000000001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0.77382162192134751</v>
      </c>
      <c r="D10" s="70">
        <v>0.77382162192134751</v>
      </c>
      <c r="E10" s="70">
        <v>0.8320245376101556</v>
      </c>
      <c r="F10" s="70">
        <v>0.84920825557543711</v>
      </c>
      <c r="G10" s="70">
        <v>0.86611481679940638</v>
      </c>
      <c r="H10" s="70">
        <v>0.86827663938213206</v>
      </c>
      <c r="I10" s="70">
        <v>0.87988026828771326</v>
      </c>
      <c r="J10" s="70">
        <v>0.89101932970300557</v>
      </c>
      <c r="K10" s="70">
        <v>0.88149701594575969</v>
      </c>
      <c r="L10" s="70">
        <v>0.93949976287701631</v>
      </c>
      <c r="M10" s="70">
        <v>0.92248849799523547</v>
      </c>
      <c r="N10" s="70">
        <v>0.9233854779945837</v>
      </c>
      <c r="O10" s="71">
        <v>0.93244766356866182</v>
      </c>
    </row>
    <row r="11" spans="1:18" s="19" customFormat="1" ht="16" thickBot="1" x14ac:dyDescent="0.25">
      <c r="A11" s="117" t="s">
        <v>107</v>
      </c>
      <c r="B11" s="118"/>
      <c r="C11" s="72">
        <v>0.81804577952658142</v>
      </c>
      <c r="D11" s="72">
        <v>0.81804577952658142</v>
      </c>
      <c r="E11" s="72">
        <v>0.88455356648003691</v>
      </c>
      <c r="F11" s="72">
        <v>0.88935690664894895</v>
      </c>
      <c r="G11" s="72">
        <v>0.88815607160669019</v>
      </c>
      <c r="H11" s="72">
        <v>0.88588372221916756</v>
      </c>
      <c r="I11" s="72">
        <v>0.89822461157603539</v>
      </c>
      <c r="J11" s="72">
        <v>0.90672282879785548</v>
      </c>
      <c r="K11" s="72">
        <v>0.90215041844481703</v>
      </c>
      <c r="L11" s="72">
        <v>0.97015155154044486</v>
      </c>
      <c r="M11" s="72">
        <v>0.95006373662917531</v>
      </c>
      <c r="N11" s="72">
        <v>0.94844134970499505</v>
      </c>
      <c r="O11" s="73">
        <v>0.95540283397069869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46"/>
      <c r="L13" s="45"/>
      <c r="M13" s="45"/>
      <c r="N13" s="45"/>
      <c r="Q13" s="36"/>
      <c r="R13" s="36"/>
    </row>
    <row r="14" spans="1:18" s="19" customFormat="1" x14ac:dyDescent="0.2">
      <c r="A14" s="18"/>
      <c r="B14" s="33"/>
      <c r="C14" s="33"/>
      <c r="D14" s="107"/>
      <c r="E14" s="33"/>
      <c r="F14" s="47"/>
      <c r="G14" s="48"/>
      <c r="H14" s="48"/>
      <c r="I14" s="48"/>
      <c r="J14" s="33"/>
      <c r="L14" s="107"/>
      <c r="M14" s="107"/>
      <c r="N14" s="107"/>
      <c r="P14" s="45"/>
      <c r="Q14" s="45"/>
      <c r="R14" s="45"/>
    </row>
    <row r="15" spans="1:18" s="19" customFormat="1" x14ac:dyDescent="0.2">
      <c r="A15" s="18"/>
      <c r="B15" s="33"/>
      <c r="C15" s="33"/>
      <c r="D15" s="107"/>
      <c r="E15" s="107"/>
      <c r="G15" s="18"/>
      <c r="H15" s="107"/>
      <c r="I15" s="107"/>
      <c r="J15" s="107"/>
      <c r="L15" s="20"/>
      <c r="M15" s="20"/>
      <c r="N15" s="20"/>
      <c r="P15" s="20"/>
      <c r="Q15" s="20"/>
      <c r="R15" s="20"/>
    </row>
    <row r="16" spans="1:18" s="19" customFormat="1" x14ac:dyDescent="0.2">
      <c r="A16" s="20"/>
      <c r="B16" s="33"/>
      <c r="C16" s="33"/>
      <c r="D16" s="107"/>
      <c r="E16" s="107"/>
      <c r="G16" s="20"/>
      <c r="H16" s="107"/>
      <c r="I16" s="107"/>
      <c r="J16" s="107"/>
      <c r="L16" s="18"/>
      <c r="P16" s="18"/>
    </row>
    <row r="17" spans="1:20" s="19" customFormat="1" x14ac:dyDescent="0.2">
      <c r="A17" s="18"/>
      <c r="B17" s="33"/>
      <c r="C17" s="33"/>
      <c r="D17" s="107"/>
      <c r="E17" s="107"/>
      <c r="G17" s="18"/>
      <c r="H17" s="107"/>
      <c r="I17" s="107"/>
      <c r="J17" s="107"/>
      <c r="L17" s="20"/>
      <c r="M17" s="20"/>
      <c r="N17" s="20"/>
      <c r="P17" s="20"/>
      <c r="Q17" s="20"/>
      <c r="R17" s="20"/>
    </row>
    <row r="18" spans="1:20" s="19" customFormat="1" x14ac:dyDescent="0.2">
      <c r="A18" s="20"/>
      <c r="B18" s="33"/>
      <c r="C18" s="33"/>
      <c r="D18" s="107"/>
      <c r="E18" s="107"/>
      <c r="G18" s="20"/>
      <c r="H18" s="107"/>
      <c r="I18" s="107"/>
      <c r="J18" s="107"/>
      <c r="L18" s="18"/>
      <c r="P18" s="18"/>
    </row>
    <row r="19" spans="1:20" s="19" customFormat="1" x14ac:dyDescent="0.2">
      <c r="A19" s="18"/>
      <c r="B19" s="33"/>
      <c r="C19" s="33"/>
      <c r="D19" s="107"/>
      <c r="E19" s="107"/>
      <c r="G19" s="18"/>
      <c r="H19" s="107"/>
      <c r="I19" s="107"/>
      <c r="J19" s="107"/>
      <c r="L19" s="20"/>
      <c r="M19" s="20"/>
      <c r="N19" s="20"/>
      <c r="P19" s="20"/>
      <c r="Q19" s="20"/>
      <c r="R19" s="20"/>
    </row>
    <row r="20" spans="1:20" s="19" customFormat="1" x14ac:dyDescent="0.2">
      <c r="A20" s="20"/>
      <c r="B20" s="33"/>
      <c r="C20" s="33"/>
      <c r="D20" s="107"/>
      <c r="E20" s="107"/>
      <c r="G20" s="20"/>
      <c r="H20" s="107"/>
      <c r="I20" s="107"/>
      <c r="J20" s="107"/>
      <c r="L20" s="18"/>
      <c r="P20" s="18"/>
    </row>
    <row r="21" spans="1:20" x14ac:dyDescent="0.2">
      <c r="A21" s="18"/>
      <c r="B21" s="33"/>
      <c r="C21" s="33"/>
      <c r="D21" s="107"/>
      <c r="E21" s="107"/>
      <c r="F21" s="19"/>
      <c r="G21" s="18"/>
      <c r="H21" s="107"/>
      <c r="I21" s="107"/>
      <c r="J21" s="107"/>
      <c r="K21" s="19"/>
      <c r="L21" s="20"/>
      <c r="M21" s="20"/>
      <c r="N21" s="20"/>
      <c r="O21" s="19"/>
      <c r="P21" s="20"/>
      <c r="Q21" s="20"/>
      <c r="R21" s="20"/>
      <c r="S21" s="19"/>
      <c r="T21" s="19"/>
    </row>
    <row r="22" spans="1:20" x14ac:dyDescent="0.2">
      <c r="A22" s="20"/>
      <c r="B22" s="33"/>
      <c r="C22" s="33"/>
      <c r="D22" s="107"/>
      <c r="E22" s="107"/>
      <c r="F22" s="19"/>
      <c r="G22" s="20"/>
      <c r="H22" s="107"/>
      <c r="I22" s="107"/>
      <c r="J22" s="107"/>
      <c r="K22" s="19"/>
      <c r="L22" s="18"/>
      <c r="M22" s="19"/>
      <c r="N22" s="19"/>
      <c r="O22" s="19"/>
      <c r="P22" s="18"/>
      <c r="Q22" s="19"/>
      <c r="R22" s="19"/>
      <c r="S22" s="19"/>
      <c r="T22" s="19"/>
    </row>
    <row r="23" spans="1:20" x14ac:dyDescent="0.2">
      <c r="A23" s="18"/>
      <c r="B23" s="33"/>
      <c r="C23" s="33"/>
      <c r="D23" s="107"/>
      <c r="E23" s="107"/>
      <c r="F23" s="19"/>
      <c r="G23" s="18"/>
      <c r="H23" s="107"/>
      <c r="I23" s="107"/>
      <c r="J23" s="107"/>
      <c r="K23" s="19"/>
      <c r="L23" s="20"/>
      <c r="M23" s="20"/>
      <c r="N23" s="20"/>
      <c r="O23" s="19"/>
      <c r="P23" s="20"/>
      <c r="Q23" s="20"/>
      <c r="R23" s="20"/>
      <c r="S23" s="19"/>
      <c r="T23" s="19"/>
    </row>
    <row r="24" spans="1:20" s="5" customFormat="1" x14ac:dyDescent="0.2">
      <c r="A24" s="20"/>
      <c r="B24" s="33"/>
      <c r="C24" s="33"/>
      <c r="D24" s="107"/>
      <c r="E24" s="107"/>
      <c r="F24" s="19"/>
      <c r="G24" s="20"/>
      <c r="H24" s="107"/>
      <c r="I24" s="107"/>
      <c r="J24" s="107"/>
      <c r="K24" s="19"/>
      <c r="L24" s="18"/>
      <c r="M24" s="19"/>
      <c r="N24" s="19"/>
      <c r="O24" s="19"/>
      <c r="P24" s="18"/>
      <c r="Q24" s="19"/>
      <c r="R24" s="19"/>
      <c r="S24" s="19"/>
      <c r="T24" s="19"/>
    </row>
    <row r="25" spans="1:20" x14ac:dyDescent="0.2">
      <c r="A25" s="18"/>
      <c r="B25" s="33"/>
      <c r="C25" s="33"/>
      <c r="D25" s="107"/>
      <c r="E25" s="107"/>
      <c r="F25" s="19"/>
      <c r="G25" s="18"/>
      <c r="H25" s="107"/>
      <c r="I25" s="107"/>
      <c r="J25" s="107"/>
      <c r="K25" s="19"/>
      <c r="L25" s="20"/>
      <c r="M25" s="20"/>
      <c r="N25" s="20"/>
      <c r="O25" s="19"/>
      <c r="P25" s="20"/>
      <c r="Q25" s="20"/>
      <c r="R25" s="20"/>
      <c r="S25" s="19"/>
      <c r="T25" s="19"/>
    </row>
    <row r="26" spans="1:20" x14ac:dyDescent="0.2">
      <c r="A26" s="20"/>
      <c r="B26" s="33"/>
      <c r="C26" s="33"/>
      <c r="D26" s="107"/>
      <c r="E26" s="107"/>
      <c r="F26" s="19"/>
      <c r="G26" s="20"/>
      <c r="H26" s="107"/>
      <c r="I26" s="107"/>
      <c r="J26" s="107"/>
      <c r="K26" s="19"/>
      <c r="L26" s="18"/>
      <c r="M26" s="19"/>
      <c r="N26" s="19"/>
      <c r="O26" s="19"/>
      <c r="P26" s="18"/>
      <c r="Q26" s="19"/>
      <c r="R26" s="19"/>
      <c r="S26" s="19"/>
      <c r="T26" s="19"/>
    </row>
    <row r="27" spans="1:20" x14ac:dyDescent="0.2">
      <c r="A27" s="18"/>
      <c r="B27" s="33"/>
      <c r="C27" s="33"/>
      <c r="D27" s="107"/>
      <c r="E27" s="107"/>
      <c r="F27" s="19"/>
      <c r="G27" s="18"/>
      <c r="H27" s="107"/>
      <c r="I27" s="107"/>
      <c r="J27" s="107"/>
      <c r="K27" s="19"/>
      <c r="L27" s="20"/>
      <c r="M27" s="20"/>
      <c r="N27" s="20"/>
      <c r="O27" s="19"/>
      <c r="P27" s="20"/>
      <c r="Q27" s="20"/>
      <c r="R27" s="20"/>
      <c r="S27" s="19"/>
      <c r="T27" s="19"/>
    </row>
    <row r="28" spans="1:20" x14ac:dyDescent="0.2">
      <c r="A28" s="20"/>
      <c r="B28" s="33"/>
      <c r="C28" s="33"/>
      <c r="D28" s="107"/>
      <c r="E28" s="107"/>
      <c r="F28" s="19"/>
      <c r="G28" s="20"/>
      <c r="H28" s="107"/>
      <c r="I28" s="107"/>
      <c r="J28" s="107"/>
      <c r="K28" s="19"/>
      <c r="L28" s="18"/>
      <c r="M28" s="19"/>
      <c r="N28" s="19"/>
      <c r="O28" s="19"/>
      <c r="P28" s="18"/>
      <c r="Q28" s="19"/>
      <c r="R28" s="19"/>
      <c r="S28" s="19"/>
      <c r="T28" s="19"/>
    </row>
    <row r="29" spans="1:20" x14ac:dyDescent="0.2">
      <c r="A29" s="18"/>
      <c r="B29" s="33"/>
      <c r="C29" s="33"/>
      <c r="D29" s="107"/>
      <c r="E29" s="107"/>
      <c r="F29" s="19"/>
      <c r="G29" s="18"/>
      <c r="H29" s="107"/>
      <c r="I29" s="107"/>
      <c r="J29" s="107"/>
      <c r="K29" s="19"/>
      <c r="L29" s="20"/>
      <c r="M29" s="20"/>
      <c r="N29" s="20"/>
      <c r="O29" s="19"/>
      <c r="P29" s="20"/>
      <c r="Q29" s="20"/>
      <c r="R29" s="20"/>
      <c r="S29" s="19"/>
      <c r="T29" s="19"/>
    </row>
    <row r="30" spans="1:20" x14ac:dyDescent="0.2">
      <c r="A30" s="20"/>
      <c r="B30" s="33"/>
      <c r="C30" s="33"/>
      <c r="D30" s="107"/>
      <c r="E30" s="107"/>
      <c r="F30" s="19"/>
      <c r="G30" s="20"/>
      <c r="H30" s="107"/>
      <c r="I30" s="107"/>
      <c r="J30" s="107"/>
      <c r="K30" s="19"/>
      <c r="L30" s="18"/>
      <c r="M30" s="19"/>
      <c r="N30" s="19"/>
      <c r="O30" s="19"/>
      <c r="P30" s="18"/>
      <c r="Q30" s="19"/>
      <c r="R30" s="19"/>
      <c r="S30" s="19"/>
      <c r="T30" s="19"/>
    </row>
    <row r="31" spans="1:20" x14ac:dyDescent="0.2">
      <c r="A31" s="18"/>
      <c r="B31" s="33"/>
      <c r="C31" s="33"/>
      <c r="D31" s="107"/>
      <c r="E31" s="107"/>
      <c r="F31" s="19"/>
      <c r="G31" s="18"/>
      <c r="H31" s="107"/>
      <c r="I31" s="107"/>
      <c r="J31" s="107"/>
      <c r="K31" s="19"/>
      <c r="L31" s="20"/>
      <c r="M31" s="20"/>
      <c r="N31" s="20"/>
      <c r="O31" s="19"/>
      <c r="P31" s="20"/>
      <c r="Q31" s="20"/>
      <c r="R31" s="20"/>
      <c r="S31" s="19"/>
      <c r="T31" s="19"/>
    </row>
    <row r="32" spans="1:20" x14ac:dyDescent="0.2">
      <c r="A32" s="20"/>
      <c r="B32" s="33"/>
      <c r="C32" s="33"/>
      <c r="D32" s="107"/>
      <c r="E32" s="107"/>
      <c r="F32" s="19"/>
      <c r="G32" s="20"/>
      <c r="H32" s="107"/>
      <c r="I32" s="107"/>
      <c r="J32" s="107"/>
      <c r="K32" s="19"/>
      <c r="L32" s="18"/>
      <c r="M32" s="19"/>
      <c r="N32" s="19"/>
      <c r="O32" s="19"/>
      <c r="P32" s="18"/>
      <c r="Q32" s="19"/>
      <c r="R32" s="19"/>
      <c r="S32" s="19"/>
      <c r="T32" s="19"/>
    </row>
    <row r="33" spans="1:20" x14ac:dyDescent="0.2">
      <c r="A33" s="18"/>
      <c r="B33" s="33"/>
      <c r="C33" s="33"/>
      <c r="D33" s="107"/>
      <c r="E33" s="107"/>
      <c r="F33" s="19"/>
      <c r="G33" s="18"/>
      <c r="H33" s="107"/>
      <c r="I33" s="107"/>
      <c r="J33" s="107"/>
      <c r="K33" s="19"/>
      <c r="L33" s="20"/>
      <c r="M33" s="20"/>
      <c r="N33" s="20"/>
      <c r="O33" s="19"/>
      <c r="P33" s="20"/>
      <c r="Q33" s="20"/>
      <c r="R33" s="20"/>
      <c r="S33" s="19"/>
      <c r="T33" s="19"/>
    </row>
    <row r="34" spans="1:20" x14ac:dyDescent="0.2">
      <c r="A34" s="20"/>
      <c r="B34" s="33"/>
      <c r="C34" s="33"/>
      <c r="D34" s="107"/>
      <c r="E34" s="107"/>
      <c r="F34" s="19"/>
      <c r="G34" s="20"/>
      <c r="H34" s="107"/>
      <c r="I34" s="107"/>
      <c r="J34" s="107"/>
      <c r="K34" s="19"/>
      <c r="L34" s="18"/>
      <c r="M34" s="19"/>
      <c r="N34" s="19"/>
      <c r="O34" s="19"/>
      <c r="P34" s="18"/>
      <c r="Q34" s="19"/>
      <c r="R34" s="19"/>
      <c r="S34" s="19"/>
      <c r="T34" s="19"/>
    </row>
    <row r="36" spans="1:20" x14ac:dyDescent="0.2">
      <c r="A36" s="1"/>
      <c r="B36" s="1"/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6"/>
  <sheetViews>
    <sheetView workbookViewId="0">
      <selection activeCell="U28" sqref="U28"/>
    </sheetView>
  </sheetViews>
  <sheetFormatPr baseColWidth="10" defaultColWidth="8.83203125" defaultRowHeight="15" x14ac:dyDescent="0.2"/>
  <cols>
    <col min="4" max="4" width="9.33203125" bestFit="1" customWidth="1"/>
    <col min="5" max="5" width="9" bestFit="1" customWidth="1"/>
    <col min="6" max="6" width="9.5" bestFit="1" customWidth="1"/>
    <col min="7" max="7" width="9" bestFit="1" customWidth="1"/>
    <col min="8" max="8" width="9.33203125" bestFit="1" customWidth="1"/>
    <col min="9" max="9" width="9.5" bestFit="1" customWidth="1"/>
    <col min="10" max="10" width="9.33203125" bestFit="1" customWidth="1"/>
    <col min="11" max="11" width="9.1640625" bestFit="1" customWidth="1"/>
    <col min="12" max="12" width="9" bestFit="1" customWidth="1"/>
    <col min="13" max="13" width="9.6640625" bestFit="1" customWidth="1"/>
    <col min="14" max="14" width="9.33203125" bestFit="1" customWidth="1"/>
    <col min="15" max="15" width="9.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17</v>
      </c>
      <c r="E1" s="4" t="s">
        <v>16</v>
      </c>
      <c r="F1" s="4" t="s">
        <v>15</v>
      </c>
      <c r="G1" s="4" t="s">
        <v>14</v>
      </c>
      <c r="H1" s="4" t="s">
        <v>13</v>
      </c>
      <c r="I1" s="4" t="s">
        <v>12</v>
      </c>
      <c r="J1" s="4" t="s">
        <v>11</v>
      </c>
      <c r="K1" s="4" t="s">
        <v>10</v>
      </c>
      <c r="L1" s="4" t="s">
        <v>9</v>
      </c>
      <c r="M1" s="4" t="s">
        <v>8</v>
      </c>
      <c r="N1" s="4" t="s">
        <v>7</v>
      </c>
      <c r="O1" s="3" t="s">
        <v>18</v>
      </c>
    </row>
    <row r="2" spans="1:18" s="19" customFormat="1" ht="15.75" customHeight="1" x14ac:dyDescent="0.2">
      <c r="A2" s="121" t="s">
        <v>6</v>
      </c>
      <c r="B2" s="122"/>
      <c r="C2" s="31" t="s">
        <v>5</v>
      </c>
      <c r="D2" s="75" t="s">
        <v>86</v>
      </c>
      <c r="E2" s="75" t="s">
        <v>87</v>
      </c>
      <c r="F2" s="75" t="s">
        <v>88</v>
      </c>
      <c r="G2" s="75" t="s">
        <v>89</v>
      </c>
      <c r="H2" s="75" t="s">
        <v>90</v>
      </c>
      <c r="I2" s="75" t="s">
        <v>91</v>
      </c>
      <c r="J2" s="75" t="s">
        <v>92</v>
      </c>
      <c r="K2" s="75" t="s">
        <v>93</v>
      </c>
      <c r="L2" s="75" t="s">
        <v>94</v>
      </c>
      <c r="M2" s="75" t="s">
        <v>95</v>
      </c>
      <c r="N2" s="75" t="s">
        <v>104</v>
      </c>
      <c r="O2" s="76" t="s">
        <v>105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1.41</v>
      </c>
      <c r="D4" s="70">
        <v>1.41</v>
      </c>
      <c r="E4" s="70">
        <v>3.55</v>
      </c>
      <c r="F4" s="70">
        <v>5.72</v>
      </c>
      <c r="G4" s="70">
        <v>7.18</v>
      </c>
      <c r="H4" s="70">
        <v>8.23</v>
      </c>
      <c r="I4" s="70">
        <v>9.35</v>
      </c>
      <c r="J4" s="70">
        <v>9.67</v>
      </c>
      <c r="K4" s="70">
        <v>9.84</v>
      </c>
      <c r="L4" s="70">
        <v>14.19</v>
      </c>
      <c r="M4" s="70">
        <v>14.37</v>
      </c>
      <c r="N4" s="70">
        <v>14.73</v>
      </c>
      <c r="O4" s="71">
        <v>15.56</v>
      </c>
      <c r="P4" s="32"/>
    </row>
    <row r="5" spans="1:18" s="19" customFormat="1" x14ac:dyDescent="0.2">
      <c r="A5" s="121" t="s">
        <v>107</v>
      </c>
      <c r="B5" s="122"/>
      <c r="C5" s="70">
        <v>1.83</v>
      </c>
      <c r="D5" s="70">
        <v>1.83</v>
      </c>
      <c r="E5" s="70">
        <v>4.75</v>
      </c>
      <c r="F5" s="70">
        <v>6.83</v>
      </c>
      <c r="G5" s="70">
        <v>9.18</v>
      </c>
      <c r="H5" s="70">
        <v>10.73</v>
      </c>
      <c r="I5" s="70">
        <v>12.35</v>
      </c>
      <c r="J5" s="70">
        <v>13.17</v>
      </c>
      <c r="K5" s="70">
        <v>13.84</v>
      </c>
      <c r="L5" s="70">
        <v>18.45</v>
      </c>
      <c r="M5" s="70">
        <v>18.850000000000001</v>
      </c>
      <c r="N5" s="70">
        <v>19.48</v>
      </c>
      <c r="O5" s="71">
        <v>20.56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4">
        <v>1.236691</v>
      </c>
      <c r="D7" s="74">
        <v>1.236691</v>
      </c>
      <c r="E7" s="74">
        <v>1.2369050000000001</v>
      </c>
      <c r="F7" s="74">
        <v>1.2371220000000001</v>
      </c>
      <c r="G7" s="74">
        <v>1.237268</v>
      </c>
      <c r="H7" s="74">
        <v>1.2373730000000001</v>
      </c>
      <c r="I7" s="74">
        <v>1.2374849999999999</v>
      </c>
      <c r="J7" s="74">
        <v>1.237517</v>
      </c>
      <c r="K7" s="74">
        <v>1.2375340000000001</v>
      </c>
      <c r="L7" s="74">
        <v>1.2379690000000001</v>
      </c>
      <c r="M7" s="74">
        <v>1.2379869999999999</v>
      </c>
      <c r="N7" s="74">
        <v>1.2380230000000001</v>
      </c>
      <c r="O7" s="78">
        <v>1.2381059999999999</v>
      </c>
      <c r="P7" s="32"/>
    </row>
    <row r="8" spans="1:18" s="19" customFormat="1" x14ac:dyDescent="0.2">
      <c r="A8" s="121" t="s">
        <v>107</v>
      </c>
      <c r="B8" s="122"/>
      <c r="C8" s="74">
        <v>1.2370030000000001</v>
      </c>
      <c r="D8" s="74">
        <v>1.2370030000000001</v>
      </c>
      <c r="E8" s="74">
        <v>1.237295</v>
      </c>
      <c r="F8" s="74">
        <v>1.237503</v>
      </c>
      <c r="G8" s="74">
        <v>1.237738</v>
      </c>
      <c r="H8" s="74">
        <v>1.2378930000000001</v>
      </c>
      <c r="I8" s="74">
        <v>1.2380550000000001</v>
      </c>
      <c r="J8" s="74">
        <v>1.238137</v>
      </c>
      <c r="K8" s="74">
        <v>1.2382040000000001</v>
      </c>
      <c r="L8" s="74">
        <v>1.2386650000000001</v>
      </c>
      <c r="M8" s="74">
        <v>1.2387049999999999</v>
      </c>
      <c r="N8" s="74">
        <v>1.2387680000000001</v>
      </c>
      <c r="O8" s="78">
        <v>1.2388760000000001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0.13683231571706447</v>
      </c>
      <c r="D10" s="70">
        <v>0.13683231571706447</v>
      </c>
      <c r="E10" s="70">
        <v>0.17225344709074694</v>
      </c>
      <c r="F10" s="70">
        <v>0.18503093283733513</v>
      </c>
      <c r="G10" s="70">
        <v>0.17419433100157611</v>
      </c>
      <c r="H10" s="70">
        <v>0.15973474586551645</v>
      </c>
      <c r="I10" s="70">
        <v>0.15122720472280266</v>
      </c>
      <c r="J10" s="70">
        <v>0.13405962441584918</v>
      </c>
      <c r="K10" s="70">
        <v>0.11936436051919808</v>
      </c>
      <c r="L10" s="70">
        <v>0.15300634830779819</v>
      </c>
      <c r="M10" s="70">
        <v>0.13945250899679693</v>
      </c>
      <c r="N10" s="70">
        <v>0.12995100003308832</v>
      </c>
      <c r="O10" s="71">
        <v>0.1258339735554479</v>
      </c>
    </row>
    <row r="11" spans="1:18" s="19" customFormat="1" ht="16" thickBot="1" x14ac:dyDescent="0.25">
      <c r="A11" s="117" t="s">
        <v>107</v>
      </c>
      <c r="B11" s="118"/>
      <c r="C11" s="72">
        <v>0.17755210944199892</v>
      </c>
      <c r="D11" s="72">
        <v>0.17755210944199892</v>
      </c>
      <c r="E11" s="72">
        <v>0.23042965023204826</v>
      </c>
      <c r="F11" s="72">
        <v>0.22088905418734792</v>
      </c>
      <c r="G11" s="72">
        <v>0.22266780938211891</v>
      </c>
      <c r="H11" s="72">
        <v>0.20821138079916587</v>
      </c>
      <c r="I11" s="72">
        <v>0.1997056968677895</v>
      </c>
      <c r="J11" s="72">
        <v>0.18254186427405014</v>
      </c>
      <c r="K11" s="72">
        <v>0.16784980837956029</v>
      </c>
      <c r="L11" s="72">
        <v>0.19889717177925068</v>
      </c>
      <c r="M11" s="72">
        <v>0.18288837502626876</v>
      </c>
      <c r="N11" s="72">
        <v>0.17181893154145106</v>
      </c>
      <c r="O11" s="73">
        <v>0.1662327582024917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36"/>
      <c r="R13" s="36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45"/>
      <c r="R14" s="45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20"/>
      <c r="R15" s="20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s="19" customForma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s="5" customForma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6" spans="1:16" x14ac:dyDescent="0.2">
      <c r="A36" s="1"/>
      <c r="B36" s="1"/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36"/>
  <sheetViews>
    <sheetView workbookViewId="0">
      <selection activeCell="J20" sqref="J20"/>
    </sheetView>
  </sheetViews>
  <sheetFormatPr baseColWidth="10" defaultColWidth="8.83203125" defaultRowHeight="15" x14ac:dyDescent="0.2"/>
  <cols>
    <col min="4" max="4" width="9.33203125" bestFit="1" customWidth="1"/>
    <col min="5" max="5" width="9" bestFit="1" customWidth="1"/>
    <col min="6" max="6" width="9.5" bestFit="1" customWidth="1"/>
    <col min="7" max="7" width="9" bestFit="1" customWidth="1"/>
    <col min="8" max="8" width="9.33203125" bestFit="1" customWidth="1"/>
    <col min="9" max="9" width="9.5" bestFit="1" customWidth="1"/>
    <col min="10" max="10" width="9.33203125" bestFit="1" customWidth="1"/>
    <col min="11" max="11" width="9.1640625" bestFit="1" customWidth="1"/>
    <col min="12" max="12" width="9" bestFit="1" customWidth="1"/>
    <col min="13" max="13" width="9.6640625" bestFit="1" customWidth="1"/>
    <col min="14" max="14" width="9.33203125" bestFit="1" customWidth="1"/>
    <col min="15" max="15" width="9.5" bestFit="1" customWidth="1"/>
    <col min="16" max="16" width="8.83203125" bestFit="1" customWidth="1"/>
    <col min="17" max="17" width="10.1640625" bestFit="1" customWidth="1"/>
    <col min="18" max="18" width="8.6640625" bestFit="1" customWidth="1"/>
  </cols>
  <sheetData>
    <row r="1" spans="1:18" s="19" customFormat="1" x14ac:dyDescent="0.2">
      <c r="A1" s="130" t="s">
        <v>20</v>
      </c>
      <c r="B1" s="131"/>
      <c r="C1" s="4" t="s">
        <v>19</v>
      </c>
      <c r="D1" s="4" t="s">
        <v>17</v>
      </c>
      <c r="E1" s="4" t="s">
        <v>16</v>
      </c>
      <c r="F1" s="4" t="s">
        <v>15</v>
      </c>
      <c r="G1" s="4" t="s">
        <v>14</v>
      </c>
      <c r="H1" s="4" t="s">
        <v>13</v>
      </c>
      <c r="I1" s="4" t="s">
        <v>12</v>
      </c>
      <c r="J1" s="4" t="s">
        <v>11</v>
      </c>
      <c r="K1" s="4" t="s">
        <v>10</v>
      </c>
      <c r="L1" s="4" t="s">
        <v>9</v>
      </c>
      <c r="M1" s="4" t="s">
        <v>8</v>
      </c>
      <c r="N1" s="4" t="s">
        <v>7</v>
      </c>
      <c r="O1" s="3" t="s">
        <v>18</v>
      </c>
    </row>
    <row r="2" spans="1:18" s="19" customFormat="1" ht="15.75" customHeight="1" x14ac:dyDescent="0.2">
      <c r="A2" s="121" t="s">
        <v>6</v>
      </c>
      <c r="B2" s="122"/>
      <c r="C2" s="31" t="s">
        <v>5</v>
      </c>
      <c r="D2" s="75" t="s">
        <v>86</v>
      </c>
      <c r="E2" s="75" t="s">
        <v>87</v>
      </c>
      <c r="F2" s="75" t="s">
        <v>88</v>
      </c>
      <c r="G2" s="75" t="s">
        <v>89</v>
      </c>
      <c r="H2" s="75" t="s">
        <v>90</v>
      </c>
      <c r="I2" s="75" t="s">
        <v>91</v>
      </c>
      <c r="J2" s="75" t="s">
        <v>92</v>
      </c>
      <c r="K2" s="75" t="s">
        <v>93</v>
      </c>
      <c r="L2" s="75" t="s">
        <v>94</v>
      </c>
      <c r="M2" s="75" t="s">
        <v>95</v>
      </c>
      <c r="N2" s="75" t="s">
        <v>104</v>
      </c>
      <c r="O2" s="76" t="s">
        <v>105</v>
      </c>
      <c r="P2" s="44"/>
    </row>
    <row r="3" spans="1:18" s="19" customFormat="1" x14ac:dyDescent="0.2">
      <c r="A3" s="142" t="s">
        <v>4</v>
      </c>
      <c r="B3" s="14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4"/>
      <c r="P3" s="20"/>
    </row>
    <row r="4" spans="1:18" s="19" customFormat="1" x14ac:dyDescent="0.2">
      <c r="A4" s="121" t="s">
        <v>106</v>
      </c>
      <c r="B4" s="122"/>
      <c r="C4" s="70">
        <v>-6.42</v>
      </c>
      <c r="D4" s="70">
        <v>-6.42</v>
      </c>
      <c r="E4" s="70">
        <v>-12.63</v>
      </c>
      <c r="F4" s="70">
        <v>-20.11</v>
      </c>
      <c r="G4" s="70">
        <v>-26.57</v>
      </c>
      <c r="H4" s="70">
        <v>-32.69</v>
      </c>
      <c r="I4" s="70">
        <v>-40.72</v>
      </c>
      <c r="J4" s="70">
        <v>-47.7</v>
      </c>
      <c r="K4" s="70">
        <v>-53.9</v>
      </c>
      <c r="L4" s="70">
        <v>-67.88</v>
      </c>
      <c r="M4" s="70">
        <v>-74.08</v>
      </c>
      <c r="N4" s="70">
        <v>-80.78</v>
      </c>
      <c r="O4" s="71">
        <v>-88.78</v>
      </c>
      <c r="P4" s="32"/>
    </row>
    <row r="5" spans="1:18" s="19" customFormat="1" x14ac:dyDescent="0.2">
      <c r="A5" s="121" t="s">
        <v>107</v>
      </c>
      <c r="B5" s="122"/>
      <c r="C5" s="70">
        <v>-4.42</v>
      </c>
      <c r="D5" s="70">
        <v>-4.42</v>
      </c>
      <c r="E5" s="70">
        <v>-12.34</v>
      </c>
      <c r="F5" s="70">
        <v>-19.86</v>
      </c>
      <c r="G5" s="70">
        <v>-25.07</v>
      </c>
      <c r="H5" s="70">
        <v>-31.19</v>
      </c>
      <c r="I5" s="70">
        <v>-39.5</v>
      </c>
      <c r="J5" s="70">
        <v>-42.78</v>
      </c>
      <c r="K5" s="70">
        <v>-51.9</v>
      </c>
      <c r="L5" s="70">
        <v>-66.38</v>
      </c>
      <c r="M5" s="70">
        <v>-72.58</v>
      </c>
      <c r="N5" s="70">
        <v>-77.28</v>
      </c>
      <c r="O5" s="71">
        <v>-81.78</v>
      </c>
      <c r="P5" s="32"/>
    </row>
    <row r="6" spans="1:18" s="19" customFormat="1" x14ac:dyDescent="0.2">
      <c r="A6" s="142" t="s">
        <v>3</v>
      </c>
      <c r="B6" s="14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  <c r="P6" s="32"/>
    </row>
    <row r="7" spans="1:18" s="19" customFormat="1" x14ac:dyDescent="0.2">
      <c r="A7" s="121" t="s">
        <v>106</v>
      </c>
      <c r="B7" s="122"/>
      <c r="C7" s="74">
        <v>107.4198</v>
      </c>
      <c r="D7" s="74">
        <v>107.4198</v>
      </c>
      <c r="E7" s="74">
        <v>107.35769999999999</v>
      </c>
      <c r="F7" s="74">
        <v>107.2829</v>
      </c>
      <c r="G7" s="74">
        <v>107.2183</v>
      </c>
      <c r="H7" s="74">
        <v>107.1571</v>
      </c>
      <c r="I7" s="74">
        <v>107.07679999999999</v>
      </c>
      <c r="J7" s="74">
        <v>107.00699999999999</v>
      </c>
      <c r="K7" s="74">
        <v>106.94499999999999</v>
      </c>
      <c r="L7" s="74">
        <v>106.8052</v>
      </c>
      <c r="M7" s="74">
        <v>106.7432</v>
      </c>
      <c r="N7" s="74">
        <v>106.67619999999999</v>
      </c>
      <c r="O7" s="78">
        <v>106.5962</v>
      </c>
      <c r="P7" s="32"/>
    </row>
    <row r="8" spans="1:18" s="19" customFormat="1" x14ac:dyDescent="0.2">
      <c r="A8" s="121" t="s">
        <v>107</v>
      </c>
      <c r="B8" s="122"/>
      <c r="C8" s="74">
        <v>107.4538</v>
      </c>
      <c r="D8" s="74">
        <v>107.4538</v>
      </c>
      <c r="E8" s="74">
        <v>107.3746</v>
      </c>
      <c r="F8" s="74">
        <v>107.29940000000001</v>
      </c>
      <c r="G8" s="74">
        <v>107.24730000000001</v>
      </c>
      <c r="H8" s="74">
        <v>107.18610000000001</v>
      </c>
      <c r="I8" s="74">
        <v>107.10300000000001</v>
      </c>
      <c r="J8" s="74">
        <v>107.0702</v>
      </c>
      <c r="K8" s="74">
        <v>106.979</v>
      </c>
      <c r="L8" s="74">
        <v>106.83420000000001</v>
      </c>
      <c r="M8" s="74">
        <v>106.7722</v>
      </c>
      <c r="N8" s="74">
        <v>106.7252</v>
      </c>
      <c r="O8" s="78">
        <v>106.6802</v>
      </c>
    </row>
    <row r="9" spans="1:18" s="19" customFormat="1" x14ac:dyDescent="0.2">
      <c r="A9" s="142" t="s">
        <v>2</v>
      </c>
      <c r="B9" s="14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4"/>
    </row>
    <row r="10" spans="1:18" s="19" customFormat="1" x14ac:dyDescent="0.2">
      <c r="A10" s="121" t="s">
        <v>106</v>
      </c>
      <c r="B10" s="122"/>
      <c r="C10" s="70">
        <v>-0.71675784302779499</v>
      </c>
      <c r="D10" s="70">
        <v>-0.71675784302779499</v>
      </c>
      <c r="E10" s="70">
        <v>-0.70503516802501132</v>
      </c>
      <c r="F10" s="70">
        <v>-0.74839045811468408</v>
      </c>
      <c r="G10" s="70">
        <v>-0.74159874958132022</v>
      </c>
      <c r="H10" s="70">
        <v>-0.72993189684044846</v>
      </c>
      <c r="I10" s="70">
        <v>-0.75769416843437742</v>
      </c>
      <c r="J10" s="70">
        <v>-0.7607776838546132</v>
      </c>
      <c r="K10" s="70">
        <v>-0.75220497934576525</v>
      </c>
      <c r="L10" s="70">
        <v>-0.8420478086660903</v>
      </c>
      <c r="M10" s="70">
        <v>-0.82706263257786428</v>
      </c>
      <c r="N10" s="70">
        <v>-0.81987678504369388</v>
      </c>
      <c r="O10" s="71">
        <v>-0.82598340218078847</v>
      </c>
    </row>
    <row r="11" spans="1:18" s="19" customFormat="1" ht="16" thickBot="1" x14ac:dyDescent="0.25">
      <c r="A11" s="117" t="s">
        <v>107</v>
      </c>
      <c r="B11" s="118"/>
      <c r="C11" s="72">
        <v>-0.49340452845638322</v>
      </c>
      <c r="D11" s="72">
        <v>-0.49340452845638322</v>
      </c>
      <c r="E11" s="72">
        <v>-0.68875700013025576</v>
      </c>
      <c r="F11" s="72">
        <v>-0.73899049284637475</v>
      </c>
      <c r="G11" s="72">
        <v>-0.69964092355205165</v>
      </c>
      <c r="H11" s="72">
        <v>-0.69634783902955055</v>
      </c>
      <c r="I11" s="72">
        <v>-0.73489739343987048</v>
      </c>
      <c r="J11" s="72">
        <v>-0.68221867250687152</v>
      </c>
      <c r="K11" s="72">
        <v>-0.72419951999107712</v>
      </c>
      <c r="L11" s="72">
        <v>-0.82333314728335383</v>
      </c>
      <c r="M11" s="72">
        <v>-0.81021042251949604</v>
      </c>
      <c r="N11" s="72">
        <v>-0.78425137719264493</v>
      </c>
      <c r="O11" s="73">
        <v>-0.76075833969004569</v>
      </c>
    </row>
    <row r="12" spans="1:18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</row>
    <row r="13" spans="1:18" s="19" customForma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46"/>
      <c r="L13" s="45"/>
      <c r="M13" s="45"/>
      <c r="N13" s="45"/>
      <c r="Q13" s="36"/>
      <c r="R13" s="36"/>
    </row>
    <row r="14" spans="1:18" s="19" customFormat="1" x14ac:dyDescent="0.2">
      <c r="A14" s="18"/>
      <c r="B14" s="33"/>
      <c r="C14" s="33"/>
      <c r="D14" s="32"/>
      <c r="E14" s="33"/>
      <c r="F14" s="47"/>
      <c r="G14" s="48"/>
      <c r="H14" s="48"/>
      <c r="I14" s="48"/>
      <c r="J14" s="33"/>
      <c r="L14" s="32"/>
      <c r="M14" s="32"/>
      <c r="N14" s="32"/>
      <c r="P14" s="45"/>
      <c r="Q14" s="45"/>
      <c r="R14" s="45"/>
    </row>
    <row r="15" spans="1:18" s="19" customFormat="1" x14ac:dyDescent="0.2">
      <c r="A15" s="18"/>
      <c r="B15" s="33"/>
      <c r="C15" s="33"/>
      <c r="D15" s="32"/>
      <c r="E15" s="32"/>
      <c r="G15" s="18"/>
      <c r="H15" s="32"/>
      <c r="I15" s="32"/>
      <c r="J15" s="32"/>
      <c r="L15" s="20"/>
      <c r="M15" s="20"/>
      <c r="N15" s="20"/>
      <c r="P15" s="20"/>
      <c r="Q15" s="20"/>
      <c r="R15" s="20"/>
    </row>
    <row r="16" spans="1:18" s="19" customFormat="1" x14ac:dyDescent="0.2">
      <c r="A16" s="20"/>
      <c r="B16" s="33"/>
      <c r="C16" s="33"/>
      <c r="D16" s="32"/>
      <c r="E16" s="32"/>
      <c r="G16" s="20"/>
      <c r="H16" s="32"/>
      <c r="I16" s="32"/>
      <c r="J16" s="32"/>
      <c r="L16" s="18"/>
      <c r="P16" s="18"/>
    </row>
    <row r="17" spans="1:16" s="19" customFormat="1" x14ac:dyDescent="0.2">
      <c r="A17" s="20"/>
      <c r="B17" s="33"/>
      <c r="C17" s="33"/>
      <c r="D17" s="32"/>
      <c r="E17" s="32"/>
      <c r="G17" s="20"/>
      <c r="H17" s="32"/>
      <c r="I17" s="32"/>
      <c r="J17" s="32"/>
      <c r="L17" s="18"/>
      <c r="P17" s="18"/>
    </row>
    <row r="18" spans="1:16" s="19" customFormat="1" x14ac:dyDescent="0.2">
      <c r="A18" s="20"/>
      <c r="B18" s="33"/>
      <c r="C18" s="33"/>
      <c r="D18" s="32"/>
      <c r="E18" s="32"/>
      <c r="G18" s="20"/>
      <c r="H18" s="32"/>
      <c r="I18" s="32"/>
      <c r="J18" s="32"/>
      <c r="L18" s="18"/>
      <c r="P18" s="18"/>
    </row>
    <row r="19" spans="1:16" s="19" customFormat="1" x14ac:dyDescent="0.2">
      <c r="A19" s="20"/>
      <c r="B19" s="33"/>
      <c r="C19" s="33"/>
      <c r="D19" s="107"/>
      <c r="E19" s="107"/>
      <c r="G19" s="20"/>
      <c r="H19" s="107"/>
      <c r="I19" s="107"/>
      <c r="J19" s="107"/>
      <c r="L19" s="20"/>
      <c r="P19" s="20"/>
    </row>
    <row r="20" spans="1:16" s="19" customFormat="1" x14ac:dyDescent="0.2">
      <c r="B20" s="33"/>
      <c r="C20" s="33"/>
      <c r="D20" s="107"/>
      <c r="E20" s="107"/>
      <c r="G20" s="20"/>
      <c r="H20" s="107"/>
      <c r="I20" s="107"/>
      <c r="J20" s="107"/>
      <c r="L20" s="18"/>
    </row>
    <row r="21" spans="1:16" x14ac:dyDescent="0.2">
      <c r="B21" s="33"/>
      <c r="C21" s="33"/>
      <c r="D21" s="107"/>
      <c r="E21" s="107"/>
      <c r="F21" s="19"/>
      <c r="G21" s="20"/>
      <c r="H21" s="107"/>
      <c r="I21" s="107"/>
      <c r="J21" s="107"/>
      <c r="K21" s="19"/>
      <c r="L21" s="18"/>
      <c r="M21" s="19"/>
      <c r="N21" s="19"/>
    </row>
    <row r="22" spans="1:16" x14ac:dyDescent="0.2">
      <c r="B22" s="33"/>
      <c r="C22" s="33"/>
      <c r="D22" s="107"/>
      <c r="E22" s="107"/>
      <c r="F22" s="19"/>
      <c r="G22" s="20"/>
      <c r="H22" s="107"/>
      <c r="I22" s="107"/>
      <c r="J22" s="107"/>
      <c r="K22" s="19"/>
      <c r="L22" s="20"/>
      <c r="M22" s="19"/>
      <c r="N22" s="19"/>
    </row>
    <row r="23" spans="1:16" x14ac:dyDescent="0.2">
      <c r="B23" s="33"/>
      <c r="C23" s="33"/>
      <c r="D23" s="107"/>
      <c r="E23" s="107"/>
      <c r="F23" s="19"/>
      <c r="G23" s="20"/>
      <c r="H23" s="107"/>
      <c r="I23" s="107"/>
      <c r="J23" s="107"/>
      <c r="K23" s="19"/>
      <c r="L23" s="18"/>
      <c r="M23" s="19"/>
      <c r="N23" s="19"/>
      <c r="O23" s="5"/>
    </row>
    <row r="24" spans="1:16" s="5" customFormat="1" x14ac:dyDescent="0.2">
      <c r="B24" s="33"/>
      <c r="C24" s="33"/>
      <c r="D24" s="107"/>
      <c r="E24" s="107"/>
      <c r="F24" s="19"/>
      <c r="G24" s="20"/>
      <c r="H24" s="107"/>
      <c r="I24" s="107"/>
      <c r="J24" s="107"/>
      <c r="K24" s="19"/>
      <c r="L24" s="18"/>
      <c r="M24" s="19"/>
      <c r="N24" s="19"/>
      <c r="O24" s="6"/>
    </row>
    <row r="25" spans="1:16" x14ac:dyDescent="0.2">
      <c r="B25" s="33"/>
      <c r="C25" s="33"/>
      <c r="D25" s="107"/>
      <c r="E25" s="107"/>
      <c r="F25" s="19"/>
      <c r="G25" s="20"/>
      <c r="H25" s="107"/>
      <c r="I25" s="107"/>
      <c r="J25" s="107"/>
      <c r="K25" s="19"/>
      <c r="L25" s="20"/>
      <c r="M25" s="19"/>
      <c r="N25" s="19"/>
    </row>
    <row r="26" spans="1:16" x14ac:dyDescent="0.2">
      <c r="B26" s="33"/>
      <c r="C26" s="33"/>
      <c r="D26" s="107"/>
      <c r="E26" s="107"/>
      <c r="F26" s="19"/>
      <c r="G26" s="20"/>
      <c r="H26" s="107"/>
      <c r="I26" s="107"/>
      <c r="J26" s="107"/>
      <c r="K26" s="19"/>
      <c r="L26" s="18"/>
      <c r="M26" s="19"/>
      <c r="N26" s="19"/>
    </row>
    <row r="27" spans="1:16" x14ac:dyDescent="0.2">
      <c r="B27" s="33"/>
      <c r="C27" s="33"/>
      <c r="D27" s="107"/>
      <c r="E27" s="107"/>
      <c r="F27" s="19"/>
      <c r="G27" s="20"/>
      <c r="H27" s="107"/>
      <c r="I27" s="107"/>
      <c r="J27" s="107"/>
      <c r="K27" s="19"/>
      <c r="L27" s="18"/>
      <c r="M27" s="19"/>
      <c r="N27" s="19"/>
    </row>
    <row r="28" spans="1:16" x14ac:dyDescent="0.2">
      <c r="B28" s="33"/>
      <c r="C28" s="33"/>
      <c r="D28" s="107"/>
      <c r="E28" s="107"/>
      <c r="F28" s="19"/>
      <c r="G28" s="20"/>
      <c r="H28" s="107"/>
      <c r="I28" s="107"/>
      <c r="J28" s="107"/>
      <c r="K28" s="19"/>
      <c r="L28" s="20"/>
      <c r="M28" s="19"/>
      <c r="N28" s="19"/>
    </row>
    <row r="29" spans="1:16" x14ac:dyDescent="0.2">
      <c r="B29" s="33"/>
      <c r="C29" s="33"/>
      <c r="D29" s="107"/>
      <c r="E29" s="107"/>
      <c r="F29" s="19"/>
      <c r="G29" s="20"/>
      <c r="H29" s="107"/>
      <c r="I29" s="107"/>
      <c r="J29" s="107"/>
      <c r="K29" s="19"/>
      <c r="L29" s="18"/>
      <c r="M29" s="19"/>
      <c r="N29" s="19"/>
    </row>
    <row r="30" spans="1:16" x14ac:dyDescent="0.2">
      <c r="B30" s="33"/>
      <c r="C30" s="33"/>
      <c r="D30" s="107"/>
      <c r="E30" s="107"/>
      <c r="F30" s="19"/>
      <c r="G30" s="20"/>
      <c r="H30" s="107"/>
      <c r="I30" s="107"/>
      <c r="J30" s="107"/>
      <c r="K30" s="19"/>
      <c r="L30" s="18"/>
      <c r="M30" s="19"/>
      <c r="N30" s="19"/>
    </row>
    <row r="31" spans="1:16" x14ac:dyDescent="0.2">
      <c r="B31" s="33"/>
      <c r="C31" s="33"/>
      <c r="D31" s="107"/>
      <c r="E31" s="107"/>
      <c r="F31" s="19"/>
      <c r="G31" s="20"/>
      <c r="H31" s="107"/>
      <c r="I31" s="107"/>
      <c r="J31" s="107"/>
      <c r="K31" s="19"/>
      <c r="L31" s="20"/>
      <c r="M31" s="19"/>
      <c r="N31" s="19"/>
    </row>
    <row r="32" spans="1:16" x14ac:dyDescent="0.2">
      <c r="B32" s="33"/>
      <c r="C32" s="33"/>
      <c r="D32" s="107"/>
      <c r="E32" s="107"/>
      <c r="F32" s="19"/>
      <c r="G32" s="20"/>
      <c r="H32" s="107"/>
      <c r="I32" s="107"/>
      <c r="J32" s="107"/>
      <c r="K32" s="19"/>
      <c r="L32" s="18"/>
      <c r="M32" s="19"/>
      <c r="N32" s="19"/>
    </row>
    <row r="33" spans="1:14" x14ac:dyDescent="0.2">
      <c r="B33" s="33"/>
      <c r="C33" s="33"/>
      <c r="D33" s="107"/>
      <c r="E33" s="107"/>
      <c r="F33" s="19"/>
      <c r="G33" s="20"/>
      <c r="H33" s="107"/>
      <c r="I33" s="107"/>
      <c r="J33" s="107"/>
      <c r="K33" s="19"/>
      <c r="L33" s="18"/>
      <c r="M33" s="19"/>
      <c r="N33" s="19"/>
    </row>
    <row r="36" spans="1:14" x14ac:dyDescent="0.2">
      <c r="A36" s="1"/>
      <c r="B36" s="1"/>
    </row>
  </sheetData>
  <mergeCells count="14">
    <mergeCell ref="A1:B1"/>
    <mergeCell ref="A10:B10"/>
    <mergeCell ref="A11:B11"/>
    <mergeCell ref="A6:B6"/>
    <mergeCell ref="C6:O6"/>
    <mergeCell ref="A7:B7"/>
    <mergeCell ref="A8:B8"/>
    <mergeCell ref="A9:B9"/>
    <mergeCell ref="C9:O9"/>
    <mergeCell ref="A5:B5"/>
    <mergeCell ref="A2:B2"/>
    <mergeCell ref="A3:B3"/>
    <mergeCell ref="C3:O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" bestFit="1" customWidth="1"/>
    <col min="8" max="8" width="8.6640625" bestFit="1" customWidth="1"/>
  </cols>
  <sheetData>
    <row r="1" spans="1:7" x14ac:dyDescent="0.2">
      <c r="A1" s="5" t="s">
        <v>37</v>
      </c>
      <c r="B1" s="24" t="s">
        <v>60</v>
      </c>
      <c r="C1" s="24" t="s">
        <v>59</v>
      </c>
      <c r="D1" s="24" t="s">
        <v>58</v>
      </c>
      <c r="E1" s="24" t="s">
        <v>57</v>
      </c>
      <c r="F1" s="11" t="s">
        <v>56</v>
      </c>
    </row>
    <row r="2" spans="1:7" x14ac:dyDescent="0.2">
      <c r="A2" s="11" t="s">
        <v>111</v>
      </c>
      <c r="B2" s="7">
        <v>100</v>
      </c>
      <c r="C2" s="23">
        <v>1.5</v>
      </c>
      <c r="D2" s="8">
        <v>76.41</v>
      </c>
      <c r="E2" s="7">
        <v>0.25</v>
      </c>
      <c r="F2" s="8">
        <v>76.4375</v>
      </c>
    </row>
    <row r="3" spans="1:7" ht="15.75" customHeight="1" x14ac:dyDescent="0.2">
      <c r="A3" s="11" t="s">
        <v>112</v>
      </c>
      <c r="B3" s="7">
        <v>76.459999999999994</v>
      </c>
      <c r="C3" s="23">
        <v>4</v>
      </c>
      <c r="D3" s="8">
        <v>76.444999999999993</v>
      </c>
      <c r="E3" s="7">
        <v>1.25</v>
      </c>
      <c r="F3" s="8">
        <v>76.457499999999996</v>
      </c>
      <c r="G3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R19"/>
  <sheetViews>
    <sheetView workbookViewId="0"/>
  </sheetViews>
  <sheetFormatPr baseColWidth="10" defaultColWidth="8.83203125" defaultRowHeight="15" x14ac:dyDescent="0.2"/>
  <sheetData>
    <row r="2" spans="1:18" x14ac:dyDescent="0.2">
      <c r="E2" s="144" t="s">
        <v>108</v>
      </c>
      <c r="F2" s="144"/>
      <c r="G2" s="144"/>
      <c r="H2" s="144"/>
      <c r="I2" s="144"/>
      <c r="J2" s="144"/>
      <c r="K2" s="144"/>
      <c r="L2" s="144"/>
    </row>
    <row r="3" spans="1:18" x14ac:dyDescent="0.2">
      <c r="E3" s="144"/>
      <c r="F3" s="144"/>
      <c r="G3" s="144"/>
      <c r="H3" s="144"/>
      <c r="I3" s="144"/>
      <c r="J3" s="144"/>
      <c r="K3" s="144"/>
      <c r="L3" s="144"/>
    </row>
    <row r="4" spans="1:18" ht="16" thickBot="1" x14ac:dyDescent="0.25"/>
    <row r="5" spans="1:18" ht="16" thickBot="1" x14ac:dyDescent="0.25">
      <c r="C5" s="147" t="s">
        <v>37</v>
      </c>
      <c r="D5" s="145"/>
      <c r="E5" s="145" t="s">
        <v>26</v>
      </c>
      <c r="F5" s="145"/>
      <c r="G5" s="145" t="s">
        <v>25</v>
      </c>
      <c r="H5" s="145"/>
      <c r="I5" s="145" t="s">
        <v>24</v>
      </c>
      <c r="J5" s="145"/>
      <c r="K5" s="145" t="s">
        <v>23</v>
      </c>
      <c r="L5" s="145"/>
      <c r="M5" s="145" t="s">
        <v>22</v>
      </c>
      <c r="N5" s="145"/>
      <c r="O5" s="145" t="s">
        <v>21</v>
      </c>
      <c r="P5" s="146"/>
    </row>
    <row r="6" spans="1:18" ht="16" thickBot="1" x14ac:dyDescent="0.25">
      <c r="C6" s="92" t="s">
        <v>54</v>
      </c>
      <c r="D6" s="93" t="s">
        <v>52</v>
      </c>
      <c r="E6" s="93" t="s">
        <v>54</v>
      </c>
      <c r="F6" s="93" t="s">
        <v>52</v>
      </c>
      <c r="G6" s="93" t="s">
        <v>54</v>
      </c>
      <c r="H6" s="93" t="s">
        <v>52</v>
      </c>
      <c r="I6" s="93" t="s">
        <v>54</v>
      </c>
      <c r="J6" s="93" t="s">
        <v>52</v>
      </c>
      <c r="K6" s="93" t="s">
        <v>54</v>
      </c>
      <c r="L6" s="93" t="s">
        <v>52</v>
      </c>
      <c r="M6" s="93" t="s">
        <v>54</v>
      </c>
      <c r="N6" s="93" t="s">
        <v>52</v>
      </c>
      <c r="O6" s="93" t="s">
        <v>54</v>
      </c>
      <c r="P6" s="94" t="s">
        <v>52</v>
      </c>
      <c r="Q6" s="89"/>
      <c r="R6" s="89"/>
    </row>
    <row r="7" spans="1:18" x14ac:dyDescent="0.2">
      <c r="B7" t="s">
        <v>76</v>
      </c>
      <c r="C7" s="90" t="e">
        <f>RTD("tickerplantrtdserver",,"17#1#1#6069#USDINRCOMP#Bid")</f>
        <v>#N/A</v>
      </c>
      <c r="D7" s="91" t="e">
        <f>RTD("tickerplantrtdserver",,"17#1#1#6069#USDINRCOMP#Ask")</f>
        <v>#N/A</v>
      </c>
      <c r="E7" s="95" t="e">
        <f>RTD("tickerplantrtdserver",,"17#3#1#5949#EURINRCOMP#Bid")</f>
        <v>#N/A</v>
      </c>
      <c r="F7" s="95" t="e">
        <f>RTD("tickerplantrtdserver",,"17#3#1#5949#EURINRCOMP#Ask")</f>
        <v>#N/A</v>
      </c>
      <c r="G7" s="95" t="e">
        <f>RTD("tickerplantrtdserver",,"17#3#1#6031#GBPINRCOMP#Bid")</f>
        <v>#N/A</v>
      </c>
      <c r="H7" s="95" t="e">
        <f>RTD("tickerplantrtdserver",,"17#3#1#6031#GBPINRCOMP#Ask")</f>
        <v>#N/A</v>
      </c>
      <c r="I7" s="95" t="e">
        <f>RTD("tickerplantrtdserver",,"17#3#1#5978#JPYINRCOMP#Bid")</f>
        <v>#N/A</v>
      </c>
      <c r="J7" s="95" t="e">
        <f>RTD("tickerplantrtdserver",,"17#3#1#5978#JPYINRCOMP#Ask")</f>
        <v>#N/A</v>
      </c>
      <c r="K7" s="96" t="e">
        <f>RTD("tickerplantrtdserver",,"12#2#1#5949#SEURUSD#Bid")</f>
        <v>#N/A</v>
      </c>
      <c r="L7" s="96" t="e">
        <f>RTD("tickerplantrtdserver",,"12#2#1#5949#SEURUSD#Ask")</f>
        <v>#N/A</v>
      </c>
      <c r="M7" s="96" t="e">
        <f>RTD("tickerplantrtdserver",,"12#2#1#6031#SGBPUSD#Bid")</f>
        <v>#N/A</v>
      </c>
      <c r="N7" s="96" t="e">
        <f>RTD("tickerplantrtdserver",,"12#2#1#6031#SGBPUSD#Ask")</f>
        <v>#N/A</v>
      </c>
      <c r="O7" s="97" t="e">
        <f>RTD("tickerplantrtdserver",,"12#2#1#6069#SUSDJPY#Bid")</f>
        <v>#N/A</v>
      </c>
      <c r="P7" s="98" t="e">
        <f>RTD("tickerplantrtdserver",,"12#2#1#6069#SUSDJPY#Ask")</f>
        <v>#N/A</v>
      </c>
    </row>
    <row r="8" spans="1:18" x14ac:dyDescent="0.2">
      <c r="A8" s="129" t="s">
        <v>82</v>
      </c>
      <c r="B8" t="s">
        <v>66</v>
      </c>
      <c r="C8" s="81" t="e">
        <f>RTD("tickerplantrtdserver",,"17#2#1#6069#USDINRCOMP Fwd ME 0M#Bid")</f>
        <v>#N/A</v>
      </c>
      <c r="D8" s="82" t="e">
        <f>RTD("tickerplantrtdserver",,"17#2#1#6069#USDINRCOMP Fwd ME 0M#Ask")</f>
        <v>#N/A</v>
      </c>
      <c r="E8" s="100" t="e">
        <f>RTD("tickerplantrtdserver",,"17#2#1#5949#EURINRCOMP Fwd ME 1M#Bid")</f>
        <v>#N/A</v>
      </c>
      <c r="F8" s="100" t="e">
        <f>RTD("tickerplantrtdserver",,"17#2#1#5949#EURINRCOMP Fwd ME 1M#Ask")</f>
        <v>#N/A</v>
      </c>
      <c r="G8" s="100" t="e">
        <f>RTD("tickerplantrtdserver",,"17#2#1#6031#GBPINRCOMP Fwd ME 1M#Bid")/100</f>
        <v>#N/A</v>
      </c>
      <c r="H8" s="100" t="e">
        <f>RTD("tickerplantrtdserver",,"17#2#1#6031#GBPINRCOMP Fwd ME 1M#Ask")/100</f>
        <v>#N/A</v>
      </c>
      <c r="I8" s="100" t="e">
        <f>RTD("tickerplantrtdserver",,"17#2#1#5978#JPYINRCOMP Fwd ME 1M#Bid")/100</f>
        <v>#N/A</v>
      </c>
      <c r="J8" s="100" t="e">
        <f>RTD("tickerplantrtdserver",,"17#2#1#5978#JPYINRCOMP Fwd ME 1M#Ask")/100</f>
        <v>#N/A</v>
      </c>
      <c r="K8" s="23" t="e">
        <f>RTD("tickerplantrtdserver",,"12#1#1#5949#FEURUSD\01M#Bid")</f>
        <v>#N/A</v>
      </c>
      <c r="L8" s="23" t="e">
        <f>RTD("tickerplantrtdserver",,"12#1#1#5949#FEURUSD\01M#Ask")</f>
        <v>#N/A</v>
      </c>
      <c r="M8" s="23" t="e">
        <f>RTD("tickerplantrtdserver",,"12#1#1#6031#FGBPUSD\01M#Bid")</f>
        <v>#N/A</v>
      </c>
      <c r="N8" s="23" t="e">
        <f>RTD("tickerplantrtdserver",,"12#1#1#6031#FGBPUSD\01M#Ask")</f>
        <v>#N/A</v>
      </c>
      <c r="O8" s="23" t="e">
        <f>RTD("tickerplantrtdserver",,"12#1#1#6069#FUSDJPY\01M#Bid")</f>
        <v>#N/A</v>
      </c>
      <c r="P8" s="102" t="e">
        <f>RTD("tickerplantrtdserver",,"12#1#1#6069#FUSDJPY\01M#Ask")</f>
        <v>#N/A</v>
      </c>
    </row>
    <row r="9" spans="1:18" x14ac:dyDescent="0.2">
      <c r="A9" s="129"/>
      <c r="B9" t="s">
        <v>69</v>
      </c>
      <c r="C9" s="81" t="e">
        <f>RTD("tickerplantrtdserver",,"17#2#1#6069#USDINRCOMP Fwd ME 1M#Bid")</f>
        <v>#N/A</v>
      </c>
      <c r="D9" s="82" t="e">
        <f>RTD("tickerplantrtdserver",,"17#2#1#6069#USDINRCOMP Fwd ME 1M#Ask")</f>
        <v>#N/A</v>
      </c>
      <c r="E9" s="100" t="e">
        <f>RTD("tickerplantrtdserver",,"17#2#1#5949#EURINRCOMP Fwd ME 2M#Bid")</f>
        <v>#N/A</v>
      </c>
      <c r="F9" s="100" t="e">
        <f>RTD("tickerplantrtdserver",,"17#2#1#5949#EURINRCOMP Fwd ME 2M#Ask")</f>
        <v>#N/A</v>
      </c>
      <c r="G9" s="100" t="e">
        <f>RTD("tickerplantrtdserver",,"17#2#1#6031#GBPINRCOMP Fwd ME 2M#Bid")/100</f>
        <v>#N/A</v>
      </c>
      <c r="H9" s="100" t="e">
        <f>RTD("tickerplantrtdserver",,"17#2#1#6031#GBPINRCOMP Fwd ME 2M#Ask")/100</f>
        <v>#N/A</v>
      </c>
      <c r="I9" s="100" t="e">
        <f>RTD("tickerplantrtdserver",,"17#2#1#5978#JPYINRCOMP Fwd ME 2M#Bid")/100</f>
        <v>#N/A</v>
      </c>
      <c r="J9" s="100" t="e">
        <f>RTD("tickerplantrtdserver",,"17#2#1#5978#JPYINRCOMP Fwd ME 2M#Ask")/100</f>
        <v>#N/A</v>
      </c>
      <c r="K9" s="23" t="e">
        <f>RTD("tickerplantrtdserver",,"12#1#1#5949#FEURUSD\02M#Bid")</f>
        <v>#N/A</v>
      </c>
      <c r="L9" s="23" t="e">
        <f>RTD("tickerplantrtdserver",,"12#1#1#5949#FEURUSD\02M#Ask")</f>
        <v>#N/A</v>
      </c>
      <c r="M9" s="23" t="e">
        <f>RTD("tickerplantrtdserver",,"12#1#1#6031#FGBPUSD\02M#Bid")</f>
        <v>#N/A</v>
      </c>
      <c r="N9" s="23" t="e">
        <f>RTD("tickerplantrtdserver",,"12#1#1#6031#FGBPUSD\02M#Ask")</f>
        <v>#N/A</v>
      </c>
      <c r="O9" s="23" t="e">
        <f>RTD("tickerplantrtdserver",,"12#1#1#6069#FUSDJPY\02M#Bid")</f>
        <v>#N/A</v>
      </c>
      <c r="P9" s="102" t="e">
        <f>RTD("tickerplantrtdserver",,"12#1#1#6069#FUSDJPY\02M#Bid")</f>
        <v>#N/A</v>
      </c>
    </row>
    <row r="10" spans="1:18" x14ac:dyDescent="0.2">
      <c r="A10" s="129"/>
      <c r="B10" t="s">
        <v>65</v>
      </c>
      <c r="C10" s="81" t="e">
        <f>RTD("tickerplantrtdserver",,"17#2#1#6069#USDINRCOMP Fwd ME 2M#Bid")</f>
        <v>#N/A</v>
      </c>
      <c r="D10" s="82" t="e">
        <f>RTD("tickerplantrtdserver",,"17#2#1#6069#USDINRCOMP Fwd ME 2M#Ask")</f>
        <v>#N/A</v>
      </c>
      <c r="E10" s="100" t="e">
        <f>RTD("tickerplantrtdserver",,"17#2#1#5949#EURINRCOMP Fwd ME 3M#Bid")</f>
        <v>#N/A</v>
      </c>
      <c r="F10" s="100" t="e">
        <f>RTD("tickerplantrtdserver",,"17#2#1#5949#EURINRCOMP Fwd ME 3M#Ask")</f>
        <v>#N/A</v>
      </c>
      <c r="G10" s="100" t="e">
        <f>RTD("tickerplantrtdserver",,"17#2#1#6031#GBPINRCOMP Fwd ME 3M#Bid")/100</f>
        <v>#N/A</v>
      </c>
      <c r="H10" s="100" t="e">
        <f>RTD("tickerplantrtdserver",,"17#2#1#6031#GBPINRCOMP Fwd ME 3M#Ask")/100</f>
        <v>#N/A</v>
      </c>
      <c r="I10" s="100" t="e">
        <f>RTD("tickerplantrtdserver",,"17#2#1#5978#JPYINRCOMP Fwd ME 3M#Bid")/100</f>
        <v>#N/A</v>
      </c>
      <c r="J10" s="100" t="e">
        <f>RTD("tickerplantrtdserver",,"17#2#1#5978#JPYINRCOMP Fwd ME 3M#Ask")/100</f>
        <v>#N/A</v>
      </c>
      <c r="K10" s="23" t="e">
        <f>RTD("tickerplantrtdserver",,"12#1#1#5949#FEURUSD\03M#Bid")</f>
        <v>#N/A</v>
      </c>
      <c r="L10" s="23" t="e">
        <f>RTD("tickerplantrtdserver",,"12#1#1#5949#FEURUSD\03M#Ask")</f>
        <v>#N/A</v>
      </c>
      <c r="M10" s="23" t="e">
        <f>RTD("tickerplantrtdserver",,"12#1#1#6031#FGBPUSD\03M#Bid")</f>
        <v>#N/A</v>
      </c>
      <c r="N10" s="23" t="e">
        <f>RTD("tickerplantrtdserver",,"12#1#1#6031#FGBPUSD\03M#Ask")</f>
        <v>#N/A</v>
      </c>
      <c r="O10" s="23" t="e">
        <f>RTD("tickerplantrtdserver",,"12#1#1#6069#FUSDJPY\03M#Bid")</f>
        <v>#N/A</v>
      </c>
      <c r="P10" s="102" t="e">
        <f>RTD("tickerplantrtdserver",,"12#1#1#6069#FUSDJPY\03M#Ask")</f>
        <v>#N/A</v>
      </c>
    </row>
    <row r="11" spans="1:18" x14ac:dyDescent="0.2">
      <c r="A11" s="129"/>
      <c r="B11" t="s">
        <v>70</v>
      </c>
      <c r="C11" s="81" t="e">
        <f>RTD("tickerplantrtdserver",,"17#2#1#6069#USDINRCOMP Fwd ME 3M#Bid")</f>
        <v>#N/A</v>
      </c>
      <c r="D11" s="82" t="e">
        <f>RTD("tickerplantrtdserver",,"17#2#1#6069#USDINRCOMP Fwd ME 3M#Ask")</f>
        <v>#N/A</v>
      </c>
      <c r="E11" s="100" t="e">
        <f>RTD("tickerplantrtdserver",,"17#2#1#5949#EURINRCOMP Fwd ME 4M#Bid")</f>
        <v>#N/A</v>
      </c>
      <c r="F11" s="100" t="e">
        <f>RTD("tickerplantrtdserver",,"17#2#1#5949#EURINRCOMP Fwd ME 4M#Ask")</f>
        <v>#N/A</v>
      </c>
      <c r="G11" s="100" t="e">
        <f>RTD("tickerplantrtdserver",,"17#2#1#6031#GBPINRCOMP Fwd ME 4M#Bid")/100</f>
        <v>#N/A</v>
      </c>
      <c r="H11" s="100" t="e">
        <f>RTD("tickerplantrtdserver",,"17#2#1#6031#GBPINRCOMP Fwd ME 4M#Ask")/100</f>
        <v>#N/A</v>
      </c>
      <c r="I11" s="100" t="e">
        <f>RTD("tickerplantrtdserver",,"17#2#1#5978#JPYINRCOMP Fwd ME 4M#Bid")/100</f>
        <v>#N/A</v>
      </c>
      <c r="J11" s="100" t="e">
        <f>RTD("tickerplantrtdserver",,"17#2#1#5978#JPYINRCOMP Fwd ME 4M#Ask")/100</f>
        <v>#N/A</v>
      </c>
      <c r="K11" s="23" t="e">
        <f>RTD("tickerplantrtdserver",,"12#1#1#5949#FEURUSD\04M#Bid")</f>
        <v>#N/A</v>
      </c>
      <c r="L11" s="23" t="e">
        <f>RTD("tickerplantrtdserver",,"12#1#1#5949#FEURUSD\04M#Ask")</f>
        <v>#N/A</v>
      </c>
      <c r="M11" s="23" t="e">
        <f>RTD("tickerplantrtdserver",,"12#1#1#6031#FGBPUSD\04M#Bid")</f>
        <v>#N/A</v>
      </c>
      <c r="N11" s="23" t="e">
        <f>RTD("tickerplantrtdserver",,"12#1#1#6031#FGBPUSD\04M#Ask")</f>
        <v>#N/A</v>
      </c>
      <c r="O11" s="23" t="e">
        <f>RTD("tickerplantrtdserver",,"12#1#1#6069#FUSDJPY\04M#Bid")</f>
        <v>#N/A</v>
      </c>
      <c r="P11" s="102" t="e">
        <f>RTD("tickerplantrtdserver",,"12#1#1#6069#FUSDJPY\04M#Ask")</f>
        <v>#N/A</v>
      </c>
    </row>
    <row r="12" spans="1:18" x14ac:dyDescent="0.2">
      <c r="A12" s="129"/>
      <c r="B12" t="s">
        <v>71</v>
      </c>
      <c r="C12" s="81" t="e">
        <f>RTD("tickerplantrtdserver",,"17#2#1#6069#USDINRCOMP Fwd ME 4M#Bid")</f>
        <v>#N/A</v>
      </c>
      <c r="D12" s="82" t="e">
        <f>RTD("tickerplantrtdserver",,"17#2#1#6069#USDINRCOMP Fwd ME 4M#Ask")</f>
        <v>#N/A</v>
      </c>
      <c r="E12" s="100" t="e">
        <f>RTD("tickerplantrtdserver",,"17#2#1#5949#EURINRCOMP Fwd ME 5M#Bid")</f>
        <v>#N/A</v>
      </c>
      <c r="F12" s="100" t="e">
        <f>RTD("tickerplantrtdserver",,"17#2#1#5949#EURINRCOMP Fwd ME 5M#Ask")</f>
        <v>#N/A</v>
      </c>
      <c r="G12" s="100" t="e">
        <f>RTD("tickerplantrtdserver",,"17#2#1#6031#GBPINRCOMP Fwd ME 5M#Bid")/100</f>
        <v>#N/A</v>
      </c>
      <c r="H12" s="100" t="e">
        <f>RTD("tickerplantrtdserver",,"17#2#1#6031#GBPINRCOMP Fwd ME 5M#Ask")/100</f>
        <v>#N/A</v>
      </c>
      <c r="I12" s="100" t="e">
        <f>RTD("tickerplantrtdserver",,"17#2#1#5978#JPYINRCOMP Fwd ME 5M#Bid")/100</f>
        <v>#N/A</v>
      </c>
      <c r="J12" s="100" t="e">
        <f>RTD("tickerplantrtdserver",,"17#2#1#5978#JPYINRCOMP Fwd ME 5M#Ask")/100</f>
        <v>#N/A</v>
      </c>
      <c r="K12" s="23" t="e">
        <f>RTD("tickerplantrtdserver",,"12#1#1#5949#FEURUSD\05M#Bid")</f>
        <v>#N/A</v>
      </c>
      <c r="L12" s="23" t="e">
        <f>RTD("tickerplantrtdserver",,"12#1#1#5949#FEURUSD\05M#Ask")</f>
        <v>#N/A</v>
      </c>
      <c r="M12" s="23" t="e">
        <f>RTD("tickerplantrtdserver",,"12#1#1#6031#FGBPUSD\05M#Bid")</f>
        <v>#N/A</v>
      </c>
      <c r="N12" s="23" t="e">
        <f>RTD("tickerplantrtdserver",,"12#1#1#6031#FGBPUSD\05M#Ask")</f>
        <v>#N/A</v>
      </c>
      <c r="O12" s="23" t="e">
        <f>RTD("tickerplantrtdserver",,"12#1#1#6069#FUSDJPY\05M#Bid")</f>
        <v>#N/A</v>
      </c>
      <c r="P12" s="102" t="e">
        <f>RTD("tickerplantrtdserver",,"12#1#1#6069#FUSDJPY\05M#Ask")</f>
        <v>#N/A</v>
      </c>
    </row>
    <row r="13" spans="1:18" x14ac:dyDescent="0.2">
      <c r="A13" s="129"/>
      <c r="B13" t="s">
        <v>64</v>
      </c>
      <c r="C13" s="81" t="e">
        <f>RTD("tickerplantrtdserver",,"17#2#1#6069#USDINRCOMP Fwd ME 5M#Bid")</f>
        <v>#N/A</v>
      </c>
      <c r="D13" s="82" t="e">
        <f>RTD("tickerplantrtdserver",,"17#2#1#6069#USDINRCOMP Fwd ME 5M#Ask")</f>
        <v>#N/A</v>
      </c>
      <c r="E13" s="100" t="e">
        <f>RTD("tickerplantrtdserver",,"17#2#1#5949#EURINRCOMP Fwd ME 6M#Bid")</f>
        <v>#N/A</v>
      </c>
      <c r="F13" s="100" t="e">
        <f>RTD("tickerplantrtdserver",,"17#2#1#5949#EURINRCOMP Fwd ME 6M#Ask")</f>
        <v>#N/A</v>
      </c>
      <c r="G13" s="100" t="e">
        <f>RTD("tickerplantrtdserver",,"17#2#1#6031#GBPINRCOMP Fwd ME 6M#Bid")/100</f>
        <v>#N/A</v>
      </c>
      <c r="H13" s="100" t="e">
        <f>RTD("tickerplantrtdserver",,"17#2#1#6031#GBPINRCOMP Fwd ME 6M#Ask")/100</f>
        <v>#N/A</v>
      </c>
      <c r="I13" s="100" t="e">
        <f>RTD("tickerplantrtdserver",,"17#2#1#5978#JPYINRCOMP Fwd ME 6M#Bid")/100</f>
        <v>#N/A</v>
      </c>
      <c r="J13" s="100" t="e">
        <f>RTD("tickerplantrtdserver",,"17#2#1#5978#JPYINRCOMP Fwd ME 6M#Ask")/100</f>
        <v>#N/A</v>
      </c>
      <c r="K13" s="23" t="e">
        <f>RTD("tickerplantrtdserver",,"12#1#1#5949#FEURUSD\06M#Bid")</f>
        <v>#N/A</v>
      </c>
      <c r="L13" s="23" t="e">
        <f>RTD("tickerplantrtdserver",,"12#1#1#5949#FEURUSD\06M#Ask")</f>
        <v>#N/A</v>
      </c>
      <c r="M13" s="23" t="e">
        <f>RTD("tickerplantrtdserver",,"12#1#1#6031#FGBPUSD\06M#Bid")</f>
        <v>#N/A</v>
      </c>
      <c r="N13" s="23" t="e">
        <f>RTD("tickerplantrtdserver",,"12#1#1#6031#FGBPUSD\06M#Ask")</f>
        <v>#N/A</v>
      </c>
      <c r="O13" s="23" t="e">
        <f>RTD("tickerplantrtdserver",,"12#1#1#6069#FUSDJPY\06M#Bid")</f>
        <v>#N/A</v>
      </c>
      <c r="P13" s="102" t="e">
        <f>RTD("tickerplantrtdserver",,"12#1#1#6069#FUSDJPY\06M#Ask")</f>
        <v>#N/A</v>
      </c>
    </row>
    <row r="14" spans="1:18" x14ac:dyDescent="0.2">
      <c r="A14" s="129"/>
      <c r="B14" t="s">
        <v>78</v>
      </c>
      <c r="C14" s="81" t="e">
        <f>RTD("tickerplantrtdserver",,"17#2#1#6069#USDINRCOMP Fwd ME 6M#Bid")</f>
        <v>#N/A</v>
      </c>
      <c r="D14" s="82" t="e">
        <f>RTD("tickerplantrtdserver",,"17#2#1#6069#USDINRCOMP Fwd ME 6M#Ask")</f>
        <v>#N/A</v>
      </c>
      <c r="E14" s="100" t="e">
        <f>RTD("tickerplantrtdserver",,"17#2#1#5949#EURINRCOMP Fwd ME 7M#Bid")</f>
        <v>#N/A</v>
      </c>
      <c r="F14" s="100" t="e">
        <f>RTD("tickerplantrtdserver",,"17#2#1#5949#EURINRCOMP Fwd ME 7M#Ask")</f>
        <v>#N/A</v>
      </c>
      <c r="G14" s="100" t="e">
        <f>RTD("tickerplantrtdserver",,"17#2#1#6031#GBPINRCOMP Fwd ME 7M#Bid")/100</f>
        <v>#N/A</v>
      </c>
      <c r="H14" s="100" t="e">
        <f>RTD("tickerplantrtdserver",,"17#2#1#6031#GBPINRCOMP Fwd ME 7M#Ask")/100</f>
        <v>#N/A</v>
      </c>
      <c r="I14" s="100" t="e">
        <f>RTD("tickerplantrtdserver",,"17#2#1#5978#JPYINRCOMP Fwd ME 7M#Bid")/100</f>
        <v>#N/A</v>
      </c>
      <c r="J14" s="100" t="e">
        <f>RTD("tickerplantrtdserver",,"17#2#1#5978#JPYINRCOMP Fwd ME 7M#Ask")/100</f>
        <v>#N/A</v>
      </c>
      <c r="K14" s="23" t="e">
        <f>RTD("tickerplantrtdserver",,"12#1#1#5949#FEURUSD\07M#Bid")</f>
        <v>#N/A</v>
      </c>
      <c r="L14" s="23" t="e">
        <f>RTD("tickerplantrtdserver",,"12#1#1#5949#FEURUSD\07M#Ask")</f>
        <v>#N/A</v>
      </c>
      <c r="M14" s="23" t="e">
        <f>RTD("tickerplantrtdserver",,"12#1#1#6031#FGBPUSD\07M#Bid")</f>
        <v>#N/A</v>
      </c>
      <c r="N14" s="23" t="e">
        <f>RTD("tickerplantrtdserver",,"12#1#1#6031#FGBPUSD\07M#Ask")</f>
        <v>#N/A</v>
      </c>
      <c r="O14" s="23" t="e">
        <f>RTD("tickerplantrtdserver",,"12#1#1#6069#FUSDJPY\07M#Bid")</f>
        <v>#N/A</v>
      </c>
      <c r="P14" s="102" t="e">
        <f>RTD("tickerplantrtdserver",,"12#1#1#6069#FUSDJPY\07M#Ask")</f>
        <v>#N/A</v>
      </c>
    </row>
    <row r="15" spans="1:18" x14ac:dyDescent="0.2">
      <c r="A15" s="129"/>
      <c r="B15" t="s">
        <v>79</v>
      </c>
      <c r="C15" s="81" t="e">
        <f>RTD("tickerplantrtdserver",,"17#2#1#6069#USDINRCOMP Fwd ME 7M#Bid")</f>
        <v>#N/A</v>
      </c>
      <c r="D15" s="82" t="e">
        <f>RTD("tickerplantrtdserver",,"17#2#1#6069#USDINRCOMP Fwd ME 7M#Ask")</f>
        <v>#N/A</v>
      </c>
      <c r="E15" s="100" t="e">
        <f>RTD("tickerplantrtdserver",,"17#2#1#5949#EURINRCOMP Fwd ME 8M#Bid")</f>
        <v>#N/A</v>
      </c>
      <c r="F15" s="100" t="e">
        <f>RTD("tickerplantrtdserver",,"17#2#1#5949#EURINRCOMP Fwd ME 8M#Ask")</f>
        <v>#N/A</v>
      </c>
      <c r="G15" s="100" t="e">
        <f>RTD("tickerplantrtdserver",,"17#2#1#6031#GBPINRCOMP Fwd ME 8M#Bid")/100</f>
        <v>#N/A</v>
      </c>
      <c r="H15" s="100" t="e">
        <f>RTD("tickerplantrtdserver",,"17#2#1#6031#GBPINRCOMP Fwd ME 8M#Ask")/100</f>
        <v>#N/A</v>
      </c>
      <c r="I15" s="100" t="e">
        <f>RTD("tickerplantrtdserver",,"17#2#1#5978#JPYINRCOMP Fwd ME 8M#Bid")/100</f>
        <v>#N/A</v>
      </c>
      <c r="J15" s="100" t="e">
        <f>RTD("tickerplantrtdserver",,"17#2#1#5978#JPYINRCOMP Fwd ME 8M#Ask")/100</f>
        <v>#N/A</v>
      </c>
      <c r="K15" s="23" t="e">
        <f>RTD("tickerplantrtdserver",,"12#1#1#5949#FEURUSD\08M#Bid")</f>
        <v>#N/A</v>
      </c>
      <c r="L15" s="23" t="e">
        <f>RTD("tickerplantrtdserver",,"12#1#1#5949#FEURUSD\08M#Ask")</f>
        <v>#N/A</v>
      </c>
      <c r="M15" s="23" t="e">
        <f>RTD("tickerplantrtdserver",,"12#1#1#6031#FGBPUSD\08M#Bid")</f>
        <v>#N/A</v>
      </c>
      <c r="N15" s="23" t="e">
        <f>RTD("tickerplantrtdserver",,"12#1#1#6031#FGBPUSD\08M#Ask")</f>
        <v>#N/A</v>
      </c>
      <c r="O15" s="23" t="e">
        <f>RTD("tickerplantrtdserver",,"12#1#1#6069#FUSDJPY\08M#Bid")</f>
        <v>#N/A</v>
      </c>
      <c r="P15" s="102" t="e">
        <f>RTD("tickerplantrtdserver",,"12#1#1#6069#FUSDJPY\08M#Ask")</f>
        <v>#N/A</v>
      </c>
    </row>
    <row r="16" spans="1:18" x14ac:dyDescent="0.2">
      <c r="A16" s="129"/>
      <c r="B16" t="s">
        <v>72</v>
      </c>
      <c r="C16" s="81" t="e">
        <f>RTD("tickerplantrtdserver",,"17#2#1#6069#USDINRCOMP Fwd ME 8M#Bid")</f>
        <v>#N/A</v>
      </c>
      <c r="D16" s="82" t="e">
        <f>RTD("tickerplantrtdserver",,"17#2#1#6069#USDINRCOMP Fwd ME 8M#Ask")</f>
        <v>#N/A</v>
      </c>
      <c r="E16" s="100" t="e">
        <f>RTD("tickerplantrtdserver",,"17#2#1#5949#EURINRCOMP Fwd ME 9M#Bid")</f>
        <v>#N/A</v>
      </c>
      <c r="F16" s="100" t="e">
        <f>RTD("tickerplantrtdserver",,"17#2#1#5949#EURINRCOMP Fwd ME 9M#Ask")</f>
        <v>#N/A</v>
      </c>
      <c r="G16" s="100" t="e">
        <f>RTD("tickerplantrtdserver",,"17#2#1#6031#GBPINRCOMP Fwd ME 9M#Bid")/100</f>
        <v>#N/A</v>
      </c>
      <c r="H16" s="100" t="e">
        <f>RTD("tickerplantrtdserver",,"17#2#1#6031#GBPINRCOMP Fwd ME 9M#Ask")/100</f>
        <v>#N/A</v>
      </c>
      <c r="I16" s="100" t="e">
        <f>RTD("tickerplantrtdserver",,"17#2#1#5978#JPYINRCOMP Fwd ME 9M#Bid")/100</f>
        <v>#N/A</v>
      </c>
      <c r="J16" s="100" t="e">
        <f>RTD("tickerplantrtdserver",,"17#2#1#5978#JPYINRCOMP Fwd ME 9M#Ask")/100</f>
        <v>#N/A</v>
      </c>
      <c r="K16" s="23" t="e">
        <f>RTD("tickerplantrtdserver",,"12#1#1#5949#FEURUSD\09M#Bid")</f>
        <v>#N/A</v>
      </c>
      <c r="L16" s="23" t="e">
        <f>RTD("tickerplantrtdserver",,"12#1#1#5949#FEURUSD\09M#Ask")</f>
        <v>#N/A</v>
      </c>
      <c r="M16" s="23" t="e">
        <f>RTD("tickerplantrtdserver",,"12#1#1#6031#FGBPUSD\09M#Bid")</f>
        <v>#N/A</v>
      </c>
      <c r="N16" s="23" t="e">
        <f>RTD("tickerplantrtdserver",,"12#1#1#6031#FGBPUSD\09M#Ask")</f>
        <v>#N/A</v>
      </c>
      <c r="O16" s="23" t="e">
        <f>RTD("tickerplantrtdserver",,"12#1#1#6069#FUSDJPY\09M#Bid")</f>
        <v>#N/A</v>
      </c>
      <c r="P16" s="102" t="e">
        <f>RTD("tickerplantrtdserver",,"12#1#1#6069#FUSDJPY\09M#Ask")</f>
        <v>#N/A</v>
      </c>
    </row>
    <row r="17" spans="1:16" x14ac:dyDescent="0.2">
      <c r="A17" s="129"/>
      <c r="B17" t="s">
        <v>80</v>
      </c>
      <c r="C17" s="81" t="e">
        <f>RTD("tickerplantrtdserver",,"17#2#1#6069#USDINRCOMP Fwd ME 9M#Bid")</f>
        <v>#N/A</v>
      </c>
      <c r="D17" s="82" t="e">
        <f>RTD("tickerplantrtdserver",,"17#2#1#6069#USDINRCOMP Fwd ME 9M#Ask")</f>
        <v>#N/A</v>
      </c>
      <c r="E17" s="100" t="e">
        <f>RTD("tickerplantrtdserver",,"17#2#1#5949#EURINRCOMP Fwd ME 10M#Bid")</f>
        <v>#N/A</v>
      </c>
      <c r="F17" s="100" t="e">
        <f>RTD("tickerplantrtdserver",,"17#2#1#5949#EURINRCOMP Fwd ME 10M#Ask")</f>
        <v>#N/A</v>
      </c>
      <c r="G17" s="100" t="e">
        <f>RTD("tickerplantrtdserver",,"17#2#1#6031#GBPINRCOMP Fwd ME 10M#Bid")/100</f>
        <v>#N/A</v>
      </c>
      <c r="H17" s="100" t="e">
        <f>RTD("tickerplantrtdserver",,"17#2#1#6031#GBPINRCOMP Fwd ME 10M#Ask")/100</f>
        <v>#N/A</v>
      </c>
      <c r="I17" s="100" t="e">
        <f>RTD("tickerplantrtdserver",,"17#2#1#5978#JPYINRCOMP Fwd ME 10M#Bid")/100</f>
        <v>#N/A</v>
      </c>
      <c r="J17" s="100" t="e">
        <f>RTD("tickerplantrtdserver",,"17#2#1#5978#JPYINRCOMP Fwd ME 10M#Ask")/100</f>
        <v>#N/A</v>
      </c>
      <c r="K17" s="23" t="e">
        <f>RTD("tickerplantrtdserver",,"12#1#1#5949#FEURUSD\10M#Bid")</f>
        <v>#N/A</v>
      </c>
      <c r="L17" s="23" t="e">
        <f>RTD("tickerplantrtdserver",,"12#1#1#5949#FEURUSD\10M#Ask")</f>
        <v>#N/A</v>
      </c>
      <c r="M17" s="23" t="e">
        <f>RTD("tickerplantrtdserver",,"12#1#1#6031#FGBPUSD\10M#Bid")</f>
        <v>#N/A</v>
      </c>
      <c r="N17" s="23" t="e">
        <f>RTD("tickerplantrtdserver",,"12#1#1#6031#FGBPUSD\10M#Ask")</f>
        <v>#N/A</v>
      </c>
      <c r="O17" s="23" t="e">
        <f>RTD("tickerplantrtdserver",,"12#1#1#6069#FUSDJPY\10M#Bid")</f>
        <v>#N/A</v>
      </c>
      <c r="P17" s="102" t="e">
        <f>RTD("tickerplantrtdserver",,"12#1#1#6069#FUSDJPY\10M#Ask")</f>
        <v>#N/A</v>
      </c>
    </row>
    <row r="18" spans="1:16" x14ac:dyDescent="0.2">
      <c r="A18" s="129"/>
      <c r="B18" t="s">
        <v>81</v>
      </c>
      <c r="C18" s="81" t="e">
        <f>RTD("tickerplantrtdserver",,"17#2#1#6069#USDINRCOMP Fwd ME 10M#Bid")</f>
        <v>#N/A</v>
      </c>
      <c r="D18" s="82" t="e">
        <f>RTD("tickerplantrtdserver",,"17#2#1#6069#USDINRCOMP Fwd ME 10M#Ask")</f>
        <v>#N/A</v>
      </c>
      <c r="E18" s="100" t="e">
        <f>RTD("tickerplantrtdserver",,"17#2#1#5949#EURINRCOMP Fwd ME 11M#Bid")</f>
        <v>#N/A</v>
      </c>
      <c r="F18" s="100" t="e">
        <f>RTD("tickerplantrtdserver",,"17#2#1#5949#EURINRCOMP Fwd ME 11M#Ask")</f>
        <v>#N/A</v>
      </c>
      <c r="G18" s="100" t="e">
        <f>RTD("tickerplantrtdserver",,"17#2#1#6031#GBPINRCOMP Fwd ME 11M#Bid")/100</f>
        <v>#N/A</v>
      </c>
      <c r="H18" s="100" t="e">
        <f>RTD("tickerplantrtdserver",,"17#2#1#6031#GBPINRCOMP Fwd ME 11M#Ask")/100</f>
        <v>#N/A</v>
      </c>
      <c r="I18" s="100" t="e">
        <f>RTD("tickerplantrtdserver",,"17#2#1#5978#JPYINRCOMP Fwd ME 11M#Bid")/100</f>
        <v>#N/A</v>
      </c>
      <c r="J18" s="100" t="e">
        <f>RTD("tickerplantrtdserver",,"17#2#1#5978#JPYINRCOMP Fwd ME 11M#Ask")/100</f>
        <v>#N/A</v>
      </c>
      <c r="K18" s="23" t="e">
        <f>RTD("tickerplantrtdserver",,"12#1#1#5949#FEURUSD\11M#Bid")</f>
        <v>#N/A</v>
      </c>
      <c r="L18" s="23" t="e">
        <f>RTD("tickerplantrtdserver",,"12#1#1#5949#FEURUSD\11M#Ask")</f>
        <v>#N/A</v>
      </c>
      <c r="M18" s="23" t="e">
        <f>RTD("tickerplantrtdserver",,"12#1#1#6031#FGBPUSD\11M#Bid")</f>
        <v>#N/A</v>
      </c>
      <c r="N18" s="23" t="e">
        <f>RTD("tickerplantrtdserver",,"12#1#1#6031#FGBPUSD\11M#Ask")</f>
        <v>#N/A</v>
      </c>
      <c r="O18" s="23" t="e">
        <f>RTD("tickerplantrtdserver",,"12#1#1#6069#FUSDJPY\11M#Bid")</f>
        <v>#N/A</v>
      </c>
      <c r="P18" s="102" t="e">
        <f>RTD("tickerplantrtdserver",,"12#1#1#6069#FUSDJPY\11M#Ask")</f>
        <v>#N/A</v>
      </c>
    </row>
    <row r="19" spans="1:16" ht="16" thickBot="1" x14ac:dyDescent="0.25">
      <c r="A19" s="129"/>
      <c r="B19" t="s">
        <v>63</v>
      </c>
      <c r="C19" s="83" t="e">
        <f>RTD("tickerplantrtdserver",,"17#2#1#6069#USDINRCOMP Fwd ME 11M#Bid")</f>
        <v>#N/A</v>
      </c>
      <c r="D19" s="84" t="e">
        <f>RTD("tickerplantrtdserver",,"17#2#1#6069#USDINRCOMP Fwd ME 11M#Bid")</f>
        <v>#N/A</v>
      </c>
      <c r="E19" s="101" t="e">
        <f>RTD("tickerplantrtdserver",,"17#2#1#5949#EURINRCOMP Fwd ME 1Y#Bid")</f>
        <v>#N/A</v>
      </c>
      <c r="F19" s="101" t="e">
        <f>RTD("tickerplantrtdserver",,"17#2#1#5949#EURINRCOMP Fwd ME 1Y#Ask")</f>
        <v>#N/A</v>
      </c>
      <c r="G19" s="101" t="e">
        <f>RTD("tickerplantrtdserver",,"17#2#1#6031#GBPINRCOMP Fwd ME 1Y#Bid")/100</f>
        <v>#N/A</v>
      </c>
      <c r="H19" s="101" t="e">
        <f>RTD("tickerplantrtdserver",,"17#2#1#6031#GBPINRCOMP Fwd ME 1Y#Ask")/100</f>
        <v>#N/A</v>
      </c>
      <c r="I19" s="101" t="e">
        <f>RTD("tickerplantrtdserver",,"17#2#1#5978#JPYINRCOMP Fwd ME 1Y#Bid")/100</f>
        <v>#N/A</v>
      </c>
      <c r="J19" s="101" t="e">
        <f>RTD("tickerplantrtdserver",,"17#2#1#5978#JPYINRCOMP Fwd ME 1Y#Ask")/100</f>
        <v>#N/A</v>
      </c>
      <c r="K19" s="64" t="e">
        <f>RTD("tickerplantrtdserver",,"12#1#1#5949#FEURUSD\12M#Bid")</f>
        <v>#N/A</v>
      </c>
      <c r="L19" s="64" t="e">
        <f>RTD("tickerplantrtdserver",,"12#1#1#5949#FEURUSD\12M#Ask")</f>
        <v>#N/A</v>
      </c>
      <c r="M19" s="64" t="e">
        <f>RTD("tickerplantrtdserver",,"12#1#1#6031#FGBPUSD\12M#Bid")</f>
        <v>#N/A</v>
      </c>
      <c r="N19" s="64" t="e">
        <f>RTD("tickerplantrtdserver",,"12#1#1#6031#FGBPUSD\12M#Ask")</f>
        <v>#N/A</v>
      </c>
      <c r="O19" s="64" t="e">
        <f>RTD("tickerplantrtdserver",,"12#1#1#6069#FUSDJPY\12M#Bid")</f>
        <v>#N/A</v>
      </c>
      <c r="P19" s="66" t="e">
        <f>RTD("tickerplantrtdserver",,"12#1#1#6069#FUSDJPY\12M#Ask")</f>
        <v>#N/A</v>
      </c>
    </row>
  </sheetData>
  <mergeCells count="9">
    <mergeCell ref="E2:L3"/>
    <mergeCell ref="O5:P5"/>
    <mergeCell ref="A8:A19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12" bestFit="1" customWidth="1"/>
  </cols>
  <sheetData>
    <row r="1" spans="1:7" ht="16" thickBot="1" x14ac:dyDescent="0.25">
      <c r="A1" s="110" t="s">
        <v>26</v>
      </c>
      <c r="B1" s="24" t="s">
        <v>60</v>
      </c>
      <c r="C1" s="24" t="s">
        <v>59</v>
      </c>
      <c r="D1" s="24" t="s">
        <v>58</v>
      </c>
      <c r="E1" s="24" t="s">
        <v>57</v>
      </c>
      <c r="F1" s="11" t="s">
        <v>56</v>
      </c>
      <c r="G1" s="5"/>
    </row>
    <row r="2" spans="1:7" ht="16" customHeight="1" x14ac:dyDescent="0.2">
      <c r="A2" s="11" t="s">
        <v>111</v>
      </c>
      <c r="B2" s="8">
        <v>82.212500000000006</v>
      </c>
      <c r="C2" s="23">
        <v>1.8608</v>
      </c>
      <c r="D2" s="8">
        <v>82.163784000000007</v>
      </c>
      <c r="E2" s="23">
        <v>0.39179999999999998</v>
      </c>
      <c r="F2" s="8">
        <v>82.197522000000006</v>
      </c>
      <c r="G2" s="5"/>
    </row>
    <row r="3" spans="1:7" ht="15.75" customHeight="1" x14ac:dyDescent="0.2">
      <c r="A3" s="11" t="s">
        <v>112</v>
      </c>
      <c r="B3" s="8">
        <v>82.224999999999994</v>
      </c>
      <c r="C3" s="23">
        <v>4.8715999999999999</v>
      </c>
      <c r="D3" s="8">
        <v>82.206391999999994</v>
      </c>
      <c r="E3" s="23">
        <v>1.4978</v>
      </c>
      <c r="F3" s="8">
        <v>82.221081999999996</v>
      </c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J32" sqref="J32"/>
    </sheetView>
  </sheetViews>
  <sheetFormatPr baseColWidth="10" defaultColWidth="8.83203125" defaultRowHeight="15" x14ac:dyDescent="0.2"/>
  <cols>
    <col min="1" max="1" width="12" bestFit="1" customWidth="1"/>
  </cols>
  <sheetData>
    <row r="1" spans="1:7" ht="16" thickBot="1" x14ac:dyDescent="0.25">
      <c r="A1" s="110" t="s">
        <v>25</v>
      </c>
      <c r="B1" s="24" t="s">
        <v>60</v>
      </c>
      <c r="C1" s="24" t="s">
        <v>59</v>
      </c>
      <c r="D1" s="24" t="s">
        <v>58</v>
      </c>
      <c r="E1" s="24" t="s">
        <v>57</v>
      </c>
      <c r="F1" s="11" t="s">
        <v>56</v>
      </c>
      <c r="G1" s="5"/>
    </row>
    <row r="2" spans="1:7" ht="16" customHeight="1" x14ac:dyDescent="0.2">
      <c r="A2" s="11" t="s">
        <v>111</v>
      </c>
      <c r="B2" s="8">
        <v>94.11</v>
      </c>
      <c r="C2" s="23">
        <v>141.60769999999999</v>
      </c>
      <c r="D2" s="8">
        <v>89.003264000000001</v>
      </c>
      <c r="E2" s="7">
        <v>24.2697</v>
      </c>
      <c r="F2" s="8">
        <v>92.483559999999997</v>
      </c>
      <c r="G2" s="5"/>
    </row>
    <row r="3" spans="1:7" ht="15.75" customHeight="1" x14ac:dyDescent="0.2">
      <c r="A3" s="11" t="s">
        <v>112</v>
      </c>
      <c r="B3" s="8">
        <v>94.122500000000002</v>
      </c>
      <c r="C3" s="23">
        <v>510.67360000000002</v>
      </c>
      <c r="D3" s="8">
        <v>92.706423000000001</v>
      </c>
      <c r="E3" s="7">
        <v>162.64400000000001</v>
      </c>
      <c r="F3" s="8">
        <v>93.879802999999995</v>
      </c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" bestFit="1" customWidth="1"/>
    <col min="8" max="8" width="8.6640625" bestFit="1" customWidth="1"/>
  </cols>
  <sheetData>
    <row r="1" spans="1:7" x14ac:dyDescent="0.2">
      <c r="A1" s="5" t="s">
        <v>24</v>
      </c>
      <c r="B1" s="24" t="s">
        <v>60</v>
      </c>
      <c r="C1" s="24" t="s">
        <v>59</v>
      </c>
      <c r="D1" s="24" t="s">
        <v>58</v>
      </c>
      <c r="E1" s="24" t="s">
        <v>57</v>
      </c>
      <c r="F1" s="11" t="s">
        <v>56</v>
      </c>
      <c r="G1" s="5"/>
    </row>
    <row r="2" spans="1:7" ht="16" customHeight="1" x14ac:dyDescent="0.2">
      <c r="A2" s="11" t="s">
        <v>111</v>
      </c>
      <c r="B2" s="7">
        <v>71.027500000000003</v>
      </c>
      <c r="C2" s="7">
        <v>129.98060000000001</v>
      </c>
      <c r="D2" s="8">
        <v>67.034289999999999</v>
      </c>
      <c r="E2" s="7">
        <v>25.866099999999999</v>
      </c>
      <c r="F2" s="8">
        <v>69.786972000000006</v>
      </c>
      <c r="G2" s="5"/>
    </row>
    <row r="3" spans="1:7" ht="15.75" customHeight="1" x14ac:dyDescent="0.2">
      <c r="A3" s="11" t="s">
        <v>112</v>
      </c>
      <c r="B3" s="7">
        <v>71.037499999999994</v>
      </c>
      <c r="C3" s="23">
        <v>399.32100000000003</v>
      </c>
      <c r="D3" s="8">
        <v>69.737693999999991</v>
      </c>
      <c r="E3" s="7">
        <v>124.0528</v>
      </c>
      <c r="F3" s="8">
        <v>70.778838999999991</v>
      </c>
      <c r="G3" s="5"/>
    </row>
    <row r="4" spans="1:7" x14ac:dyDescent="0.2">
      <c r="A4" s="5"/>
      <c r="B4" s="5"/>
      <c r="C4" s="5"/>
      <c r="D4" s="5"/>
      <c r="E4" s="5"/>
      <c r="F4" s="5"/>
      <c r="G4" s="5"/>
    </row>
    <row r="5" spans="1:7" x14ac:dyDescent="0.2">
      <c r="A5" s="5"/>
      <c r="B5" s="5"/>
      <c r="C5" s="5"/>
      <c r="D5" s="5"/>
      <c r="E5" s="5"/>
      <c r="F5" s="5"/>
      <c r="G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3"/>
  <sheetViews>
    <sheetView workbookViewId="0">
      <selection activeCell="N24" sqref="N24"/>
    </sheetView>
  </sheetViews>
  <sheetFormatPr baseColWidth="10" defaultColWidth="8.83203125" defaultRowHeight="15" x14ac:dyDescent="0.2"/>
  <cols>
    <col min="8" max="16" width="9.6640625" style="5" customWidth="1"/>
    <col min="17" max="17" width="8.6640625" bestFit="1" customWidth="1"/>
  </cols>
  <sheetData>
    <row r="1" spans="1:9" x14ac:dyDescent="0.2">
      <c r="A1" s="37"/>
      <c r="B1" s="26" t="s">
        <v>66</v>
      </c>
      <c r="C1" s="26" t="s">
        <v>69</v>
      </c>
      <c r="D1" s="26" t="s">
        <v>65</v>
      </c>
      <c r="E1" s="26" t="s">
        <v>70</v>
      </c>
      <c r="F1" s="26" t="s">
        <v>71</v>
      </c>
      <c r="G1" s="26" t="s">
        <v>64</v>
      </c>
      <c r="H1" s="35" t="s">
        <v>72</v>
      </c>
      <c r="I1" s="25" t="s">
        <v>63</v>
      </c>
    </row>
    <row r="2" spans="1:9" ht="15.75" customHeight="1" x14ac:dyDescent="0.2">
      <c r="A2" s="38" t="s">
        <v>55</v>
      </c>
      <c r="B2" s="56">
        <v>0.44087999999999999</v>
      </c>
      <c r="C2" s="56">
        <v>0.82774999999999999</v>
      </c>
      <c r="D2" s="56">
        <v>0.88712999999999997</v>
      </c>
      <c r="E2" s="56">
        <v>0.31709999999999999</v>
      </c>
      <c r="F2" s="56">
        <v>0.36725999999999998</v>
      </c>
      <c r="G2" s="56">
        <v>0.92225000000000001</v>
      </c>
      <c r="H2" s="58">
        <v>0.55079999999999996</v>
      </c>
      <c r="I2" s="59">
        <v>0.9395</v>
      </c>
    </row>
    <row r="3" spans="1:9" x14ac:dyDescent="0.2">
      <c r="A3" s="38" t="s">
        <v>53</v>
      </c>
      <c r="B3" s="56">
        <v>-0.40028999999999998</v>
      </c>
      <c r="C3" s="56">
        <v>-0.27771000000000001</v>
      </c>
      <c r="D3" s="56">
        <v>-0.152</v>
      </c>
      <c r="E3" s="56">
        <v>0.14713999999999999</v>
      </c>
      <c r="F3" s="56">
        <v>0.17357</v>
      </c>
      <c r="G3" s="56">
        <v>-6.8000000000000005E-2</v>
      </c>
      <c r="H3" s="58">
        <v>0.29357</v>
      </c>
      <c r="I3" s="59">
        <v>-1.0710000000000001E-2</v>
      </c>
    </row>
    <row r="4" spans="1:9" x14ac:dyDescent="0.2">
      <c r="A4" s="38" t="s">
        <v>51</v>
      </c>
      <c r="B4" s="56">
        <v>0.22688</v>
      </c>
      <c r="C4" s="56">
        <v>0.441</v>
      </c>
      <c r="D4" s="56">
        <v>0.63724999999999998</v>
      </c>
      <c r="E4" s="56">
        <v>0.53</v>
      </c>
      <c r="F4" s="56">
        <v>0.56188000000000005</v>
      </c>
      <c r="G4" s="56">
        <v>0.71550000000000002</v>
      </c>
      <c r="H4" s="58">
        <v>0.73624999999999996</v>
      </c>
      <c r="I4" s="59">
        <v>0.88100000000000001</v>
      </c>
    </row>
    <row r="5" spans="1:9" ht="16" thickBot="1" x14ac:dyDescent="0.25">
      <c r="A5" s="39" t="s">
        <v>50</v>
      </c>
      <c r="B5" s="22">
        <v>-5.2499999999999998E-2</v>
      </c>
      <c r="C5" s="22">
        <v>-3.3500000000000002E-2</v>
      </c>
      <c r="D5" s="22">
        <v>-4.0000000000000001E-3</v>
      </c>
      <c r="E5" s="22">
        <v>-3.3500000000000002E-2</v>
      </c>
      <c r="F5" s="22">
        <v>0.21571000000000001</v>
      </c>
      <c r="G5" s="22">
        <v>3.0169999999999999E-2</v>
      </c>
      <c r="H5" s="60">
        <v>0.35428999999999999</v>
      </c>
      <c r="I5" s="61">
        <v>0.11567</v>
      </c>
    </row>
    <row r="10" spans="1:9" s="19" customFormat="1" x14ac:dyDescent="0.2"/>
    <row r="11" spans="1:9" s="19" customFormat="1" ht="15.75" customHeight="1" x14ac:dyDescent="0.2"/>
    <row r="12" spans="1:9" s="19" customFormat="1" x14ac:dyDescent="0.2"/>
    <row r="22" spans="17:29" s="5" customFormat="1" x14ac:dyDescent="0.2"/>
    <row r="23" spans="17:29" x14ac:dyDescent="0.2"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7:29" x14ac:dyDescent="0.2"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7:29" x14ac:dyDescent="0.2"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30" spans="17:29" x14ac:dyDescent="0.2"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7:29" x14ac:dyDescent="0.2"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7:29" x14ac:dyDescent="0.2"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7:29" x14ac:dyDescent="0.2"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7:29" x14ac:dyDescent="0.2"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7:29" x14ac:dyDescent="0.2"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7:29" x14ac:dyDescent="0.2"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7:29" x14ac:dyDescent="0.2"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7:29" x14ac:dyDescent="0.2"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7:29" x14ac:dyDescent="0.2"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7:29" x14ac:dyDescent="0.2"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19"/>
    </row>
    <row r="41" spans="17:29" x14ac:dyDescent="0.2">
      <c r="Q41" s="19"/>
      <c r="R41" s="32"/>
      <c r="S41" s="32"/>
      <c r="T41" s="32"/>
      <c r="U41" s="32"/>
      <c r="V41" s="32"/>
      <c r="W41" s="32"/>
      <c r="X41" s="32"/>
      <c r="Y41" s="32"/>
      <c r="Z41" s="32"/>
      <c r="AA41" s="19"/>
      <c r="AB41" s="19"/>
    </row>
    <row r="42" spans="17:29" x14ac:dyDescent="0.2">
      <c r="Q42" s="19"/>
      <c r="R42" s="32"/>
      <c r="S42" s="32"/>
      <c r="T42" s="32"/>
      <c r="U42" s="32"/>
      <c r="V42" s="32"/>
      <c r="W42" s="32"/>
      <c r="X42" s="32"/>
      <c r="Y42" s="32"/>
      <c r="Z42" s="32"/>
      <c r="AA42" s="19"/>
      <c r="AB42" s="19"/>
    </row>
    <row r="43" spans="17:29" x14ac:dyDescent="0.2">
      <c r="R43" s="5"/>
      <c r="S43" s="5"/>
      <c r="T43" s="5"/>
      <c r="U43" s="5"/>
      <c r="V43" s="5"/>
      <c r="W43" s="5"/>
      <c r="X43" s="5"/>
      <c r="Y43" s="5"/>
      <c r="Z4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2.6640625" bestFit="1" customWidth="1"/>
    <col min="8" max="8" width="9.6640625" bestFit="1" customWidth="1"/>
    <col min="9" max="9" width="9" customWidth="1"/>
    <col min="10" max="10" width="8.6640625" customWidth="1"/>
    <col min="11" max="11" width="7.6640625" bestFit="1" customWidth="1"/>
  </cols>
  <sheetData>
    <row r="1" spans="1:12" s="19" customFormat="1" x14ac:dyDescent="0.2">
      <c r="A1" s="139" t="s">
        <v>73</v>
      </c>
      <c r="B1" s="132" t="s">
        <v>109</v>
      </c>
      <c r="C1" s="132" t="s">
        <v>110</v>
      </c>
      <c r="D1" s="132" t="s">
        <v>49</v>
      </c>
      <c r="E1" s="132" t="s">
        <v>48</v>
      </c>
      <c r="F1" s="132" t="s">
        <v>47</v>
      </c>
      <c r="G1" s="132" t="s">
        <v>46</v>
      </c>
      <c r="H1" s="132" t="s">
        <v>45</v>
      </c>
      <c r="I1" s="132" t="s">
        <v>44</v>
      </c>
      <c r="J1" s="134" t="s">
        <v>43</v>
      </c>
    </row>
    <row r="2" spans="1:12" s="19" customFormat="1" ht="15.75" customHeight="1" x14ac:dyDescent="0.2">
      <c r="A2" s="140"/>
      <c r="B2" s="133"/>
      <c r="C2" s="133"/>
      <c r="D2" s="133"/>
      <c r="E2" s="133"/>
      <c r="F2" s="133"/>
      <c r="G2" s="133"/>
      <c r="H2" s="133"/>
      <c r="I2" s="133"/>
      <c r="J2" s="135"/>
      <c r="K2" s="44"/>
    </row>
    <row r="3" spans="1:12" s="19" customFormat="1" x14ac:dyDescent="0.2">
      <c r="A3" s="10" t="s">
        <v>37</v>
      </c>
      <c r="B3" s="8">
        <v>76.45</v>
      </c>
      <c r="C3" s="8">
        <v>76.459999999999994</v>
      </c>
      <c r="D3" s="23">
        <v>0.5</v>
      </c>
      <c r="E3" s="8">
        <v>76.290000000000006</v>
      </c>
      <c r="F3" s="8">
        <v>76.47</v>
      </c>
      <c r="G3" s="8">
        <v>76.155000000000001</v>
      </c>
      <c r="H3" s="13">
        <v>76.069999999999993</v>
      </c>
      <c r="I3" s="13">
        <v>76.905000000000001</v>
      </c>
      <c r="J3" s="62">
        <v>68.290000000000006</v>
      </c>
      <c r="K3" s="20"/>
    </row>
    <row r="4" spans="1:12" s="19" customFormat="1" x14ac:dyDescent="0.2">
      <c r="A4" s="10" t="s">
        <v>26</v>
      </c>
      <c r="B4" s="8">
        <v>82.212500000000006</v>
      </c>
      <c r="C4" s="8">
        <v>82.224999999999994</v>
      </c>
      <c r="D4" s="23">
        <v>0.09</v>
      </c>
      <c r="E4" s="8">
        <v>82.18</v>
      </c>
      <c r="F4" s="8">
        <v>82.3125</v>
      </c>
      <c r="G4" s="13">
        <v>81.892499999999998</v>
      </c>
      <c r="H4" s="13">
        <v>82.135000000000005</v>
      </c>
      <c r="I4" s="13">
        <v>0</v>
      </c>
      <c r="J4" s="40">
        <v>0</v>
      </c>
      <c r="K4" s="32"/>
    </row>
    <row r="5" spans="1:12" s="19" customFormat="1" x14ac:dyDescent="0.2">
      <c r="A5" s="10" t="s">
        <v>25</v>
      </c>
      <c r="B5" s="8">
        <v>94.11</v>
      </c>
      <c r="C5" s="8">
        <v>94.122500000000002</v>
      </c>
      <c r="D5" s="23">
        <v>0.18</v>
      </c>
      <c r="E5" s="8">
        <v>94.252499999999998</v>
      </c>
      <c r="F5" s="8">
        <v>94.287499999999994</v>
      </c>
      <c r="G5" s="13">
        <v>93.932500000000005</v>
      </c>
      <c r="H5" s="8">
        <v>93.9375</v>
      </c>
      <c r="I5" s="8">
        <v>0</v>
      </c>
      <c r="J5" s="40">
        <v>0</v>
      </c>
      <c r="K5" s="32"/>
    </row>
    <row r="6" spans="1:12" s="19" customFormat="1" x14ac:dyDescent="0.2">
      <c r="A6" s="41" t="s">
        <v>24</v>
      </c>
      <c r="B6" s="8">
        <v>71.027500000000003</v>
      </c>
      <c r="C6" s="8">
        <v>71.037499999999994</v>
      </c>
      <c r="D6" s="7">
        <v>0.51</v>
      </c>
      <c r="E6" s="8">
        <v>70.864999999999995</v>
      </c>
      <c r="F6" s="8">
        <v>71.037499999999994</v>
      </c>
      <c r="G6" s="63">
        <v>70.722499999999997</v>
      </c>
      <c r="H6" s="8">
        <v>70.67</v>
      </c>
      <c r="I6" s="8">
        <v>0</v>
      </c>
      <c r="J6" s="40">
        <v>0</v>
      </c>
      <c r="K6" s="32"/>
    </row>
    <row r="7" spans="1:12" s="19" customFormat="1" x14ac:dyDescent="0.2">
      <c r="A7" s="41" t="s">
        <v>23</v>
      </c>
      <c r="B7" s="8">
        <v>1.0824199999999999</v>
      </c>
      <c r="C7" s="8">
        <v>1.0825800000000001</v>
      </c>
      <c r="D7" s="23">
        <v>0</v>
      </c>
      <c r="E7" s="8">
        <v>1.0824199999999999</v>
      </c>
      <c r="F7" s="8">
        <v>1.0824199999999999</v>
      </c>
      <c r="G7" s="63">
        <v>1.0824199999999999</v>
      </c>
      <c r="H7" s="8">
        <v>1.0824199999999999</v>
      </c>
      <c r="I7" s="8">
        <v>1.1496</v>
      </c>
      <c r="J7" s="40">
        <v>1.0634999999999999</v>
      </c>
      <c r="K7" s="32"/>
    </row>
    <row r="8" spans="1:12" s="19" customFormat="1" x14ac:dyDescent="0.2">
      <c r="A8" s="41" t="s">
        <v>22</v>
      </c>
      <c r="B8" s="8">
        <v>1.23655</v>
      </c>
      <c r="C8" s="8">
        <v>1.23682</v>
      </c>
      <c r="D8" s="23">
        <v>0</v>
      </c>
      <c r="E8" s="8">
        <v>1.23655</v>
      </c>
      <c r="F8" s="8">
        <v>1.23655</v>
      </c>
      <c r="G8" s="63">
        <v>1.23655</v>
      </c>
      <c r="H8" s="8">
        <v>1.23655</v>
      </c>
      <c r="I8" s="8">
        <v>1.3514900000000001</v>
      </c>
      <c r="J8" s="40">
        <v>1.1407799999999999</v>
      </c>
    </row>
    <row r="9" spans="1:12" ht="16" thickBot="1" x14ac:dyDescent="0.25">
      <c r="A9" s="9" t="s">
        <v>21</v>
      </c>
      <c r="B9" s="64">
        <v>107.48399999999999</v>
      </c>
      <c r="C9" s="64">
        <v>107.498</v>
      </c>
      <c r="D9" s="64">
        <v>0</v>
      </c>
      <c r="E9" s="64">
        <v>107.48399999999999</v>
      </c>
      <c r="F9" s="64">
        <v>107.48399999999999</v>
      </c>
      <c r="G9" s="65">
        <v>107.48399999999999</v>
      </c>
      <c r="H9" s="64">
        <v>107.48399999999999</v>
      </c>
      <c r="I9" s="64">
        <v>112.24</v>
      </c>
      <c r="J9" s="66">
        <v>101.178</v>
      </c>
    </row>
    <row r="10" spans="1:12" ht="16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s="19" customFormat="1" x14ac:dyDescent="0.2"/>
    <row r="12" spans="1:12" s="19" customFormat="1" ht="15.75" customHeight="1" x14ac:dyDescent="0.2"/>
    <row r="13" spans="1:12" s="19" customFormat="1" ht="15.75" customHeight="1" x14ac:dyDescent="0.2"/>
    <row r="14" spans="1:12" ht="15.75" customHeight="1" x14ac:dyDescent="0.2"/>
  </sheetData>
  <mergeCells count="10">
    <mergeCell ref="I1:I2"/>
    <mergeCell ref="J1:J2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1"/>
  <sheetViews>
    <sheetView workbookViewId="0">
      <selection activeCell="K23" sqref="K23"/>
    </sheetView>
  </sheetViews>
  <sheetFormatPr baseColWidth="10" defaultColWidth="8.83203125" defaultRowHeight="15" x14ac:dyDescent="0.2"/>
  <cols>
    <col min="1" max="7" width="9.1640625" style="19"/>
    <col min="8" max="8" width="9.6640625" style="19" bestFit="1" customWidth="1"/>
    <col min="9" max="9" width="9" style="19" customWidth="1"/>
    <col min="10" max="10" width="8.6640625" style="19" customWidth="1"/>
    <col min="11" max="11" width="7.6640625" bestFit="1" customWidth="1"/>
    <col min="12" max="12" width="8.83203125" bestFit="1" customWidth="1"/>
    <col min="13" max="14" width="8.33203125" bestFit="1" customWidth="1"/>
    <col min="15" max="15" width="7.83203125" bestFit="1" customWidth="1"/>
  </cols>
  <sheetData>
    <row r="1" spans="1:20" s="49" customFormat="1" ht="16" thickBot="1" x14ac:dyDescent="0.25">
      <c r="A1" s="17" t="s">
        <v>38</v>
      </c>
      <c r="B1" s="16" t="s">
        <v>1</v>
      </c>
      <c r="C1" s="15" t="s">
        <v>0</v>
      </c>
    </row>
    <row r="2" spans="1:20" s="49" customFormat="1" ht="15.75" customHeight="1" x14ac:dyDescent="0.2">
      <c r="A2" s="12" t="s">
        <v>37</v>
      </c>
      <c r="B2" s="67">
        <v>76.27</v>
      </c>
      <c r="C2" s="68">
        <v>76.282499999999999</v>
      </c>
      <c r="D2" s="50"/>
      <c r="E2" s="50"/>
      <c r="F2" s="50"/>
      <c r="G2" s="50"/>
      <c r="H2" s="51"/>
      <c r="I2" s="51"/>
      <c r="J2" s="51"/>
      <c r="K2" s="51"/>
      <c r="L2" s="51"/>
      <c r="M2" s="51"/>
      <c r="N2" s="51"/>
      <c r="O2" s="51"/>
    </row>
    <row r="3" spans="1:20" s="49" customFormat="1" x14ac:dyDescent="0.2">
      <c r="A3" s="10" t="s">
        <v>26</v>
      </c>
      <c r="B3" s="8">
        <v>82.242500000000007</v>
      </c>
      <c r="C3" s="40">
        <v>82.25</v>
      </c>
      <c r="D3" s="51"/>
      <c r="E3" s="51"/>
      <c r="F3" s="51"/>
      <c r="G3" s="50"/>
      <c r="H3" s="50"/>
      <c r="I3" s="52"/>
      <c r="J3" s="52"/>
      <c r="K3" s="52"/>
      <c r="L3" s="52"/>
      <c r="M3" s="52"/>
      <c r="N3" s="52"/>
      <c r="O3" s="52"/>
    </row>
    <row r="4" spans="1:20" s="49" customFormat="1" x14ac:dyDescent="0.2">
      <c r="A4" s="10" t="s">
        <v>25</v>
      </c>
      <c r="B4" s="8">
        <v>94.26</v>
      </c>
      <c r="C4" s="40">
        <v>94.3</v>
      </c>
      <c r="D4" s="51"/>
      <c r="E4" s="51"/>
      <c r="F4" s="51"/>
      <c r="G4" s="50"/>
      <c r="H4" s="50"/>
      <c r="I4" s="50"/>
      <c r="J4" s="50"/>
      <c r="K4" s="50"/>
      <c r="L4" s="50"/>
      <c r="M4" s="50"/>
      <c r="N4" s="50"/>
      <c r="O4" s="50"/>
    </row>
    <row r="5" spans="1:20" s="49" customFormat="1" ht="16" thickBot="1" x14ac:dyDescent="0.25">
      <c r="A5" s="9" t="s">
        <v>24</v>
      </c>
      <c r="B5" s="42">
        <v>70.88</v>
      </c>
      <c r="C5" s="57">
        <v>70.900000000000006</v>
      </c>
      <c r="D5" s="53"/>
      <c r="E5" s="50"/>
      <c r="F5" s="53"/>
      <c r="G5" s="50"/>
      <c r="H5" s="50"/>
      <c r="I5" s="50"/>
      <c r="J5" s="50"/>
      <c r="K5" s="50"/>
      <c r="L5" s="50"/>
      <c r="M5" s="50"/>
      <c r="N5" s="50"/>
      <c r="O5" s="50"/>
    </row>
    <row r="6" spans="1:20" s="49" customFormat="1" x14ac:dyDescent="0.2">
      <c r="A6" s="51"/>
      <c r="B6" s="50"/>
      <c r="C6" s="54"/>
      <c r="D6" s="53"/>
      <c r="E6" s="50"/>
      <c r="F6" s="53"/>
      <c r="G6" s="50"/>
      <c r="H6" s="50"/>
      <c r="I6" s="50"/>
      <c r="J6" s="50"/>
      <c r="K6" s="50"/>
      <c r="L6" s="50"/>
      <c r="M6" s="50"/>
      <c r="N6" s="50"/>
      <c r="O6" s="50"/>
    </row>
    <row r="7" spans="1:20" s="49" customFormat="1" x14ac:dyDescent="0.2">
      <c r="A7" s="50"/>
      <c r="B7" s="50"/>
      <c r="C7" s="50"/>
      <c r="D7" s="50"/>
      <c r="E7" s="50"/>
      <c r="F7" s="50"/>
      <c r="G7" s="50"/>
      <c r="H7" s="50"/>
      <c r="I7" s="55"/>
      <c r="J7" s="55"/>
      <c r="K7" s="50"/>
      <c r="L7" s="50"/>
      <c r="M7" s="50"/>
      <c r="N7" s="50"/>
      <c r="O7" s="50"/>
    </row>
    <row r="8" spans="1:20" s="49" customFormat="1" x14ac:dyDescent="0.2">
      <c r="A8" s="50"/>
      <c r="B8" s="50"/>
      <c r="C8" s="50"/>
      <c r="D8" s="50"/>
      <c r="E8" s="50"/>
      <c r="F8" s="50"/>
      <c r="G8" s="50"/>
      <c r="K8" s="50"/>
      <c r="L8" s="50"/>
      <c r="P8" s="50"/>
      <c r="Q8" s="50"/>
    </row>
    <row r="9" spans="1:20" x14ac:dyDescent="0.2">
      <c r="A9" s="32"/>
      <c r="B9" s="32"/>
      <c r="C9" s="32"/>
      <c r="D9" s="32"/>
      <c r="E9" s="32"/>
      <c r="F9" s="32"/>
      <c r="G9" s="32"/>
      <c r="K9" s="107"/>
      <c r="L9" s="107"/>
      <c r="M9" s="19"/>
      <c r="N9" s="19"/>
      <c r="O9" s="19"/>
      <c r="P9" s="107"/>
      <c r="Q9" s="107"/>
      <c r="R9" s="19"/>
      <c r="S9" s="19"/>
      <c r="T9" s="19"/>
    </row>
    <row r="10" spans="1:20" x14ac:dyDescent="0.2">
      <c r="A10" s="32"/>
      <c r="B10" s="45"/>
      <c r="C10" s="45"/>
      <c r="D10" s="32"/>
      <c r="E10" s="32"/>
      <c r="F10" s="32"/>
      <c r="G10" s="32"/>
      <c r="K10" s="107"/>
      <c r="L10" s="107"/>
      <c r="M10" s="19"/>
      <c r="N10" s="19"/>
      <c r="O10" s="19"/>
      <c r="P10" s="107"/>
      <c r="Q10" s="107"/>
      <c r="R10" s="19"/>
      <c r="S10" s="19"/>
      <c r="T10" s="19"/>
    </row>
    <row r="11" spans="1:20" s="19" customForma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s="19" customFormat="1" ht="16" customHeigh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46"/>
      <c r="K13" s="33"/>
      <c r="L13" s="33"/>
      <c r="M13" s="46"/>
      <c r="N13" s="46"/>
      <c r="O13" s="46"/>
      <c r="P13" s="33"/>
      <c r="Q13" s="33"/>
      <c r="R13" s="46"/>
      <c r="S13" s="46"/>
      <c r="T13" s="46"/>
    </row>
    <row r="14" spans="1:20" ht="15.75" customHeight="1" x14ac:dyDescent="0.2">
      <c r="A14" s="18"/>
      <c r="B14" s="33"/>
      <c r="C14" s="33"/>
      <c r="D14" s="32"/>
      <c r="E14" s="33"/>
      <c r="F14" s="47"/>
      <c r="G14" s="48"/>
      <c r="H14" s="48"/>
      <c r="I14" s="48"/>
      <c r="J14" s="33"/>
      <c r="K14" s="47"/>
      <c r="L14" s="48"/>
      <c r="M14" s="48"/>
      <c r="N14" s="48"/>
      <c r="O14" s="33"/>
      <c r="P14" s="47"/>
      <c r="Q14" s="48"/>
      <c r="R14" s="48"/>
      <c r="S14" s="48"/>
      <c r="T14" s="33"/>
    </row>
    <row r="15" spans="1:20" x14ac:dyDescent="0.2">
      <c r="A15" s="18"/>
      <c r="B15" s="33"/>
      <c r="C15" s="33"/>
      <c r="D15" s="32"/>
      <c r="E15" s="32"/>
      <c r="G15" s="18"/>
      <c r="H15" s="32"/>
      <c r="I15" s="32"/>
      <c r="J15" s="32"/>
      <c r="K15" s="19"/>
      <c r="L15" s="18"/>
      <c r="M15" s="107"/>
      <c r="N15" s="107"/>
      <c r="O15" s="107"/>
      <c r="P15" s="19"/>
      <c r="Q15" s="18"/>
      <c r="R15" s="107"/>
      <c r="S15" s="107"/>
      <c r="T15" s="107"/>
    </row>
    <row r="16" spans="1:20" x14ac:dyDescent="0.2">
      <c r="A16" s="20"/>
      <c r="B16" s="33"/>
      <c r="C16" s="33"/>
      <c r="D16" s="32"/>
      <c r="E16" s="32"/>
      <c r="G16" s="20"/>
      <c r="H16" s="32"/>
      <c r="I16" s="32"/>
      <c r="J16" s="32"/>
      <c r="K16" s="19"/>
      <c r="L16" s="20"/>
      <c r="M16" s="107"/>
      <c r="N16" s="107"/>
      <c r="O16" s="107"/>
      <c r="P16" s="19"/>
      <c r="Q16" s="20"/>
      <c r="R16" s="107"/>
      <c r="S16" s="107"/>
      <c r="T16" s="107"/>
    </row>
    <row r="17" spans="1:20" x14ac:dyDescent="0.2">
      <c r="A17" s="20"/>
      <c r="B17" s="33"/>
      <c r="C17" s="33"/>
      <c r="D17" s="32"/>
      <c r="E17" s="32"/>
      <c r="G17" s="20"/>
      <c r="H17" s="32"/>
      <c r="I17" s="32"/>
      <c r="J17" s="32"/>
      <c r="K17" s="19"/>
      <c r="L17" s="20"/>
      <c r="M17" s="107"/>
      <c r="N17" s="107"/>
      <c r="O17" s="107"/>
      <c r="P17" s="19"/>
      <c r="Q17" s="20"/>
      <c r="R17" s="107"/>
      <c r="S17" s="107"/>
      <c r="T17" s="107"/>
    </row>
    <row r="18" spans="1:20" x14ac:dyDescent="0.2">
      <c r="A18" s="20"/>
      <c r="B18" s="33"/>
      <c r="C18" s="33"/>
      <c r="D18" s="32"/>
      <c r="E18" s="32"/>
      <c r="G18" s="20"/>
      <c r="H18" s="32"/>
      <c r="I18" s="32"/>
      <c r="J18" s="32"/>
      <c r="K18" s="19"/>
      <c r="L18" s="20"/>
      <c r="M18" s="107"/>
      <c r="N18" s="107"/>
      <c r="O18" s="107"/>
      <c r="P18" s="19"/>
      <c r="Q18" s="20"/>
      <c r="R18" s="107"/>
      <c r="S18" s="107"/>
      <c r="T18" s="107"/>
    </row>
    <row r="19" spans="1:20" x14ac:dyDescent="0.2">
      <c r="A19" s="20"/>
      <c r="B19" s="33"/>
      <c r="C19" s="33"/>
      <c r="D19" s="32"/>
      <c r="E19" s="32"/>
      <c r="G19" s="20"/>
      <c r="H19" s="32"/>
      <c r="I19" s="32"/>
      <c r="J19" s="32"/>
      <c r="K19" s="19"/>
      <c r="L19" s="20"/>
      <c r="M19" s="107"/>
      <c r="N19" s="107"/>
      <c r="O19" s="107"/>
      <c r="P19" s="19"/>
      <c r="Q19" s="20"/>
      <c r="R19" s="107"/>
      <c r="S19" s="107"/>
      <c r="T19" s="107"/>
    </row>
    <row r="20" spans="1:20" x14ac:dyDescent="0.2"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"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"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31" spans="1:20" x14ac:dyDescent="0.2">
      <c r="P31" s="1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4"/>
  <sheetViews>
    <sheetView workbookViewId="0">
      <selection activeCell="V27" sqref="V27"/>
    </sheetView>
  </sheetViews>
  <sheetFormatPr baseColWidth="10" defaultColWidth="8.83203125" defaultRowHeight="15" x14ac:dyDescent="0.2"/>
  <cols>
    <col min="1" max="7" width="9.1640625" style="19"/>
    <col min="8" max="8" width="9.6640625" style="19" bestFit="1" customWidth="1"/>
    <col min="9" max="9" width="9" style="19" customWidth="1"/>
    <col min="10" max="10" width="8.6640625" style="19" customWidth="1"/>
    <col min="11" max="11" width="7.6640625" bestFit="1" customWidth="1"/>
    <col min="12" max="12" width="8.83203125" bestFit="1" customWidth="1"/>
    <col min="13" max="14" width="8.5" bestFit="1" customWidth="1"/>
    <col min="15" max="15" width="7.83203125" bestFit="1" customWidth="1"/>
  </cols>
  <sheetData>
    <row r="1" spans="1:19" s="49" customFormat="1" ht="16" thickBot="1" x14ac:dyDescent="0.25">
      <c r="A1" s="17" t="s">
        <v>38</v>
      </c>
      <c r="B1" s="16" t="s">
        <v>1</v>
      </c>
      <c r="C1" s="15" t="s">
        <v>0</v>
      </c>
    </row>
    <row r="2" spans="1:19" s="49" customFormat="1" ht="15.75" customHeight="1" x14ac:dyDescent="0.2">
      <c r="A2" s="12" t="s">
        <v>37</v>
      </c>
      <c r="B2" s="67">
        <v>76.657499999999999</v>
      </c>
      <c r="C2" s="68">
        <v>76.66</v>
      </c>
      <c r="D2" s="50"/>
      <c r="E2" s="50"/>
      <c r="F2" s="50"/>
      <c r="G2" s="50"/>
      <c r="H2" s="51"/>
      <c r="I2" s="51"/>
      <c r="J2" s="51"/>
      <c r="K2" s="51"/>
      <c r="L2" s="51"/>
      <c r="M2" s="51"/>
      <c r="N2" s="51"/>
      <c r="O2" s="51"/>
    </row>
    <row r="3" spans="1:19" s="49" customFormat="1" x14ac:dyDescent="0.2">
      <c r="A3" s="10" t="s">
        <v>26</v>
      </c>
      <c r="B3" s="8">
        <v>82.64</v>
      </c>
      <c r="C3" s="40">
        <v>82.657499999999999</v>
      </c>
      <c r="D3" s="51"/>
      <c r="E3" s="51"/>
      <c r="F3" s="51"/>
      <c r="G3" s="50"/>
      <c r="H3" s="50"/>
      <c r="I3" s="52"/>
      <c r="J3" s="52"/>
      <c r="K3" s="52"/>
      <c r="L3" s="52"/>
      <c r="M3" s="52"/>
      <c r="N3" s="52"/>
      <c r="O3" s="52"/>
    </row>
    <row r="4" spans="1:19" s="49" customFormat="1" x14ac:dyDescent="0.2">
      <c r="A4" s="10" t="s">
        <v>25</v>
      </c>
      <c r="B4" s="8">
        <v>94.66</v>
      </c>
      <c r="C4" s="40">
        <v>94.692499999999995</v>
      </c>
      <c r="D4" s="51"/>
      <c r="E4" s="51"/>
      <c r="F4" s="51"/>
      <c r="G4" s="50"/>
      <c r="H4" s="50"/>
      <c r="I4" s="50"/>
      <c r="J4" s="50"/>
      <c r="K4" s="50"/>
      <c r="L4" s="50"/>
      <c r="M4" s="50"/>
      <c r="N4" s="50"/>
      <c r="O4" s="50"/>
    </row>
    <row r="5" spans="1:19" s="49" customFormat="1" ht="16" thickBot="1" x14ac:dyDescent="0.25">
      <c r="A5" s="9" t="s">
        <v>24</v>
      </c>
      <c r="B5" s="42">
        <v>71.099999999999994</v>
      </c>
      <c r="C5" s="57">
        <v>71.13</v>
      </c>
      <c r="D5" s="53"/>
      <c r="E5" s="50"/>
      <c r="F5" s="53"/>
      <c r="G5" s="50"/>
      <c r="H5" s="50"/>
      <c r="I5" s="50"/>
      <c r="J5" s="50"/>
      <c r="K5" s="50"/>
      <c r="L5" s="50"/>
      <c r="M5" s="50"/>
      <c r="N5" s="50"/>
      <c r="O5" s="50"/>
    </row>
    <row r="6" spans="1:19" s="49" customFormat="1" x14ac:dyDescent="0.2">
      <c r="A6" s="51"/>
      <c r="B6" s="50"/>
      <c r="C6" s="54"/>
      <c r="D6" s="53"/>
      <c r="E6" s="50"/>
      <c r="F6" s="53"/>
      <c r="G6" s="50"/>
      <c r="H6" s="50"/>
      <c r="I6" s="50"/>
      <c r="J6" s="50"/>
      <c r="K6" s="50"/>
      <c r="L6" s="50"/>
      <c r="M6" s="50"/>
      <c r="N6" s="50"/>
      <c r="O6" s="50"/>
    </row>
    <row r="7" spans="1:19" s="49" customFormat="1" x14ac:dyDescent="0.2">
      <c r="A7" s="50"/>
      <c r="B7" s="50"/>
      <c r="C7" s="50"/>
      <c r="D7" s="50"/>
      <c r="E7" s="50"/>
      <c r="F7" s="50"/>
      <c r="G7" s="50"/>
      <c r="H7" s="50"/>
      <c r="I7" s="55"/>
      <c r="J7" s="55"/>
      <c r="K7" s="50"/>
      <c r="L7" s="50"/>
      <c r="M7" s="50"/>
      <c r="N7" s="50"/>
      <c r="O7" s="50"/>
    </row>
    <row r="8" spans="1:19" s="49" customFormat="1" x14ac:dyDescent="0.2">
      <c r="A8" s="50"/>
      <c r="B8" s="50"/>
      <c r="C8" s="50"/>
      <c r="D8" s="50"/>
      <c r="E8" s="50"/>
      <c r="F8" s="50"/>
      <c r="G8" s="50"/>
      <c r="J8" s="50"/>
      <c r="M8" s="50"/>
      <c r="P8" s="50"/>
      <c r="S8" s="50"/>
    </row>
    <row r="9" spans="1:19" x14ac:dyDescent="0.2">
      <c r="A9" s="32"/>
      <c r="B9" s="32"/>
      <c r="C9" s="32"/>
      <c r="D9" s="32"/>
      <c r="E9" s="32"/>
      <c r="F9" s="32"/>
      <c r="G9" s="32"/>
      <c r="J9" s="107"/>
      <c r="K9" s="19"/>
      <c r="L9" s="19"/>
      <c r="M9" s="107"/>
      <c r="N9" s="19"/>
      <c r="O9" s="19"/>
      <c r="P9" s="107"/>
      <c r="Q9" s="19"/>
      <c r="R9" s="19"/>
      <c r="S9" s="107"/>
    </row>
    <row r="10" spans="1:19" x14ac:dyDescent="0.2">
      <c r="A10" s="32"/>
      <c r="B10" s="45"/>
      <c r="C10" s="45"/>
      <c r="D10" s="32"/>
      <c r="E10" s="32"/>
      <c r="F10" s="32"/>
      <c r="G10" s="32"/>
      <c r="J10" s="107"/>
      <c r="K10" s="19"/>
      <c r="L10" s="19"/>
      <c r="M10" s="107"/>
      <c r="N10" s="19"/>
      <c r="O10" s="19"/>
      <c r="P10" s="107"/>
      <c r="Q10" s="19"/>
      <c r="R10" s="19"/>
      <c r="S10" s="107"/>
    </row>
    <row r="11" spans="1:19" s="19" customForma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19" s="19" customFormat="1" ht="15.75" customHeight="1" x14ac:dyDescent="0.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 spans="1:19" s="19" customFormat="1" ht="16" customHeight="1" x14ac:dyDescent="0.2">
      <c r="A13" s="18"/>
      <c r="B13" s="33"/>
      <c r="C13" s="33"/>
      <c r="D13" s="32"/>
      <c r="E13" s="33"/>
      <c r="F13" s="33"/>
      <c r="G13" s="33"/>
      <c r="H13" s="46"/>
      <c r="I13" s="46"/>
      <c r="J13" s="33"/>
      <c r="K13" s="46"/>
      <c r="L13" s="46"/>
      <c r="M13" s="33"/>
      <c r="N13" s="46"/>
      <c r="O13" s="46"/>
      <c r="P13" s="33"/>
      <c r="Q13" s="46"/>
      <c r="R13" s="46"/>
      <c r="S13" s="33"/>
    </row>
    <row r="14" spans="1:19" ht="15.75" customHeight="1" x14ac:dyDescent="0.2">
      <c r="A14" s="18"/>
      <c r="B14" s="33"/>
      <c r="C14" s="33"/>
      <c r="D14" s="32"/>
      <c r="E14" s="33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 x14ac:dyDescent="0.2">
      <c r="A15" s="18"/>
      <c r="B15" s="33"/>
      <c r="C15" s="33"/>
      <c r="D15" s="32"/>
      <c r="E15" s="32"/>
      <c r="G15" s="18"/>
      <c r="H15" s="32"/>
      <c r="I15" s="32"/>
      <c r="J15" s="18"/>
      <c r="K15" s="107"/>
      <c r="L15" s="107"/>
      <c r="M15" s="18"/>
      <c r="N15" s="107"/>
      <c r="O15" s="107"/>
      <c r="P15" s="18"/>
      <c r="Q15" s="107"/>
      <c r="R15" s="107"/>
      <c r="S15" s="18"/>
    </row>
    <row r="16" spans="1:19" x14ac:dyDescent="0.2">
      <c r="A16" s="20"/>
      <c r="B16" s="33"/>
      <c r="C16" s="33"/>
      <c r="D16" s="32"/>
      <c r="E16" s="32"/>
      <c r="G16" s="20"/>
      <c r="H16" s="32"/>
      <c r="I16" s="32"/>
      <c r="J16" s="20"/>
      <c r="K16" s="107"/>
      <c r="L16" s="107"/>
      <c r="M16" s="20"/>
      <c r="N16" s="107"/>
      <c r="O16" s="107"/>
      <c r="P16" s="20"/>
      <c r="Q16" s="107"/>
      <c r="R16" s="107"/>
      <c r="S16" s="20"/>
    </row>
    <row r="17" spans="1:19" x14ac:dyDescent="0.2">
      <c r="A17" s="20"/>
      <c r="B17" s="33"/>
      <c r="C17" s="33"/>
      <c r="D17" s="32"/>
      <c r="E17" s="32"/>
      <c r="G17" s="20"/>
      <c r="H17" s="32"/>
      <c r="I17" s="32"/>
      <c r="J17" s="20"/>
      <c r="K17" s="107"/>
      <c r="L17" s="107"/>
      <c r="M17" s="20"/>
      <c r="N17" s="107"/>
      <c r="O17" s="107"/>
      <c r="P17" s="20"/>
      <c r="Q17" s="107"/>
      <c r="R17" s="107"/>
      <c r="S17" s="20"/>
    </row>
    <row r="18" spans="1:19" x14ac:dyDescent="0.2">
      <c r="A18" s="20"/>
      <c r="B18" s="33"/>
      <c r="C18" s="33"/>
      <c r="D18" s="32"/>
      <c r="E18" s="32"/>
      <c r="G18" s="20"/>
      <c r="H18" s="32"/>
      <c r="I18" s="32"/>
      <c r="J18" s="20"/>
      <c r="K18" s="107"/>
      <c r="L18" s="107"/>
      <c r="M18" s="20"/>
      <c r="N18" s="107"/>
      <c r="O18" s="107"/>
      <c r="P18" s="20"/>
      <c r="Q18" s="107"/>
      <c r="R18" s="107"/>
      <c r="S18" s="20"/>
    </row>
    <row r="19" spans="1:19" x14ac:dyDescent="0.2">
      <c r="A19" s="20"/>
      <c r="B19" s="33"/>
      <c r="C19" s="33"/>
      <c r="D19" s="32"/>
      <c r="E19" s="32"/>
      <c r="G19" s="20"/>
      <c r="H19" s="32"/>
      <c r="I19" s="32"/>
      <c r="J19" s="20"/>
      <c r="K19" s="107"/>
      <c r="L19" s="107"/>
      <c r="M19" s="20"/>
      <c r="N19" s="107"/>
      <c r="O19" s="107"/>
      <c r="P19" s="20"/>
      <c r="Q19" s="107"/>
      <c r="R19" s="107"/>
      <c r="S19" s="20"/>
    </row>
    <row r="20" spans="1:19" x14ac:dyDescent="0.2">
      <c r="K20" s="19"/>
      <c r="L20" s="19"/>
      <c r="M20" s="19"/>
      <c r="N20" s="19"/>
      <c r="O20" s="19"/>
      <c r="P20" s="19"/>
      <c r="Q20" s="19"/>
      <c r="R20" s="19"/>
      <c r="S20" s="19"/>
    </row>
    <row r="21" spans="1:19" x14ac:dyDescent="0.2">
      <c r="K21" s="19"/>
      <c r="L21" s="19"/>
      <c r="M21" s="19"/>
      <c r="N21" s="19"/>
      <c r="O21" s="19"/>
      <c r="P21" s="19"/>
      <c r="Q21" s="19"/>
      <c r="R21" s="19"/>
      <c r="S21" s="19"/>
    </row>
    <row r="22" spans="1:19" x14ac:dyDescent="0.2">
      <c r="K22" s="19"/>
      <c r="L22" s="19"/>
      <c r="M22" s="19"/>
      <c r="N22" s="19"/>
      <c r="O22" s="19"/>
      <c r="P22" s="19"/>
      <c r="Q22" s="19"/>
      <c r="R22" s="19"/>
      <c r="S22" s="19"/>
    </row>
    <row r="23" spans="1:19" x14ac:dyDescent="0.2">
      <c r="K23" s="19"/>
      <c r="L23" s="19"/>
      <c r="M23" s="19"/>
      <c r="N23" s="19"/>
      <c r="O23" s="19"/>
      <c r="P23" s="19"/>
      <c r="Q23" s="19"/>
      <c r="R23" s="19"/>
      <c r="S23" s="19"/>
    </row>
    <row r="24" spans="1:19" x14ac:dyDescent="0.2">
      <c r="K24" s="19"/>
      <c r="L24" s="19"/>
      <c r="M24" s="19"/>
      <c r="N24" s="19"/>
      <c r="O24" s="19"/>
      <c r="P24" s="19"/>
      <c r="Q24" s="19"/>
      <c r="R24" s="19"/>
      <c r="S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Kairav Live Markets- Layout</vt:lpstr>
      <vt:lpstr>USDINR</vt:lpstr>
      <vt:lpstr>EURINR</vt:lpstr>
      <vt:lpstr>GBPINR</vt:lpstr>
      <vt:lpstr>JPYINR</vt:lpstr>
      <vt:lpstr>LIBOR</vt:lpstr>
      <vt:lpstr>OHLC</vt:lpstr>
      <vt:lpstr>Currency futures 1 Month</vt:lpstr>
      <vt:lpstr>Currency Futures 2 Month</vt:lpstr>
      <vt:lpstr>Currency Futures 3 Month</vt:lpstr>
      <vt:lpstr>RBI Reference Rate</vt:lpstr>
      <vt:lpstr>Forward Rates Tab 1</vt:lpstr>
      <vt:lpstr>Forward Rates Tab 2</vt:lpstr>
      <vt:lpstr>Forward Rates Tab 3</vt:lpstr>
      <vt:lpstr>Forward Rates Tab 4</vt:lpstr>
      <vt:lpstr>Forward Rates Tab 5</vt:lpstr>
      <vt:lpstr>Forward Rates Tab 6</vt:lpstr>
      <vt:lpstr>Forward Rates Tab 7</vt:lpstr>
      <vt:lpstr>Forward Rates Tab 8</vt:lpstr>
      <vt:lpstr>Broken Date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siddhesh.ghare</dc:creator>
  <cp:lastModifiedBy>Microsoft Office User</cp:lastModifiedBy>
  <dcterms:created xsi:type="dcterms:W3CDTF">2020-04-23T19:35:55Z</dcterms:created>
  <dcterms:modified xsi:type="dcterms:W3CDTF">2020-05-14T07:56:26Z</dcterms:modified>
</cp:coreProperties>
</file>