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volatileDependencies.xml" ContentType="application/vnd.openxmlformats-officedocument.spreadsheetml.volatileDependenc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30" yWindow="-30" windowWidth="8595" windowHeight="7200"/>
  </bookViews>
  <sheets>
    <sheet name="USDINR" sheetId="4" r:id="rId1"/>
    <sheet name="EURINR" sheetId="5" r:id="rId2"/>
    <sheet name="GBPINR" sheetId="6" r:id="rId3"/>
    <sheet name="JPYINR" sheetId="7" r:id="rId4"/>
    <sheet name="LIBOR" sheetId="8" r:id="rId5"/>
    <sheet name="OHLC" sheetId="10" r:id="rId6"/>
    <sheet name="Currency futures 1 Month" sheetId="11" r:id="rId7"/>
    <sheet name="Currency Futures 2 Month" sheetId="12" r:id="rId8"/>
    <sheet name="Currency Futures 3 Month" sheetId="13" r:id="rId9"/>
    <sheet name="Forward Rates Tab 1USDINR ME" sheetId="14" r:id="rId10"/>
    <sheet name="Forward Rates Tab 2USDINR MW" sheetId="15" r:id="rId11"/>
    <sheet name="Forward Rates Tab 3EURINR ME" sheetId="16" r:id="rId12"/>
    <sheet name="Forward Rates Tab 4GBPINR ME" sheetId="17" r:id="rId13"/>
    <sheet name="Forward Rates Tab 5JPYINR ME" sheetId="18" r:id="rId14"/>
    <sheet name="Forward Rates Tab 6EURUSD MW" sheetId="19" r:id="rId15"/>
    <sheet name="Forward Rates Tab 7GBPUSD MW" sheetId="20" r:id="rId16"/>
    <sheet name="Forward Rates Tab 8USDJPY MW" sheetId="21" r:id="rId17"/>
    <sheet name="Forward Rate Calculator" sheetId="22" r:id="rId18"/>
    <sheet name="Historical Rates" sheetId="23" r:id="rId19"/>
  </sheets>
  <calcPr calcId="124519"/>
</workbook>
</file>

<file path=xl/calcChain.xml><?xml version="1.0" encoding="utf-8"?>
<calcChain xmlns="http://schemas.openxmlformats.org/spreadsheetml/2006/main">
  <c r="C4" i="15"/>
  <c r="P39" i="23"/>
  <c r="O39"/>
  <c r="N39"/>
  <c r="M39"/>
  <c r="L39"/>
  <c r="K39"/>
  <c r="G39"/>
  <c r="H39"/>
  <c r="I39"/>
  <c r="J39"/>
  <c r="F39"/>
  <c r="E39"/>
  <c r="D39"/>
  <c r="C39"/>
  <c r="B39"/>
  <c r="P38"/>
  <c r="O38"/>
  <c r="N38"/>
  <c r="M38"/>
  <c r="L38"/>
  <c r="K38"/>
  <c r="I38"/>
  <c r="E38"/>
  <c r="F38"/>
  <c r="H38"/>
  <c r="J38"/>
  <c r="G38"/>
  <c r="D38"/>
  <c r="C38"/>
  <c r="B38"/>
  <c r="P37"/>
  <c r="O37"/>
  <c r="N37"/>
  <c r="M37"/>
  <c r="L37"/>
  <c r="K37"/>
  <c r="I37"/>
  <c r="E37"/>
  <c r="F37"/>
  <c r="H37"/>
  <c r="J37"/>
  <c r="G37"/>
  <c r="D37"/>
  <c r="C37"/>
  <c r="B37"/>
  <c r="P36"/>
  <c r="O36"/>
  <c r="N36"/>
  <c r="M36"/>
  <c r="L36"/>
  <c r="K36"/>
  <c r="I36"/>
  <c r="E36"/>
  <c r="J36"/>
  <c r="G36"/>
  <c r="H36"/>
  <c r="F36"/>
  <c r="D36"/>
  <c r="C36"/>
  <c r="B36"/>
  <c r="N33"/>
  <c r="M33"/>
  <c r="L33"/>
  <c r="K33"/>
  <c r="J33"/>
  <c r="I33"/>
  <c r="H33"/>
  <c r="G33"/>
  <c r="F33"/>
  <c r="E33"/>
  <c r="D33"/>
  <c r="C33"/>
  <c r="B33"/>
  <c r="A33"/>
  <c r="N32"/>
  <c r="M32"/>
  <c r="L32"/>
  <c r="K32"/>
  <c r="J32"/>
  <c r="I32"/>
  <c r="H32"/>
  <c r="G32"/>
  <c r="F32"/>
  <c r="E32"/>
  <c r="D32"/>
  <c r="C32"/>
  <c r="B32"/>
  <c r="A32"/>
  <c r="N31"/>
  <c r="M31"/>
  <c r="L31"/>
  <c r="K31"/>
  <c r="J31"/>
  <c r="I31"/>
  <c r="H31"/>
  <c r="G31"/>
  <c r="F31"/>
  <c r="E31"/>
  <c r="D31"/>
  <c r="C31"/>
  <c r="B31"/>
  <c r="A31"/>
  <c r="N30"/>
  <c r="M30"/>
  <c r="L30"/>
  <c r="K30"/>
  <c r="J30"/>
  <c r="I30"/>
  <c r="H30"/>
  <c r="G30"/>
  <c r="F30"/>
  <c r="E30"/>
  <c r="D30"/>
  <c r="C30"/>
  <c r="B30"/>
  <c r="A30"/>
  <c r="N29"/>
  <c r="M29"/>
  <c r="L29"/>
  <c r="K29"/>
  <c r="J29"/>
  <c r="I29"/>
  <c r="H29"/>
  <c r="G29"/>
  <c r="F29"/>
  <c r="E29"/>
  <c r="D29"/>
  <c r="C29"/>
  <c r="B29"/>
  <c r="A29"/>
  <c r="N28"/>
  <c r="M28"/>
  <c r="L28"/>
  <c r="K28"/>
  <c r="J28"/>
  <c r="I28"/>
  <c r="H28"/>
  <c r="G28"/>
  <c r="F28"/>
  <c r="E28"/>
  <c r="D28"/>
  <c r="C28"/>
  <c r="B28"/>
  <c r="A28"/>
  <c r="N27"/>
  <c r="M27"/>
  <c r="L27"/>
  <c r="K27"/>
  <c r="J27"/>
  <c r="I27"/>
  <c r="H27"/>
  <c r="G27"/>
  <c r="F27"/>
  <c r="E27"/>
  <c r="D27"/>
  <c r="C27"/>
  <c r="B27"/>
  <c r="A27"/>
  <c r="N26"/>
  <c r="M26"/>
  <c r="L26"/>
  <c r="K26"/>
  <c r="J26"/>
  <c r="I26"/>
  <c r="H26"/>
  <c r="G26"/>
  <c r="F26"/>
  <c r="E26"/>
  <c r="D26"/>
  <c r="C26"/>
  <c r="B26"/>
  <c r="A26"/>
  <c r="N25"/>
  <c r="M25"/>
  <c r="L25"/>
  <c r="K25"/>
  <c r="J25"/>
  <c r="I25"/>
  <c r="H25"/>
  <c r="G25"/>
  <c r="F25"/>
  <c r="E25"/>
  <c r="D25"/>
  <c r="C25"/>
  <c r="B25"/>
  <c r="A25"/>
  <c r="N24"/>
  <c r="M24"/>
  <c r="L24"/>
  <c r="K24"/>
  <c r="J24"/>
  <c r="I24"/>
  <c r="H24"/>
  <c r="G24"/>
  <c r="F24"/>
  <c r="E24"/>
  <c r="D24"/>
  <c r="C24"/>
  <c r="B24"/>
  <c r="A24"/>
  <c r="N23"/>
  <c r="M23"/>
  <c r="L23"/>
  <c r="K23"/>
  <c r="J23"/>
  <c r="I23"/>
  <c r="H23"/>
  <c r="G23"/>
  <c r="F23"/>
  <c r="E23"/>
  <c r="D23"/>
  <c r="C23"/>
  <c r="B23"/>
  <c r="A23"/>
  <c r="N22"/>
  <c r="M22"/>
  <c r="L22"/>
  <c r="K22"/>
  <c r="J22"/>
  <c r="I22"/>
  <c r="H22"/>
  <c r="G22"/>
  <c r="F22"/>
  <c r="E22"/>
  <c r="D22"/>
  <c r="C22"/>
  <c r="B22"/>
  <c r="A22"/>
  <c r="N21"/>
  <c r="M21"/>
  <c r="L21"/>
  <c r="K21"/>
  <c r="J21"/>
  <c r="I21"/>
  <c r="H21"/>
  <c r="G21"/>
  <c r="F21"/>
  <c r="E21"/>
  <c r="D21"/>
  <c r="C21"/>
  <c r="B21" a="1"/>
  <c r="B21" s="1"/>
  <c r="A21"/>
  <c r="N20"/>
  <c r="M20"/>
  <c r="L20"/>
  <c r="K20"/>
  <c r="J20"/>
  <c r="I20"/>
  <c r="H20"/>
  <c r="G20"/>
  <c r="F20"/>
  <c r="E20"/>
  <c r="D20"/>
  <c r="C20"/>
  <c r="B20" a="1"/>
  <c r="B20" s="1"/>
  <c r="A20"/>
  <c r="N19"/>
  <c r="M19"/>
  <c r="L19"/>
  <c r="K19"/>
  <c r="J19"/>
  <c r="I19"/>
  <c r="H19"/>
  <c r="G19"/>
  <c r="F19"/>
  <c r="E19"/>
  <c r="D19"/>
  <c r="C19"/>
  <c r="B19" a="1"/>
  <c r="B19" s="1"/>
  <c r="A19"/>
  <c r="E16"/>
  <c r="D16"/>
  <c r="C16"/>
  <c r="B16"/>
  <c r="A16"/>
  <c r="E15"/>
  <c r="D15"/>
  <c r="C15"/>
  <c r="B15"/>
  <c r="A15"/>
  <c r="E14"/>
  <c r="D14"/>
  <c r="C14"/>
  <c r="B14"/>
  <c r="A14"/>
  <c r="E13"/>
  <c r="D13"/>
  <c r="C13"/>
  <c r="B13"/>
  <c r="A13"/>
  <c r="E12"/>
  <c r="D12"/>
  <c r="C12"/>
  <c r="B12"/>
  <c r="A12"/>
  <c r="E11"/>
  <c r="D11"/>
  <c r="C11"/>
  <c r="B11"/>
  <c r="A11"/>
  <c r="E10"/>
  <c r="D10"/>
  <c r="C10"/>
  <c r="B10"/>
  <c r="A10"/>
  <c r="E9"/>
  <c r="D9"/>
  <c r="C9"/>
  <c r="B9"/>
  <c r="A9"/>
  <c r="E8"/>
  <c r="D8"/>
  <c r="C8"/>
  <c r="B8"/>
  <c r="A8"/>
  <c r="E7"/>
  <c r="D7"/>
  <c r="C7"/>
  <c r="B7"/>
  <c r="A7"/>
  <c r="E6"/>
  <c r="D6"/>
  <c r="C6"/>
  <c r="B6"/>
  <c r="A6"/>
  <c r="E5"/>
  <c r="B5"/>
  <c r="C5"/>
  <c r="D5"/>
  <c r="A5"/>
  <c r="E4"/>
  <c r="C4"/>
  <c r="D4"/>
  <c r="B4"/>
  <c r="A4"/>
  <c r="E3"/>
  <c r="C3"/>
  <c r="D3"/>
  <c r="B3"/>
  <c r="A3"/>
  <c r="E2"/>
  <c r="B2"/>
  <c r="D2"/>
  <c r="C2"/>
  <c r="A2"/>
  <c r="D5" i="14" l="1" a="1"/>
  <c r="C5" a="1"/>
  <c r="C5" l="1"/>
  <c r="D5"/>
  <c r="G7" i="16" l="1" a="1"/>
  <c r="O4" a="1"/>
  <c r="M2" a="1"/>
  <c r="J1" a="1"/>
  <c r="G8" i="15" a="1"/>
  <c r="C8" a="1"/>
  <c r="M10" a="1"/>
  <c r="K5" a="1"/>
  <c r="G4" a="1"/>
  <c r="O1" a="1"/>
  <c r="G4" i="14" a="1"/>
  <c r="J10" a="1"/>
  <c r="J7" a="1"/>
  <c r="D11" i="22" a="1"/>
  <c r="C15" a="1"/>
  <c r="M1" i="20" a="1"/>
  <c r="E2" i="19" a="1"/>
  <c r="I2" i="21" a="1"/>
  <c r="I4" i="16" a="1"/>
  <c r="H1" a="1"/>
  <c r="O11" i="15" a="1"/>
  <c r="I5" a="1"/>
  <c r="M1" a="1"/>
  <c r="M8" i="14" a="1"/>
  <c r="C5" i="22" a="1"/>
  <c r="K1" i="20" a="1"/>
  <c r="K2" i="21" a="1"/>
  <c r="H7" i="16" a="1"/>
  <c r="D5" a="1"/>
  <c r="O1" a="1"/>
  <c r="L8" i="15" a="1"/>
  <c r="H7" a="1"/>
  <c r="F11" a="1"/>
  <c r="C10" a="1"/>
  <c r="L4" a="1"/>
  <c r="J2" a="1"/>
  <c r="J11" i="14" a="1"/>
  <c r="O7" a="1"/>
  <c r="J2" a="1"/>
  <c r="C6" i="22" a="1"/>
  <c r="M2" i="20" a="1"/>
  <c r="J1" a="1"/>
  <c r="O1" i="19" a="1"/>
  <c r="J2" i="21" a="1"/>
  <c r="E1" a="1"/>
  <c r="E4" i="16" a="1"/>
  <c r="D1" a="1"/>
  <c r="K11" i="15" a="1"/>
  <c r="E5" a="1"/>
  <c r="I1" a="1"/>
  <c r="L10" i="14" a="1"/>
  <c r="C9" i="22" a="1"/>
  <c r="G1" i="20" a="1"/>
  <c r="O2" i="21" a="1"/>
  <c r="C4" i="16" a="1"/>
  <c r="D11" i="15" a="1"/>
  <c r="I7" i="14" a="1"/>
  <c r="L2" i="19" a="1"/>
  <c r="O1" i="21" a="1"/>
  <c r="D2" i="16" a="1"/>
  <c r="D10" i="15" a="1"/>
  <c r="M7" i="14" a="1"/>
  <c r="G2" i="20" a="1"/>
  <c r="H2" i="16" a="1"/>
  <c r="H10" i="15" a="1"/>
  <c r="F5" i="14" a="1"/>
  <c r="E7" a="1"/>
  <c r="I1" i="20" a="1"/>
  <c r="L2" i="16" a="1"/>
  <c r="L10" i="15" a="1"/>
  <c r="F4" i="14" a="1"/>
  <c r="L1" i="20" a="1"/>
  <c r="I9" i="10"/>
  <c r="J9"/>
  <c r="J6"/>
  <c r="E7" i="18" a="1"/>
  <c r="M11" a="1"/>
  <c r="I11" a="1"/>
  <c r="E11" a="1"/>
  <c r="M10" a="1"/>
  <c r="I10" a="1"/>
  <c r="E10" a="1"/>
  <c r="O2" a="1"/>
  <c r="K2" a="1"/>
  <c r="M1" a="1"/>
  <c r="I1" a="1"/>
  <c r="E1" a="1"/>
  <c r="D8" a="1"/>
  <c r="H8" a="1"/>
  <c r="L8" a="1"/>
  <c r="O7" a="1"/>
  <c r="K7" a="1"/>
  <c r="H11" i="17" a="1"/>
  <c r="D11" a="1"/>
  <c r="L10" a="1"/>
  <c r="H10" a="1"/>
  <c r="D10" a="1"/>
  <c r="F2" i="4" a="1"/>
  <c r="E15" i="22" a="1"/>
  <c r="G5" i="16" a="1"/>
  <c r="C5" a="1"/>
  <c r="N1" a="1"/>
  <c r="K8" i="15" a="1"/>
  <c r="G7" a="1"/>
  <c r="E11" a="1"/>
  <c r="O5" a="1"/>
  <c r="K4" a="1"/>
  <c r="I2" a="1"/>
  <c r="G5" i="14" a="1"/>
  <c r="N10" a="1"/>
  <c r="N7" a="1"/>
  <c r="D7" i="22" a="1"/>
  <c r="C11" a="1"/>
  <c r="D2" i="20" a="1"/>
  <c r="I2" i="19" a="1"/>
  <c r="M2" i="21" a="1"/>
  <c r="D1" a="1"/>
  <c r="E5" i="16" a="1"/>
  <c r="C2" a="1"/>
  <c r="I7" i="15" a="1"/>
  <c r="C11" a="1"/>
  <c r="K2" a="1"/>
  <c r="K11" i="14" a="1"/>
  <c r="D9" i="22" a="1"/>
  <c r="F2" i="20" a="1"/>
  <c r="L1" i="19" a="1"/>
  <c r="H5" i="16" a="1"/>
  <c r="D4" a="1"/>
  <c r="F2" a="1"/>
  <c r="C1" a="1"/>
  <c r="L7" i="15" a="1"/>
  <c r="J11" a="1"/>
  <c r="F10" a="1"/>
  <c r="D5" a="1"/>
  <c r="N2" a="1"/>
  <c r="H5" i="14" a="1"/>
  <c r="N11" a="1"/>
  <c r="L8" a="1"/>
  <c r="N2" a="1"/>
  <c r="D14" i="22" a="1"/>
  <c r="H3" a="1"/>
  <c r="N1" i="20" a="1"/>
  <c r="F2" i="19" a="1"/>
  <c r="N2" i="21" a="1"/>
  <c r="I1" a="1"/>
  <c r="M4" i="16" a="1"/>
  <c r="L1" a="1"/>
  <c r="E7" i="15" a="1"/>
  <c r="M5" a="1"/>
  <c r="G2" a="1"/>
  <c r="O11" i="14" a="1"/>
  <c r="D13" i="22" a="1"/>
  <c r="O1" i="20" a="1"/>
  <c r="H1" i="19" a="1"/>
  <c r="C1" i="21" a="1"/>
  <c r="N4" i="16" a="1"/>
  <c r="F7" i="15" a="1"/>
  <c r="H2" a="1"/>
  <c r="C2" i="20" a="1"/>
  <c r="O2" a="1"/>
  <c r="F5" i="16" a="1"/>
  <c r="H11" i="15" a="1"/>
  <c r="L11" i="14" a="1"/>
  <c r="C12" i="22" a="1"/>
  <c r="G1" i="21" a="1"/>
  <c r="F4" i="16" a="1"/>
  <c r="L11" i="15" a="1"/>
  <c r="J1" a="1"/>
  <c r="J8" i="14" a="1"/>
  <c r="K2" i="20" a="1"/>
  <c r="J4" i="16" a="1"/>
  <c r="C7" i="15" a="1"/>
  <c r="N1" a="1"/>
  <c r="C4" i="22" a="1"/>
  <c r="I5" i="10"/>
  <c r="J5"/>
  <c r="J3"/>
  <c r="F7" i="18" a="1"/>
  <c r="N11" a="1"/>
  <c r="J11" a="1"/>
  <c r="F11" a="1"/>
  <c r="N10" a="1"/>
  <c r="J10" a="1"/>
  <c r="F10" a="1"/>
  <c r="C10" a="1"/>
  <c r="L2" a="1"/>
  <c r="N1" a="1"/>
  <c r="J1" a="1"/>
  <c r="F1" a="1"/>
  <c r="C1" a="1"/>
  <c r="G8" a="1"/>
  <c r="K8" a="1"/>
  <c r="O8" a="1"/>
  <c r="L7" a="1"/>
  <c r="H7" a="1"/>
  <c r="M11" i="17" a="1"/>
  <c r="I11" a="1"/>
  <c r="E11" a="1"/>
  <c r="M10" a="1"/>
  <c r="I10" a="1"/>
  <c r="E10" a="1"/>
  <c r="M2" a="1"/>
  <c r="L1" a="1"/>
  <c r="H1" a="1"/>
  <c r="D1" a="1"/>
  <c r="F2" i="6" a="1"/>
  <c r="B2" a="1"/>
  <c r="L8" i="17" a="1"/>
  <c r="H8" a="1"/>
  <c r="D8" a="1"/>
  <c r="L7" a="1"/>
  <c r="H7" a="1"/>
  <c r="D7" a="1"/>
  <c r="D3" i="7" a="1"/>
  <c r="B2" a="1"/>
  <c r="E2" i="4" a="1"/>
  <c r="B2" a="1"/>
  <c r="F14" i="22" a="1"/>
  <c r="K5" i="16" a="1"/>
  <c r="G4" a="1"/>
  <c r="E2" a="1"/>
  <c r="O8" i="15" a="1"/>
  <c r="K7" a="1"/>
  <c r="I11" a="1"/>
  <c r="E10" a="1"/>
  <c r="O4" a="1"/>
  <c r="M2" a="1"/>
  <c r="G1" a="1"/>
  <c r="M11" i="14" a="1"/>
  <c r="K8" a="1"/>
  <c r="F3" i="22" a="1"/>
  <c r="C7" a="1"/>
  <c r="H2" i="20" a="1"/>
  <c r="M2" i="19" a="1"/>
  <c r="J1" a="1"/>
  <c r="H1" i="21" a="1"/>
  <c r="M5" i="16" a="1"/>
  <c r="K2" a="1"/>
  <c r="E8" i="15" a="1"/>
  <c r="K10" a="1"/>
  <c r="E4" a="1"/>
  <c r="E4" i="14" a="1"/>
  <c r="K2" a="1"/>
  <c r="N2" i="20" a="1"/>
  <c r="G2" i="19" a="1"/>
  <c r="F1" i="21" a="1"/>
  <c r="L5" i="16" a="1"/>
  <c r="H4" a="1"/>
  <c r="J2" a="1"/>
  <c r="G1" a="1"/>
  <c r="D8" i="15" a="1"/>
  <c r="N11" a="1"/>
  <c r="J10" a="1"/>
  <c r="H5" a="1"/>
  <c r="D4" a="1"/>
  <c r="H1" a="1"/>
  <c r="D4" i="14" a="1"/>
  <c r="K10" a="1"/>
  <c r="F7" a="1"/>
  <c r="D10" i="22" a="1"/>
  <c r="C14" a="1"/>
  <c r="E2" i="20" a="1"/>
  <c r="J2" i="19" a="1"/>
  <c r="G1" a="1"/>
  <c r="M1" i="21" a="1"/>
  <c r="I5" i="16" a="1"/>
  <c r="G2" a="1"/>
  <c r="M7" i="15" a="1"/>
  <c r="G10" a="1"/>
  <c r="O2" a="1"/>
  <c r="I4" i="14" a="1"/>
  <c r="D5" i="22" a="1"/>
  <c r="J2" i="20" a="1"/>
  <c r="C2" i="19" a="1"/>
  <c r="J1" i="21" a="1"/>
  <c r="F7" i="16" a="1"/>
  <c r="J8" i="15" a="1"/>
  <c r="J4" a="1"/>
  <c r="D3" i="22" a="1"/>
  <c r="H2" i="21" a="1"/>
  <c r="J7" i="15" a="1"/>
  <c r="L2" a="1"/>
  <c r="D8" i="22" a="1"/>
  <c r="L2" i="21" a="1"/>
  <c r="J5" i="16" a="1"/>
  <c r="N7" i="15" a="1"/>
  <c r="M10" i="14" a="1"/>
  <c r="C8" i="22" a="1"/>
  <c r="K1" i="21" a="1"/>
  <c r="N5" i="16" a="1"/>
  <c r="F8" i="15" a="1"/>
  <c r="F4" a="1"/>
  <c r="G7" i="14" a="1"/>
  <c r="I6" i="10"/>
  <c r="J7"/>
  <c r="J4"/>
  <c r="I4"/>
  <c r="O11" i="18" a="1"/>
  <c r="K11" a="1"/>
  <c r="G11" a="1"/>
  <c r="O10" a="1"/>
  <c r="K10" a="1"/>
  <c r="G10" a="1"/>
  <c r="C11" a="1"/>
  <c r="M2" a="1"/>
  <c r="O1" a="1"/>
  <c r="K1" a="1"/>
  <c r="G1" a="1"/>
  <c r="F8" a="1"/>
  <c r="J8" a="1"/>
  <c r="N8" a="1"/>
  <c r="M7" a="1"/>
  <c r="I7" a="1"/>
  <c r="N11" i="17" a="1"/>
  <c r="J11" a="1"/>
  <c r="F11" a="1"/>
  <c r="N10" a="1"/>
  <c r="J10" a="1"/>
  <c r="F10" a="1"/>
  <c r="N2" a="1"/>
  <c r="J2" a="1"/>
  <c r="M1" a="1"/>
  <c r="I1" a="1"/>
  <c r="E1" a="1"/>
  <c r="F3" i="6" a="1"/>
  <c r="B3" a="1"/>
  <c r="M8" i="17" a="1"/>
  <c r="I8" a="1"/>
  <c r="E8" a="1"/>
  <c r="M7" a="1"/>
  <c r="I7" a="1"/>
  <c r="E7" a="1"/>
  <c r="D2" i="7" a="1"/>
  <c r="B3" a="1"/>
  <c r="E3" i="4" a="1"/>
  <c r="B3" a="1"/>
  <c r="C7" i="18" a="1"/>
  <c r="E2" i="5" a="1"/>
  <c r="B2" a="1"/>
  <c r="E11" i="22" a="1"/>
  <c r="F11" a="1"/>
  <c r="E14" a="1"/>
  <c r="E10" a="1"/>
  <c r="L11" i="17" a="1"/>
  <c r="O1" a="1"/>
  <c r="G1" a="1"/>
  <c r="O8" a="1"/>
  <c r="O7" a="1"/>
  <c r="G7" a="1"/>
  <c r="F3" i="7" a="1"/>
  <c r="C7" i="14" a="1"/>
  <c r="D2" i="5" a="1"/>
  <c r="E12" i="22" a="1"/>
  <c r="F7" a="1"/>
  <c r="C3" i="5" a="1"/>
  <c r="E13" i="22" a="1"/>
  <c r="F15" a="1"/>
  <c r="O5" i="16" a="1"/>
  <c r="K4" a="1"/>
  <c r="I2" a="1"/>
  <c r="F1" a="1"/>
  <c r="O7" i="15" a="1"/>
  <c r="M11" a="1"/>
  <c r="I10" a="1"/>
  <c r="G5" a="1"/>
  <c r="C5" a="1"/>
  <c r="K1" a="1"/>
  <c r="O8" i="14" a="1"/>
  <c r="M2" a="1"/>
  <c r="D15" i="22" a="1"/>
  <c r="L2" i="20" a="1"/>
  <c r="H1" a="1"/>
  <c r="N1" i="19" a="1"/>
  <c r="L1" i="21" a="1"/>
  <c r="I7" i="16" a="1"/>
  <c r="M8" i="15" a="1"/>
  <c r="G11" a="1"/>
  <c r="M4" a="1"/>
  <c r="I5" i="14" a="1"/>
  <c r="L7" a="1"/>
  <c r="C13" i="22" a="1"/>
  <c r="O2" i="19" a="1"/>
  <c r="N1" i="21" a="1"/>
  <c r="D7" i="16" a="1"/>
  <c r="L4" a="1"/>
  <c r="N2" a="1"/>
  <c r="K1" a="1"/>
  <c r="H8" i="15" a="1"/>
  <c r="D7" a="1"/>
  <c r="N10" a="1"/>
  <c r="L5" a="1"/>
  <c r="H4" a="1"/>
  <c r="L1" a="1"/>
  <c r="H4" i="14" a="1"/>
  <c r="O10" a="1"/>
  <c r="K7" a="1"/>
  <c r="D6" i="22" a="1"/>
  <c r="C10" a="1"/>
  <c r="I2" i="20" a="1"/>
  <c r="N2" i="19" a="1"/>
  <c r="K1" a="1"/>
  <c r="F2" i="21" a="1"/>
  <c r="E7" i="16" a="1"/>
  <c r="O2" a="1"/>
  <c r="I8" i="15" a="1"/>
  <c r="O10" a="1"/>
  <c r="I4" a="1"/>
  <c r="E5" i="14" a="1"/>
  <c r="H7" a="1"/>
  <c r="C3" i="22" a="1"/>
  <c r="K2" i="19" a="1"/>
  <c r="G2" i="21" a="1"/>
  <c r="M1" i="16" a="1"/>
  <c r="N5" i="15" a="1"/>
  <c r="D12" i="22" a="1"/>
  <c r="I1" i="19" a="1"/>
  <c r="N8" i="15" a="1"/>
  <c r="N4" a="1"/>
  <c r="L2" i="14" a="1"/>
  <c r="M1" i="19" a="1"/>
  <c r="E1" i="16" a="1"/>
  <c r="F5" i="15" a="1"/>
  <c r="C4" i="14" a="1"/>
  <c r="D4" i="22" a="1"/>
  <c r="D2" i="19" a="1"/>
  <c r="I1" i="16" a="1"/>
  <c r="J5" i="15" a="1"/>
  <c r="N8" i="14" a="1"/>
  <c r="H2" i="19" a="1"/>
  <c r="I3" i="10"/>
  <c r="C1" i="14"/>
  <c r="D7" i="18" a="1"/>
  <c r="L11" a="1"/>
  <c r="H11" a="1"/>
  <c r="D11" a="1"/>
  <c r="L10" a="1"/>
  <c r="H10" a="1"/>
  <c r="D10" a="1"/>
  <c r="N2" a="1"/>
  <c r="J2" a="1"/>
  <c r="L1" a="1"/>
  <c r="H1" a="1"/>
  <c r="D1" a="1"/>
  <c r="J8" i="10"/>
  <c r="E8" i="18" a="1"/>
  <c r="I8" a="1"/>
  <c r="M8" a="1"/>
  <c r="N7" a="1"/>
  <c r="J7" a="1"/>
  <c r="O11" i="17" a="1"/>
  <c r="K11" a="1"/>
  <c r="G11" a="1"/>
  <c r="O10" a="1"/>
  <c r="K10" a="1"/>
  <c r="G10" a="1"/>
  <c r="O2" a="1"/>
  <c r="K2" a="1"/>
  <c r="N1" a="1"/>
  <c r="J1" a="1"/>
  <c r="F1" a="1"/>
  <c r="C10" a="1"/>
  <c r="C1" a="1"/>
  <c r="D2" i="6" a="1"/>
  <c r="N8" i="17" a="1"/>
  <c r="J8" a="1"/>
  <c r="F8" a="1"/>
  <c r="N7" a="1"/>
  <c r="J7" a="1"/>
  <c r="F7" a="1"/>
  <c r="C7" a="1"/>
  <c r="F2" i="7" a="1"/>
  <c r="D2" i="4" a="1"/>
  <c r="C2" a="1"/>
  <c r="C8" i="18" a="1"/>
  <c r="F2" i="5" a="1"/>
  <c r="E3" a="1"/>
  <c r="B3" a="1"/>
  <c r="F9" i="22" a="1"/>
  <c r="F12" a="1"/>
  <c r="E8" a="1"/>
  <c r="F13" a="1"/>
  <c r="G7" i="18" a="1"/>
  <c r="L2" i="17" a="1"/>
  <c r="K1" a="1"/>
  <c r="C11" a="1"/>
  <c r="D3" i="6" a="1"/>
  <c r="K8" i="17" a="1"/>
  <c r="G8" a="1"/>
  <c r="K7" a="1"/>
  <c r="C8" a="1"/>
  <c r="C3" i="4" a="1"/>
  <c r="C7" i="16" a="1"/>
  <c r="C2" i="5" a="1"/>
  <c r="F8" i="22" a="1"/>
  <c r="E7" a="1"/>
  <c r="E9" a="1"/>
  <c r="F10" a="1"/>
  <c r="I3" a="1"/>
  <c r="F4" a="1"/>
  <c r="E2" i="21" a="1"/>
  <c r="G4" i="20" a="1"/>
  <c r="G5" a="1"/>
  <c r="M8" a="1"/>
  <c r="M5" a="1"/>
  <c r="G7" a="1"/>
  <c r="G11" a="1"/>
  <c r="N7" i="22" a="1"/>
  <c r="M4" i="20" a="1"/>
  <c r="M7" a="1"/>
  <c r="M7" i="22" a="1"/>
  <c r="N13" a="1"/>
  <c r="M10" i="20" a="1"/>
  <c r="G10" a="1"/>
  <c r="M11" a="1"/>
  <c r="M13" i="22" a="1"/>
  <c r="G8" i="20" a="1"/>
  <c r="H11" a="1"/>
  <c r="H7" a="1"/>
  <c r="H10" a="1"/>
  <c r="N8" i="22" a="1"/>
  <c r="M8" a="1"/>
  <c r="H8" i="20" a="1"/>
  <c r="H4" a="1"/>
  <c r="H5" a="1"/>
  <c r="M15" i="22" a="1"/>
  <c r="N15" a="1"/>
  <c r="O11" i="20" a="1"/>
  <c r="O7" a="1"/>
  <c r="O8" a="1"/>
  <c r="O10" a="1"/>
  <c r="O5" a="1"/>
  <c r="O4" a="1"/>
  <c r="K11" a="1"/>
  <c r="N11" i="22" a="1"/>
  <c r="M11" a="1"/>
  <c r="K5" i="20" a="1"/>
  <c r="K7" a="1"/>
  <c r="K4" a="1"/>
  <c r="K10" a="1"/>
  <c r="K8" a="1"/>
  <c r="I5" a="1"/>
  <c r="N9" i="22" a="1"/>
  <c r="I11" i="20" a="1"/>
  <c r="I7" a="1"/>
  <c r="I4" a="1"/>
  <c r="I10" a="1"/>
  <c r="I8" a="1"/>
  <c r="M9" i="22" a="1"/>
  <c r="C11" i="20" a="1"/>
  <c r="C5" a="1"/>
  <c r="C10" a="1"/>
  <c r="C4" a="1"/>
  <c r="C8" a="1"/>
  <c r="C7" a="1"/>
  <c r="C4" i="19" a="1"/>
  <c r="C11" a="1"/>
  <c r="C7" a="1"/>
  <c r="C5" a="1"/>
  <c r="C8" a="1"/>
  <c r="G4" a="1"/>
  <c r="L7" i="22" a="1"/>
  <c r="G5" i="19" a="1"/>
  <c r="G7" a="1"/>
  <c r="G8" a="1"/>
  <c r="K7" i="22" a="1"/>
  <c r="G11" i="19" a="1"/>
  <c r="G10" a="1"/>
  <c r="E7" i="20" a="1"/>
  <c r="E5" a="1"/>
  <c r="N5" i="22" a="1"/>
  <c r="M5" a="1"/>
  <c r="E10" i="20" a="1"/>
  <c r="E11" a="1"/>
  <c r="E4" a="1"/>
  <c r="E8" a="1"/>
  <c r="D4" a="1"/>
  <c r="M4" i="22" a="1"/>
  <c r="D7" i="20" a="1"/>
  <c r="D8" a="1"/>
  <c r="D5" a="1"/>
  <c r="N4" i="22" a="1"/>
  <c r="D10" i="20" a="1"/>
  <c r="D11" a="1"/>
  <c r="N10" i="22" a="1"/>
  <c r="J7" i="20" a="1"/>
  <c r="J5" a="1"/>
  <c r="J8" a="1"/>
  <c r="J11" a="1"/>
  <c r="J4" a="1"/>
  <c r="M10" i="22" a="1"/>
  <c r="J10" i="20" a="1"/>
  <c r="K5" i="22" a="1"/>
  <c r="E5" i="19" a="1"/>
  <c r="E4" a="1"/>
  <c r="E8" a="1"/>
  <c r="E11" a="1"/>
  <c r="E7" a="1"/>
  <c r="L5" i="22" a="1"/>
  <c r="E10" i="19" a="1"/>
  <c r="N4" i="20" a="1"/>
  <c r="M14" i="22" a="1"/>
  <c r="F11" i="20" a="1"/>
  <c r="F8" a="1"/>
  <c r="N10" a="1"/>
  <c r="N7" a="1"/>
  <c r="F10" a="1"/>
  <c r="F4" a="1"/>
  <c r="N14" i="22" a="1"/>
  <c r="N5" i="20" a="1"/>
  <c r="F7" a="1"/>
  <c r="N6" i="22" a="1"/>
  <c r="N11" i="20" a="1"/>
  <c r="N8" a="1"/>
  <c r="M6" i="22" a="1"/>
  <c r="F5" i="20" a="1"/>
  <c r="O4" i="22" a="1"/>
  <c r="D10" i="21" a="1"/>
  <c r="D11" a="1"/>
  <c r="P4" i="22" a="1"/>
  <c r="D8" i="21" a="1"/>
  <c r="D4" a="1"/>
  <c r="D5" a="1"/>
  <c r="D7" a="1"/>
  <c r="M12" i="22" a="1"/>
  <c r="L8" i="20" a="1"/>
  <c r="J5" i="19" a="1"/>
  <c r="L14" i="22" a="1"/>
  <c r="N10" i="19" a="1"/>
  <c r="L7" i="20" a="1"/>
  <c r="J10" i="19" a="1"/>
  <c r="K14" i="22" a="1"/>
  <c r="J11" i="19" a="1"/>
  <c r="N5" a="1"/>
  <c r="L5" i="20" a="1"/>
  <c r="L11" a="1"/>
  <c r="N12" i="22" a="1"/>
  <c r="J4" i="19" a="1"/>
  <c r="N11" a="1"/>
  <c r="N4" a="1"/>
  <c r="L4" i="20" a="1"/>
  <c r="L10" a="1"/>
  <c r="K10" i="22" a="1"/>
  <c r="L10" a="1"/>
  <c r="P5" a="1"/>
  <c r="E8" i="21" a="1"/>
  <c r="O5" i="22" a="1"/>
  <c r="E5" i="21" a="1"/>
  <c r="E10" a="1"/>
  <c r="E11" a="1"/>
  <c r="E7" a="1"/>
  <c r="K9" i="22" a="1"/>
  <c r="K11" i="19" a="1"/>
  <c r="F4" a="1"/>
  <c r="I8" a="1"/>
  <c r="I7" a="1"/>
  <c r="L13" i="22" a="1"/>
  <c r="M4" i="19" a="1"/>
  <c r="F5" a="1"/>
  <c r="F10" a="1"/>
  <c r="K5" a="1"/>
  <c r="K6" i="22" a="1"/>
  <c r="M5" i="19" a="1"/>
  <c r="K11" i="22" a="1"/>
  <c r="I5" i="19" a="1"/>
  <c r="L6" i="22" a="1"/>
  <c r="E4" i="21" a="1"/>
  <c r="K10" i="19" a="1"/>
  <c r="K4" a="1"/>
  <c r="F7" a="1"/>
  <c r="F8" a="1"/>
  <c r="I11" a="1"/>
  <c r="I4" a="1"/>
  <c r="M11" a="1"/>
  <c r="M10" a="1"/>
  <c r="F11" a="1"/>
  <c r="K7" a="1"/>
  <c r="K8" a="1"/>
  <c r="L9" i="22" a="1"/>
  <c r="K13" a="1"/>
  <c r="I10" i="19" a="1"/>
  <c r="L11" i="22" a="1"/>
  <c r="H5" i="19" a="1"/>
  <c r="L8" i="22" a="1"/>
  <c r="H4" i="19" a="1"/>
  <c r="H11" a="1"/>
  <c r="F11" i="21" a="1"/>
  <c r="L11" a="1"/>
  <c r="K15" i="22" a="1"/>
  <c r="H7" i="19" a="1"/>
  <c r="H10" a="1"/>
  <c r="H8" a="1"/>
  <c r="K8" i="22" a="1"/>
  <c r="G8" i="21" a="1"/>
  <c r="G5" a="1"/>
  <c r="F10" a="1"/>
  <c r="F4" a="1"/>
  <c r="M4" a="1"/>
  <c r="M10" a="1"/>
  <c r="O14" i="22" a="1"/>
  <c r="C5" i="21" a="1"/>
  <c r="C10" a="1"/>
  <c r="O8" i="22" a="1"/>
  <c r="O11" a="1"/>
  <c r="I4" i="21" a="1"/>
  <c r="I11" a="1"/>
  <c r="H11" a="1"/>
  <c r="O7" a="1"/>
  <c r="D7" i="19" a="1"/>
  <c r="O7" i="22" a="1"/>
  <c r="G10" i="21" a="1"/>
  <c r="G7" a="1"/>
  <c r="P6" i="22" a="1"/>
  <c r="F7" i="21" a="1"/>
  <c r="M11" a="1"/>
  <c r="N7" a="1"/>
  <c r="N11" a="1"/>
  <c r="C8" a="1"/>
  <c r="I10" a="1"/>
  <c r="K5" a="1"/>
  <c r="L10" a="1"/>
  <c r="L7" a="1"/>
  <c r="H5" a="1"/>
  <c r="L5" a="1"/>
  <c r="K8" a="1"/>
  <c r="H8" a="1"/>
  <c r="J8" a="1"/>
  <c r="O15" i="22" a="1"/>
  <c r="P10" a="1"/>
  <c r="P15" a="1"/>
  <c r="L4" i="19" a="1"/>
  <c r="L11" a="1"/>
  <c r="O10" a="1"/>
  <c r="L15" i="22" a="1"/>
  <c r="L4" a="1"/>
  <c r="O5" i="19" a="1"/>
  <c r="P7" i="22" a="1"/>
  <c r="P13" a="1"/>
  <c r="N4" i="21" a="1"/>
  <c r="C7" a="1"/>
  <c r="K4" a="1"/>
  <c r="O9" i="22" a="1"/>
  <c r="L4" i="21" a="1"/>
  <c r="O8" a="1"/>
  <c r="O4" a="1"/>
  <c r="K12" i="22" a="1"/>
  <c r="O11" i="19" a="1"/>
  <c r="P8" i="22" a="1"/>
  <c r="O5" i="21" a="1"/>
  <c r="J7" a="1"/>
  <c r="L10" i="19" a="1"/>
  <c r="G11" i="21" a="1"/>
  <c r="G4" a="1"/>
  <c r="F8" a="1"/>
  <c r="O6" i="22" a="1"/>
  <c r="M5" i="21" a="1"/>
  <c r="O13" i="22" a="1"/>
  <c r="N5" i="21" a="1"/>
  <c r="P14" i="22" a="1"/>
  <c r="N10" i="21" a="1"/>
  <c r="C11" a="1"/>
  <c r="L8" a="1"/>
  <c r="H7" a="1"/>
  <c r="P12" i="22" a="1"/>
  <c r="O12" a="1"/>
  <c r="K11" i="21" a="1"/>
  <c r="P9" i="22" a="1"/>
  <c r="I5" i="21" a="1"/>
  <c r="I8" a="1"/>
  <c r="J5" a="1"/>
  <c r="O10" i="22" a="1"/>
  <c r="O10" i="21" a="1"/>
  <c r="O11" a="1"/>
  <c r="L5" i="19" a="1"/>
  <c r="D8" a="1"/>
  <c r="D5" a="1"/>
  <c r="F5" i="21" a="1"/>
  <c r="M8" a="1"/>
  <c r="N8" a="1"/>
  <c r="C4" a="1"/>
  <c r="H10" a="1"/>
  <c r="K10" a="1"/>
  <c r="H4" a="1"/>
  <c r="P11" i="22" a="1"/>
  <c r="J11" i="21" a="1"/>
  <c r="J4" a="1"/>
  <c r="K4" i="22" a="1"/>
  <c r="M7" i="21" a="1"/>
  <c r="I7" a="1"/>
  <c r="K7" a="1"/>
  <c r="J10" a="1"/>
  <c r="L12" i="22" a="1"/>
  <c r="D4" i="19" a="1"/>
  <c r="O4" a="1"/>
  <c r="K11" i="16" a="1"/>
  <c r="C10" a="1"/>
  <c r="H11" a="1"/>
  <c r="H10" a="1"/>
  <c r="H2" i="17" a="1"/>
  <c r="K8" i="16" a="1"/>
  <c r="N11" a="1"/>
  <c r="F8" a="1"/>
  <c r="F11" a="1"/>
  <c r="M11" a="1"/>
  <c r="F2" i="17" a="1"/>
  <c r="K3" i="22" a="1"/>
  <c r="E8" i="14" a="1"/>
  <c r="E3" i="22" a="1"/>
  <c r="E10" i="14" a="1"/>
  <c r="G2" i="18" a="1"/>
  <c r="E5" i="22" a="1"/>
  <c r="I2" i="18" a="1"/>
  <c r="C1" i="15" a="1"/>
  <c r="D10" i="14" a="1"/>
  <c r="E1" i="19" a="1"/>
  <c r="L7" i="16" a="1"/>
  <c r="M7" a="1"/>
  <c r="D3" i="4" a="1"/>
  <c r="E11" i="14" a="1"/>
  <c r="F1" i="19" a="1"/>
  <c r="F11" i="14" a="1"/>
  <c r="N7" i="16" a="1"/>
  <c r="C2" i="15" a="1"/>
  <c r="D11" i="19" a="1"/>
  <c r="K7" i="16" a="1"/>
  <c r="H10" i="14" a="1"/>
  <c r="H2" a="1"/>
  <c r="O4" a="1"/>
  <c r="C8" a="1"/>
  <c r="J7" i="19" a="1"/>
  <c r="N10" i="16" a="1"/>
  <c r="J10" a="1"/>
  <c r="G11" a="1"/>
  <c r="E11" a="1"/>
  <c r="K10" a="1"/>
  <c r="I10" a="1"/>
  <c r="J8" a="1"/>
  <c r="M10" a="1"/>
  <c r="D8" a="1"/>
  <c r="F3" i="5" a="1"/>
  <c r="O11" i="16" a="1"/>
  <c r="H8" a="1"/>
  <c r="L8" a="1"/>
  <c r="D3" i="5" a="1"/>
  <c r="O8" i="19" a="1"/>
  <c r="O7" a="1"/>
  <c r="C1" a="1"/>
  <c r="G11" i="14" a="1"/>
  <c r="D11" a="1"/>
  <c r="F5" i="22" a="1"/>
  <c r="D2" i="15" a="1"/>
  <c r="L4" i="14" a="1"/>
  <c r="O7" i="16" a="1"/>
  <c r="F8" i="14" a="1"/>
  <c r="C2" i="21" a="1"/>
  <c r="K5" i="14" a="1"/>
  <c r="G3" i="22" a="1"/>
  <c r="L5" i="14" a="1"/>
  <c r="F2" a="1"/>
  <c r="F1" i="15" a="1"/>
  <c r="F3" i="4" a="1"/>
  <c r="F6" i="22" a="1"/>
  <c r="C1" i="20" a="1"/>
  <c r="M3" i="22" a="1"/>
  <c r="I2" i="14" a="1"/>
  <c r="G2" a="1"/>
  <c r="E2" i="18" a="1"/>
  <c r="L3" i="22" a="1"/>
  <c r="F2" i="18" a="1"/>
  <c r="O3" i="22" a="1"/>
  <c r="D10" i="16" a="1"/>
  <c r="M8" a="1"/>
  <c r="O8" a="1"/>
  <c r="L10" a="1"/>
  <c r="E2" i="17" a="1"/>
  <c r="G8" i="16" a="1"/>
  <c r="C11" a="1"/>
  <c r="E1" i="15" a="1"/>
  <c r="N5" i="14" a="1"/>
  <c r="D1" i="20" a="1"/>
  <c r="J8" i="19" a="1"/>
  <c r="D1" a="1"/>
  <c r="M4" i="14" a="1"/>
  <c r="I10" a="1"/>
  <c r="N8" i="19" a="1"/>
  <c r="E1" i="20" a="1"/>
  <c r="D8" i="14" a="1"/>
  <c r="D2" i="21" a="1"/>
  <c r="E2" i="14" a="1"/>
  <c r="F2" i="15" a="1"/>
  <c r="H8" i="14" a="1"/>
  <c r="H11" a="1"/>
  <c r="D2" i="18" a="1"/>
  <c r="N7" i="19" a="1"/>
  <c r="I2" i="17" a="1"/>
  <c r="I11" i="14" a="1"/>
  <c r="G10" a="1"/>
  <c r="J5" a="1"/>
  <c r="M5" a="1"/>
  <c r="O5" a="1"/>
  <c r="D10" i="19" a="1"/>
  <c r="L11" i="16" a="1"/>
  <c r="J11" a="1"/>
  <c r="D11" a="1"/>
  <c r="I8" a="1"/>
  <c r="I11" a="1"/>
  <c r="G2" i="17" a="1"/>
  <c r="G10" i="16" a="1"/>
  <c r="E8" a="1"/>
  <c r="N8" a="1"/>
  <c r="E10" a="1"/>
  <c r="D2" i="17" a="1"/>
  <c r="C8" i="16" a="1"/>
  <c r="C2" i="17" a="1"/>
  <c r="O10" i="16" a="1"/>
  <c r="F10" a="1"/>
  <c r="E2" i="15" a="1"/>
  <c r="N4" i="14" a="1"/>
  <c r="C2" i="18" a="1"/>
  <c r="M8" i="19" a="1"/>
  <c r="N3" i="22" a="1"/>
  <c r="F10" i="14" a="1"/>
  <c r="J4" a="1"/>
  <c r="M7" i="19" a="1"/>
  <c r="P3" i="22" a="1"/>
  <c r="F1" i="20" a="1"/>
  <c r="L7" i="19" a="1"/>
  <c r="G8" i="14" a="1"/>
  <c r="C10" a="1"/>
  <c r="I8" a="1"/>
  <c r="H2" i="18" a="1"/>
  <c r="E4" i="22" a="1"/>
  <c r="E6" a="1"/>
  <c r="K4" i="14" a="1"/>
  <c r="D1" i="15" a="1"/>
  <c r="J7" i="16" a="1"/>
  <c r="J3" i="22" a="1"/>
  <c r="C11" i="14" a="1"/>
  <c r="L8" i="19" a="1"/>
  <c r="B5" i="10"/>
  <c r="H8"/>
  <c r="C4" i="11"/>
  <c r="N5" i="18"/>
  <c r="H4" i="10"/>
  <c r="C6"/>
  <c r="B3" i="12"/>
  <c r="M4" i="17"/>
  <c r="E3" i="7"/>
  <c r="I10" i="22"/>
  <c r="E7" i="10"/>
  <c r="F5"/>
  <c r="B5" i="12"/>
  <c r="N5" i="17"/>
  <c r="J4"/>
  <c r="C5"/>
  <c r="I13" i="22"/>
  <c r="G13"/>
  <c r="H10"/>
  <c r="H4"/>
  <c r="H5" i="17"/>
  <c r="E2" i="7"/>
  <c r="F4" i="18"/>
  <c r="I12" i="22"/>
  <c r="I8"/>
  <c r="F1" i="14"/>
  <c r="E6" i="10"/>
  <c r="E4"/>
  <c r="K5" i="17"/>
  <c r="G4"/>
  <c r="G14" i="22"/>
  <c r="H15"/>
  <c r="G8"/>
  <c r="G15"/>
  <c r="L5" i="17"/>
  <c r="F5" i="18"/>
  <c r="J10" i="22"/>
  <c r="G12"/>
  <c r="M1" i="14"/>
  <c r="G3" i="8"/>
  <c r="B5"/>
  <c r="B2" i="11"/>
  <c r="D8" i="10"/>
  <c r="N1" i="14"/>
  <c r="G2" i="8"/>
  <c r="B7" i="10"/>
  <c r="H4" i="8"/>
  <c r="C4"/>
  <c r="C10" i="19"/>
  <c r="H5" i="8"/>
  <c r="C5"/>
  <c r="C3" i="12"/>
  <c r="B4"/>
  <c r="J4" i="22"/>
  <c r="I5" i="8"/>
  <c r="C3"/>
  <c r="C5" i="11"/>
  <c r="B4"/>
  <c r="H7" i="22"/>
  <c r="H1" i="14"/>
  <c r="C7" i="10"/>
  <c r="E1" i="14"/>
  <c r="H6" i="10"/>
  <c r="F6"/>
  <c r="C3" i="6"/>
  <c r="M5" i="18"/>
  <c r="C5" i="10"/>
  <c r="D1" i="14"/>
  <c r="C2" i="11"/>
  <c r="E5" i="17"/>
  <c r="E2" i="6"/>
  <c r="J4" i="18"/>
  <c r="E8" i="10"/>
  <c r="O2" i="14"/>
  <c r="B3" i="13"/>
  <c r="N4" i="17"/>
  <c r="I7" i="22"/>
  <c r="J9"/>
  <c r="C5" i="18"/>
  <c r="J12" i="22"/>
  <c r="J15"/>
  <c r="L4" i="18"/>
  <c r="I14" i="22"/>
  <c r="F3" i="10"/>
  <c r="D4"/>
  <c r="C4"/>
  <c r="O5" i="17"/>
  <c r="K4"/>
  <c r="G10" i="22"/>
  <c r="H9"/>
  <c r="I9"/>
  <c r="J7"/>
  <c r="H6"/>
  <c r="I15"/>
  <c r="G7"/>
  <c r="G8" i="10"/>
  <c r="F8"/>
  <c r="G7"/>
  <c r="D9"/>
  <c r="E5" i="8"/>
  <c r="G4"/>
  <c r="L1" i="14"/>
  <c r="B2" i="12"/>
  <c r="G6" i="22"/>
  <c r="C2" i="14"/>
  <c r="B2" i="8"/>
  <c r="G6" i="10"/>
  <c r="O1" i="14"/>
  <c r="B4" i="13"/>
  <c r="C3"/>
  <c r="G4" i="10"/>
  <c r="C8"/>
  <c r="I7"/>
  <c r="D7"/>
  <c r="K1" i="14"/>
  <c r="F4" i="8"/>
  <c r="I4" i="22"/>
  <c r="C3" i="10"/>
  <c r="O5" i="18"/>
  <c r="B3" i="10"/>
  <c r="B5" i="11"/>
  <c r="I4" i="17"/>
  <c r="L5" i="18"/>
  <c r="H7" i="10"/>
  <c r="D3"/>
  <c r="J5" i="17"/>
  <c r="G9" i="22"/>
  <c r="C4" i="18"/>
  <c r="M4"/>
  <c r="J5"/>
  <c r="B6" i="10"/>
  <c r="G5" i="17"/>
  <c r="C3" i="7"/>
  <c r="D5" i="18"/>
  <c r="I4"/>
  <c r="J8" i="22"/>
  <c r="D4" i="8"/>
  <c r="I8" i="10"/>
  <c r="J6" i="22"/>
  <c r="H3" i="8"/>
  <c r="E4"/>
  <c r="D5"/>
  <c r="E3"/>
  <c r="D2" i="14"/>
  <c r="B8" i="10"/>
  <c r="G3"/>
  <c r="H5"/>
  <c r="H3"/>
  <c r="F4"/>
  <c r="B3" i="11"/>
  <c r="G4" i="18"/>
  <c r="G1" i="14"/>
  <c r="H9" i="10"/>
  <c r="E9"/>
  <c r="I5" i="17"/>
  <c r="E4"/>
  <c r="H8" i="22"/>
  <c r="E5" i="10"/>
  <c r="B4"/>
  <c r="C2" i="12"/>
  <c r="F5" i="17"/>
  <c r="E3" i="6"/>
  <c r="C2" i="7"/>
  <c r="N4" i="18"/>
  <c r="K4"/>
  <c r="D4"/>
  <c r="E4"/>
  <c r="D4" i="17"/>
  <c r="H12" i="22"/>
  <c r="G11"/>
  <c r="E3" i="10"/>
  <c r="I1" i="14"/>
  <c r="C4" i="12"/>
  <c r="O4" i="17"/>
  <c r="C2" i="6"/>
  <c r="H14" i="22"/>
  <c r="H5"/>
  <c r="I5" i="18"/>
  <c r="H11" i="22"/>
  <c r="K5" i="18"/>
  <c r="H5"/>
  <c r="H4"/>
  <c r="J13" i="22"/>
  <c r="F7" i="10"/>
  <c r="F9"/>
  <c r="C2" i="8"/>
  <c r="D2"/>
  <c r="F2"/>
  <c r="C5" i="12"/>
  <c r="J5" i="22"/>
  <c r="B2" i="13"/>
  <c r="G4" i="22"/>
  <c r="J1" i="14"/>
  <c r="F3" i="8"/>
  <c r="H2"/>
  <c r="I5" i="22"/>
  <c r="C3" i="11"/>
  <c r="D3" i="8"/>
  <c r="I3"/>
  <c r="I2"/>
  <c r="B5" i="13"/>
  <c r="B4" i="8"/>
  <c r="C9" i="10"/>
  <c r="E2" i="8"/>
  <c r="G5" i="22"/>
  <c r="C2" i="13"/>
  <c r="D5" i="17"/>
  <c r="D5" i="10"/>
  <c r="M5" i="17"/>
  <c r="C4"/>
  <c r="D6" i="10"/>
  <c r="C4" i="13"/>
  <c r="F4" i="17"/>
  <c r="H13" i="22"/>
  <c r="H4" i="17"/>
  <c r="J14" i="22"/>
  <c r="G5" i="18"/>
  <c r="D7" i="14"/>
  <c r="O4" i="18"/>
  <c r="E5"/>
  <c r="L4" i="17"/>
  <c r="J11" i="22"/>
  <c r="I11"/>
  <c r="G5" i="10"/>
  <c r="G5" i="8"/>
  <c r="F5"/>
  <c r="I6" i="22"/>
  <c r="I4" i="8"/>
  <c r="B9" i="10"/>
  <c r="C5" i="13"/>
  <c r="G9" i="10"/>
  <c r="B3" i="8"/>
  <c r="C2" i="4" l="1"/>
  <c r="C1" i="17"/>
  <c r="C1" i="18"/>
  <c r="O1" i="21"/>
  <c r="K1"/>
  <c r="G1"/>
  <c r="N1" i="20"/>
  <c r="J1"/>
  <c r="L1" i="19"/>
  <c r="H1"/>
  <c r="N1" i="15"/>
  <c r="J1"/>
  <c r="C4" i="14"/>
  <c r="J1" i="21"/>
  <c r="F1"/>
  <c r="K1" i="19"/>
  <c r="I1" i="15"/>
  <c r="L1" i="21"/>
  <c r="H1"/>
  <c r="D1"/>
  <c r="O1" i="20"/>
  <c r="K1"/>
  <c r="G1"/>
  <c r="M1" i="19"/>
  <c r="I1"/>
  <c r="O1" i="15"/>
  <c r="K1"/>
  <c r="G1"/>
  <c r="N1" i="21"/>
  <c r="C1"/>
  <c r="M1" i="20"/>
  <c r="H1"/>
  <c r="O1" i="19"/>
  <c r="G1"/>
  <c r="M1" i="15"/>
  <c r="M1" i="21"/>
  <c r="I1"/>
  <c r="E1"/>
  <c r="L1" i="20"/>
  <c r="I1"/>
  <c r="N1" i="19"/>
  <c r="J1"/>
  <c r="C1" i="16"/>
  <c r="L1" i="15"/>
  <c r="H1"/>
  <c r="E2" i="4"/>
  <c r="B2"/>
  <c r="C8" i="16"/>
  <c r="D3" i="5"/>
  <c r="C3"/>
  <c r="F2" i="6"/>
  <c r="B2"/>
  <c r="L8" i="17"/>
  <c r="H8"/>
  <c r="D8"/>
  <c r="L7"/>
  <c r="H7"/>
  <c r="D7"/>
  <c r="N11"/>
  <c r="J11"/>
  <c r="F11"/>
  <c r="N10"/>
  <c r="J10"/>
  <c r="F10"/>
  <c r="N2"/>
  <c r="J2"/>
  <c r="E2"/>
  <c r="M1"/>
  <c r="I1"/>
  <c r="E1"/>
  <c r="C2"/>
  <c r="M2" i="18"/>
  <c r="O1"/>
  <c r="K1"/>
  <c r="G1"/>
  <c r="M1" i="16"/>
  <c r="N2" i="19"/>
  <c r="I2"/>
  <c r="O8" i="14"/>
  <c r="L4" i="15"/>
  <c r="D4"/>
  <c r="G2" i="20"/>
  <c r="L1" i="16"/>
  <c r="H5" i="14"/>
  <c r="K8"/>
  <c r="L2" i="21"/>
  <c r="N2" i="16"/>
  <c r="J1"/>
  <c r="H2" i="20"/>
  <c r="F3" i="22"/>
  <c r="I4" i="15"/>
  <c r="M8"/>
  <c r="G5" i="14"/>
  <c r="D1" i="16"/>
  <c r="M5" i="15"/>
  <c r="D4" i="22"/>
  <c r="M4" i="15"/>
  <c r="I2" i="21"/>
  <c r="M2" i="20"/>
  <c r="J2" i="19"/>
  <c r="K2" i="16"/>
  <c r="G1"/>
  <c r="C2" i="19"/>
  <c r="M7" i="15"/>
  <c r="F2" i="21"/>
  <c r="L7" i="14"/>
  <c r="H8" i="15"/>
  <c r="F7"/>
  <c r="N4" i="16"/>
  <c r="F7" i="14"/>
  <c r="J11" i="15"/>
  <c r="O10" i="14"/>
  <c r="K10" i="15"/>
  <c r="G8" i="16"/>
  <c r="F5" i="15"/>
  <c r="D8" i="22"/>
  <c r="C10" i="16"/>
  <c r="D11"/>
  <c r="C2"/>
  <c r="C14" i="22"/>
  <c r="K5" i="16"/>
  <c r="D15" i="22"/>
  <c r="L5" i="16"/>
  <c r="L8"/>
  <c r="F4" i="15"/>
  <c r="L11" i="16"/>
  <c r="O7" i="15"/>
  <c r="F7" i="16"/>
  <c r="J7" i="15"/>
  <c r="I10" i="16"/>
  <c r="C10" i="22"/>
  <c r="C8" i="15"/>
  <c r="G8"/>
  <c r="C11" i="22"/>
  <c r="O8" i="16"/>
  <c r="M11" i="15"/>
  <c r="J5" i="16"/>
  <c r="F10" i="15"/>
  <c r="E8"/>
  <c r="N8" i="16"/>
  <c r="I10" i="15"/>
  <c r="H10"/>
  <c r="I11" i="16"/>
  <c r="H8"/>
  <c r="C7" i="15"/>
  <c r="E5"/>
  <c r="K10" i="14"/>
  <c r="K8" i="22"/>
  <c r="L8"/>
  <c r="H5" i="19"/>
  <c r="H4" i="20"/>
  <c r="F11" i="22"/>
  <c r="E14"/>
  <c r="G7" i="18"/>
  <c r="K10"/>
  <c r="L7"/>
  <c r="O14" i="22"/>
  <c r="F13"/>
  <c r="G8" i="18"/>
  <c r="C11"/>
  <c r="I7"/>
  <c r="D3" i="7"/>
  <c r="E7" i="22"/>
  <c r="E10" i="18"/>
  <c r="M11"/>
  <c r="J8"/>
  <c r="M10"/>
  <c r="E15" i="22"/>
  <c r="F7"/>
  <c r="O11" i="21"/>
  <c r="F11" i="18"/>
  <c r="P14" i="22"/>
  <c r="I2" i="17"/>
  <c r="K4" i="14"/>
  <c r="E8"/>
  <c r="N11" i="20"/>
  <c r="C7" i="19"/>
  <c r="E8"/>
  <c r="K4" i="21"/>
  <c r="E8"/>
  <c r="H7" i="20"/>
  <c r="F2" i="18"/>
  <c r="G2" i="14"/>
  <c r="E1" i="15"/>
  <c r="M11" i="22"/>
  <c r="F11" i="14"/>
  <c r="G5" i="20"/>
  <c r="D5" i="21"/>
  <c r="N4" i="20"/>
  <c r="F5" i="19"/>
  <c r="N12" i="22"/>
  <c r="M13"/>
  <c r="M7" i="21"/>
  <c r="H8" i="19"/>
  <c r="I11" i="20"/>
  <c r="O3" i="22"/>
  <c r="P3"/>
  <c r="O6"/>
  <c r="L11"/>
  <c r="M5" i="19"/>
  <c r="K10" i="22"/>
  <c r="C7" i="20"/>
  <c r="D5" i="19"/>
  <c r="L10" i="21"/>
  <c r="G8" i="14"/>
  <c r="D8" i="19"/>
  <c r="C5"/>
  <c r="L12" i="22"/>
  <c r="H7" i="19"/>
  <c r="I11" i="21"/>
  <c r="F5" i="22"/>
  <c r="F8" i="21"/>
  <c r="O11" i="22"/>
  <c r="L8" i="19"/>
  <c r="M11" i="20"/>
  <c r="H11" i="21"/>
  <c r="G5" i="19"/>
  <c r="M4" i="14"/>
  <c r="H11"/>
  <c r="N10" i="20"/>
  <c r="K12" i="22"/>
  <c r="K11" i="21"/>
  <c r="O7"/>
  <c r="P11" i="22"/>
  <c r="L9"/>
  <c r="G4" i="21"/>
  <c r="H2" i="18"/>
  <c r="L5" i="14"/>
  <c r="L7" i="22"/>
  <c r="E2" i="14"/>
  <c r="I11"/>
  <c r="E2" i="15"/>
  <c r="G10" i="14"/>
  <c r="F5" i="20"/>
  <c r="F4"/>
  <c r="N15" i="22"/>
  <c r="O10" i="20"/>
  <c r="D7" i="21"/>
  <c r="K3" i="22"/>
  <c r="F5" i="21"/>
  <c r="O11" i="19"/>
  <c r="E3" i="4"/>
  <c r="B3"/>
  <c r="C7" i="18"/>
  <c r="F3" i="5"/>
  <c r="E2"/>
  <c r="B2"/>
  <c r="B3" i="6"/>
  <c r="M8" i="17"/>
  <c r="I8"/>
  <c r="E8"/>
  <c r="M7"/>
  <c r="I7"/>
  <c r="E7"/>
  <c r="O11"/>
  <c r="K11"/>
  <c r="G11"/>
  <c r="O10"/>
  <c r="K10"/>
  <c r="G10"/>
  <c r="O2"/>
  <c r="K2"/>
  <c r="F2"/>
  <c r="N1"/>
  <c r="J1"/>
  <c r="F1"/>
  <c r="C10"/>
  <c r="N2" i="18"/>
  <c r="J2"/>
  <c r="L1"/>
  <c r="H1"/>
  <c r="D1"/>
  <c r="E2" i="16"/>
  <c r="L2" i="15"/>
  <c r="J2" i="14"/>
  <c r="F2" i="19"/>
  <c r="I8" i="15"/>
  <c r="G4" i="14"/>
  <c r="I7"/>
  <c r="H2" i="16"/>
  <c r="D12" i="22"/>
  <c r="I5" i="14"/>
  <c r="N7"/>
  <c r="N1" i="16"/>
  <c r="C2" i="20"/>
  <c r="N2"/>
  <c r="L8" i="14"/>
  <c r="D7" i="22"/>
  <c r="I5" i="15"/>
  <c r="H1" i="16"/>
  <c r="I2" i="15"/>
  <c r="L5"/>
  <c r="D9" i="22"/>
  <c r="M2" i="21"/>
  <c r="O2" i="16"/>
  <c r="K1"/>
  <c r="N2" i="21"/>
  <c r="H3" i="22"/>
  <c r="J8" i="14"/>
  <c r="K7"/>
  <c r="F8" i="15"/>
  <c r="H4" i="16"/>
  <c r="K2" i="15"/>
  <c r="D14" i="22"/>
  <c r="C6"/>
  <c r="K7" i="15"/>
  <c r="H5" i="16"/>
  <c r="J8" i="15"/>
  <c r="C5" i="20"/>
  <c r="G11" i="15"/>
  <c r="I11"/>
  <c r="M10" i="14"/>
  <c r="D11" i="15"/>
  <c r="K4"/>
  <c r="F8" i="16"/>
  <c r="M8"/>
  <c r="O2" i="15"/>
  <c r="N8"/>
  <c r="J8" i="16"/>
  <c r="M10" i="15"/>
  <c r="D7"/>
  <c r="K11" i="16"/>
  <c r="I5"/>
  <c r="G7" i="14"/>
  <c r="O10" i="16"/>
  <c r="L11" i="15"/>
  <c r="E8" i="16"/>
  <c r="K10"/>
  <c r="G7"/>
  <c r="E11"/>
  <c r="E4" i="15"/>
  <c r="M5" i="16"/>
  <c r="N4" i="15"/>
  <c r="I7" i="16"/>
  <c r="C4" i="20"/>
  <c r="E10" i="15"/>
  <c r="O4"/>
  <c r="O11" i="14"/>
  <c r="N10"/>
  <c r="N10" i="15"/>
  <c r="N7"/>
  <c r="D7" i="16"/>
  <c r="J11" i="14"/>
  <c r="H4" i="19"/>
  <c r="E11" i="20"/>
  <c r="H5"/>
  <c r="E12" i="22"/>
  <c r="F10"/>
  <c r="I10" i="18"/>
  <c r="G10"/>
  <c r="O7"/>
  <c r="K7"/>
  <c r="E11" i="22"/>
  <c r="I8" i="18"/>
  <c r="E7"/>
  <c r="E11"/>
  <c r="O4" i="21"/>
  <c r="E8" i="22"/>
  <c r="O5" i="21"/>
  <c r="L11" i="18"/>
  <c r="J10"/>
  <c r="O11"/>
  <c r="E9" i="22"/>
  <c r="F14"/>
  <c r="E8" i="18"/>
  <c r="D7"/>
  <c r="O8"/>
  <c r="N11"/>
  <c r="D2" i="15"/>
  <c r="F8" i="14"/>
  <c r="O4" i="22"/>
  <c r="H11" i="20"/>
  <c r="C10" i="21"/>
  <c r="H10"/>
  <c r="F4" i="22"/>
  <c r="G10" i="19"/>
  <c r="C8" i="14"/>
  <c r="G3" i="22"/>
  <c r="E1" i="20"/>
  <c r="F10" i="14"/>
  <c r="K4" i="20"/>
  <c r="N6" i="22"/>
  <c r="J4" i="20"/>
  <c r="N14" i="22"/>
  <c r="I8" i="19"/>
  <c r="O8"/>
  <c r="F11"/>
  <c r="L11" i="20"/>
  <c r="N7"/>
  <c r="L11" i="21"/>
  <c r="K4" i="22"/>
  <c r="F7" i="21"/>
  <c r="I5" i="20"/>
  <c r="C10"/>
  <c r="H4" i="21"/>
  <c r="K7" i="19"/>
  <c r="K9" i="22"/>
  <c r="K10" i="19"/>
  <c r="E7" i="21"/>
  <c r="G11" i="14"/>
  <c r="J5" i="20"/>
  <c r="D10" i="21"/>
  <c r="N5" i="20"/>
  <c r="I7"/>
  <c r="P13" i="22"/>
  <c r="N10" i="19"/>
  <c r="L15" i="22"/>
  <c r="E8" i="20"/>
  <c r="N8"/>
  <c r="F8" i="19"/>
  <c r="K15" i="22"/>
  <c r="D1" i="19"/>
  <c r="E1"/>
  <c r="J7" i="16"/>
  <c r="N7" i="22"/>
  <c r="G11" i="19"/>
  <c r="E4" i="21"/>
  <c r="D8"/>
  <c r="L7" i="20"/>
  <c r="N8" i="21"/>
  <c r="M8" i="20"/>
  <c r="F3" i="4"/>
  <c r="F1" i="20"/>
  <c r="I2" i="14"/>
  <c r="L4"/>
  <c r="K5"/>
  <c r="H8"/>
  <c r="D11"/>
  <c r="D8"/>
  <c r="K5" i="22"/>
  <c r="F11" i="20"/>
  <c r="M15" i="22"/>
  <c r="E10" i="20"/>
  <c r="F4" i="19"/>
  <c r="M10" i="21"/>
  <c r="M5"/>
  <c r="H10" i="19"/>
  <c r="I10" i="20"/>
  <c r="P12" i="22"/>
  <c r="N5" i="19"/>
  <c r="J5" i="21"/>
  <c r="C8" i="20"/>
  <c r="E5" i="21"/>
  <c r="J4"/>
  <c r="O8" i="20"/>
  <c r="K11" i="19"/>
  <c r="L8" i="21"/>
  <c r="O4" i="14"/>
  <c r="O7" i="16"/>
  <c r="C4" i="19"/>
  <c r="D8" i="20"/>
  <c r="L5"/>
  <c r="F11" i="21"/>
  <c r="K10"/>
  <c r="P5" i="22"/>
  <c r="O7" i="19"/>
  <c r="N7" i="21"/>
  <c r="N13" i="22"/>
  <c r="H7" i="21"/>
  <c r="C3" i="4"/>
  <c r="C7" i="16"/>
  <c r="D2" i="5"/>
  <c r="D3" i="6"/>
  <c r="K8" i="17"/>
  <c r="O7"/>
  <c r="C8"/>
  <c r="I11"/>
  <c r="M10"/>
  <c r="E10"/>
  <c r="H2"/>
  <c r="L1"/>
  <c r="D1"/>
  <c r="L2" i="18"/>
  <c r="J1"/>
  <c r="M2" i="19"/>
  <c r="I1" i="16"/>
  <c r="O2" i="19"/>
  <c r="D13" i="22"/>
  <c r="L2" i="19"/>
  <c r="J7" i="14"/>
  <c r="H2" i="21"/>
  <c r="G2" i="19"/>
  <c r="F1" i="16"/>
  <c r="L7" i="15"/>
  <c r="F4" i="14"/>
  <c r="C9" i="22"/>
  <c r="G5" i="15"/>
  <c r="N8" i="14"/>
  <c r="G2" i="16"/>
  <c r="E2" i="20"/>
  <c r="K2" i="19"/>
  <c r="C5" i="16"/>
  <c r="O11" i="15"/>
  <c r="K8" i="16"/>
  <c r="M4"/>
  <c r="D2" i="4"/>
  <c r="C8" i="18"/>
  <c r="F2" i="5"/>
  <c r="E3"/>
  <c r="B3"/>
  <c r="D2" i="6"/>
  <c r="N8" i="17"/>
  <c r="J8"/>
  <c r="F8"/>
  <c r="N7"/>
  <c r="J7"/>
  <c r="F7"/>
  <c r="C7"/>
  <c r="L11"/>
  <c r="H11"/>
  <c r="D11"/>
  <c r="L10"/>
  <c r="H10"/>
  <c r="D10"/>
  <c r="L2"/>
  <c r="G2"/>
  <c r="O1"/>
  <c r="K1"/>
  <c r="G1"/>
  <c r="C11"/>
  <c r="O2" i="18"/>
  <c r="K2"/>
  <c r="M1"/>
  <c r="I1"/>
  <c r="E1"/>
  <c r="G2" i="21"/>
  <c r="J2" i="20"/>
  <c r="D2" i="19"/>
  <c r="I2" i="16"/>
  <c r="E1"/>
  <c r="N2" i="14"/>
  <c r="E2" i="19"/>
  <c r="O7" i="14"/>
  <c r="I4"/>
  <c r="O2" i="20"/>
  <c r="L8" i="15"/>
  <c r="C7" i="22"/>
  <c r="F2" i="16"/>
  <c r="M2" i="15"/>
  <c r="K2" i="14"/>
  <c r="H2" i="19"/>
  <c r="G4" i="15"/>
  <c r="M8" i="14"/>
  <c r="M7"/>
  <c r="J2" i="21"/>
  <c r="D2" i="16"/>
  <c r="M2" i="14"/>
  <c r="D3" i="22"/>
  <c r="E4" i="14"/>
  <c r="I7" i="15"/>
  <c r="O1" i="16"/>
  <c r="G2" i="15"/>
  <c r="K2" i="20"/>
  <c r="D5" i="15"/>
  <c r="C4" i="22"/>
  <c r="I2" i="20"/>
  <c r="F5" i="16"/>
  <c r="O10" i="15"/>
  <c r="J2"/>
  <c r="G10" i="16"/>
  <c r="G11"/>
  <c r="J5" i="15"/>
  <c r="E11"/>
  <c r="C3" i="22"/>
  <c r="J4" i="15"/>
  <c r="E7" i="14"/>
  <c r="C5" i="15"/>
  <c r="H7" i="14"/>
  <c r="O5" i="16"/>
  <c r="E4"/>
  <c r="D6" i="22"/>
  <c r="C5"/>
  <c r="D11"/>
  <c r="N10" i="16"/>
  <c r="M11"/>
  <c r="L10"/>
  <c r="D8"/>
  <c r="F11"/>
  <c r="E5"/>
  <c r="G10" i="15"/>
  <c r="F10" i="16"/>
  <c r="C4"/>
  <c r="H2" i="15"/>
  <c r="L11" i="14"/>
  <c r="K5" i="15"/>
  <c r="H10" i="16"/>
  <c r="D10"/>
  <c r="H11"/>
  <c r="E7" i="15"/>
  <c r="E10" i="16"/>
  <c r="K4"/>
  <c r="D5" i="22"/>
  <c r="O11" i="16"/>
  <c r="D5"/>
  <c r="H5" i="15"/>
  <c r="H7"/>
  <c r="O5"/>
  <c r="G5" i="16"/>
  <c r="K11" i="14"/>
  <c r="E4" i="20"/>
  <c r="E5"/>
  <c r="N8" i="22"/>
  <c r="F2" i="7"/>
  <c r="E10" i="22"/>
  <c r="N10" i="18"/>
  <c r="N4" i="21"/>
  <c r="H11" i="18"/>
  <c r="J11"/>
  <c r="F15" i="22"/>
  <c r="M8" i="18"/>
  <c r="C10"/>
  <c r="P15" i="22"/>
  <c r="H7" i="18"/>
  <c r="F8" i="22"/>
  <c r="N8" i="18"/>
  <c r="D10"/>
  <c r="N11" i="21"/>
  <c r="N10"/>
  <c r="B3" i="7"/>
  <c r="F9" i="22"/>
  <c r="D8" i="18"/>
  <c r="K8"/>
  <c r="G11"/>
  <c r="N7"/>
  <c r="E3" i="22"/>
  <c r="N7" i="16"/>
  <c r="G10" i="20"/>
  <c r="L5" i="19"/>
  <c r="K7" i="20"/>
  <c r="L7" i="21"/>
  <c r="J8" i="20"/>
  <c r="J8" i="19"/>
  <c r="D3" i="4"/>
  <c r="M5" i="14"/>
  <c r="J3" i="22"/>
  <c r="N5" i="14"/>
  <c r="C5" i="21"/>
  <c r="D11"/>
  <c r="G4" i="19"/>
  <c r="D4" i="20"/>
  <c r="L10"/>
  <c r="K6" i="22"/>
  <c r="L4" i="20"/>
  <c r="I8"/>
  <c r="P7" i="22"/>
  <c r="M7" i="20"/>
  <c r="H8" i="21"/>
  <c r="M11"/>
  <c r="P10" i="22"/>
  <c r="K7" i="21"/>
  <c r="J7" i="20"/>
  <c r="I4" i="21"/>
  <c r="K8"/>
  <c r="E7" i="20"/>
  <c r="L5" i="21"/>
  <c r="C2" i="15"/>
  <c r="K5" i="20"/>
  <c r="M10" i="22"/>
  <c r="F10" i="20"/>
  <c r="F8"/>
  <c r="D10" i="19"/>
  <c r="M11"/>
  <c r="C8" i="21"/>
  <c r="J10" i="19"/>
  <c r="O13" i="22"/>
  <c r="I7" i="21"/>
  <c r="O8" i="22"/>
  <c r="C2" i="18"/>
  <c r="C1" i="20"/>
  <c r="C4" i="21"/>
  <c r="M6" i="22"/>
  <c r="L6"/>
  <c r="N9"/>
  <c r="K8" i="19"/>
  <c r="E4" i="22"/>
  <c r="O5" i="19"/>
  <c r="G11" i="21"/>
  <c r="D4" i="19"/>
  <c r="C2" i="21"/>
  <c r="C1" i="19"/>
  <c r="C1" i="15"/>
  <c r="O5" i="14"/>
  <c r="K7" i="16"/>
  <c r="D10" i="14"/>
  <c r="E11"/>
  <c r="E4" i="19"/>
  <c r="P4" i="22"/>
  <c r="N4"/>
  <c r="K11" i="20"/>
  <c r="L4" i="19"/>
  <c r="M5" i="20"/>
  <c r="C8" i="19"/>
  <c r="J10" i="21"/>
  <c r="M10" i="20"/>
  <c r="J4" i="19"/>
  <c r="C11" i="21"/>
  <c r="M4" i="20"/>
  <c r="L10" i="22"/>
  <c r="I10" i="21"/>
  <c r="K14" i="22"/>
  <c r="M10" i="19"/>
  <c r="L3" i="22"/>
  <c r="E11" i="21"/>
  <c r="L7" i="16"/>
  <c r="J4" i="14"/>
  <c r="J11" i="20"/>
  <c r="M14" i="22"/>
  <c r="D11" i="20"/>
  <c r="M7" i="19"/>
  <c r="O4"/>
  <c r="I11"/>
  <c r="N11"/>
  <c r="N3" i="22"/>
  <c r="J11" i="21"/>
  <c r="G10"/>
  <c r="M8"/>
  <c r="F2" i="4"/>
  <c r="C7" i="14"/>
  <c r="C2" i="5"/>
  <c r="O8" i="17"/>
  <c r="G8"/>
  <c r="K7"/>
  <c r="G7"/>
  <c r="M11"/>
  <c r="E11"/>
  <c r="I10"/>
  <c r="M2"/>
  <c r="D2"/>
  <c r="H1"/>
  <c r="N1" i="18"/>
  <c r="F1"/>
  <c r="K2" i="21"/>
  <c r="M2" i="16"/>
  <c r="H4" i="14"/>
  <c r="F5"/>
  <c r="O2" i="21"/>
  <c r="C13" i="22"/>
  <c r="L2" i="20"/>
  <c r="J2" i="16"/>
  <c r="F2" i="20"/>
  <c r="C12" i="22"/>
  <c r="L2" i="16"/>
  <c r="D4" i="14"/>
  <c r="D2" i="20"/>
  <c r="L2" i="14"/>
  <c r="E5"/>
  <c r="N2" i="15"/>
  <c r="E7" i="16"/>
  <c r="C11"/>
  <c r="H11" i="15"/>
  <c r="N11" i="14"/>
  <c r="H4" i="15"/>
  <c r="F11"/>
  <c r="N5"/>
  <c r="J4" i="16"/>
  <c r="K11" i="15"/>
  <c r="M10" i="16"/>
  <c r="G4"/>
  <c r="D8" i="15"/>
  <c r="M5" i="22"/>
  <c r="H10" i="18"/>
  <c r="F3" i="7"/>
  <c r="F7" i="18"/>
  <c r="H8"/>
  <c r="M7"/>
  <c r="E2"/>
  <c r="E10" i="19"/>
  <c r="F10"/>
  <c r="H10" i="14"/>
  <c r="M4" i="22"/>
  <c r="O12"/>
  <c r="F7" i="19"/>
  <c r="M4" i="21"/>
  <c r="C11" i="14"/>
  <c r="P6" i="22"/>
  <c r="L4"/>
  <c r="D2" i="21"/>
  <c r="N7" i="19"/>
  <c r="F4" i="21"/>
  <c r="N4" i="14"/>
  <c r="F2" i="15"/>
  <c r="H10" i="20"/>
  <c r="L14" i="22"/>
  <c r="K11"/>
  <c r="G8" i="19"/>
  <c r="J11"/>
  <c r="F10" i="21"/>
  <c r="J8"/>
  <c r="D1" i="20"/>
  <c r="E5" i="19"/>
  <c r="O11" i="20"/>
  <c r="H11" i="19"/>
  <c r="L13" i="22"/>
  <c r="O8" i="21"/>
  <c r="I8" i="14"/>
  <c r="I7" i="19"/>
  <c r="I10"/>
  <c r="I5"/>
  <c r="L8" i="20"/>
  <c r="I5" i="21"/>
  <c r="E2"/>
  <c r="G4" i="20"/>
  <c r="M12" i="22"/>
  <c r="P9"/>
  <c r="I4" i="20"/>
  <c r="M3" i="22"/>
  <c r="L11" i="19"/>
  <c r="G11" i="20"/>
  <c r="L4" i="21"/>
  <c r="C11" i="15"/>
  <c r="I4" i="16"/>
  <c r="L4"/>
  <c r="O8" i="15"/>
  <c r="M8" i="22"/>
  <c r="F8" i="18"/>
  <c r="L8"/>
  <c r="L10"/>
  <c r="I8" i="21"/>
  <c r="I10" i="14"/>
  <c r="L10" i="19"/>
  <c r="H5" i="21"/>
  <c r="J5" i="19"/>
  <c r="D10" i="20"/>
  <c r="H2" i="14"/>
  <c r="G7" i="19"/>
  <c r="N4"/>
  <c r="F6" i="22"/>
  <c r="E10" i="14"/>
  <c r="K5" i="19"/>
  <c r="G7" i="20"/>
  <c r="D10" i="15"/>
  <c r="G7"/>
  <c r="F4" i="16"/>
  <c r="C8" i="22"/>
  <c r="J10" i="15"/>
  <c r="D4" i="16"/>
  <c r="N5"/>
  <c r="C10" i="15"/>
  <c r="N5" i="22"/>
  <c r="E13"/>
  <c r="K11" i="18"/>
  <c r="I11"/>
  <c r="O15" i="22"/>
  <c r="F12"/>
  <c r="J7" i="18"/>
  <c r="O5" i="20"/>
  <c r="K10"/>
  <c r="D1" i="15"/>
  <c r="D7" i="20"/>
  <c r="K5" i="21"/>
  <c r="K13" i="22"/>
  <c r="J7" i="21"/>
  <c r="G7"/>
  <c r="J10" i="20"/>
  <c r="O7"/>
  <c r="G2" i="18"/>
  <c r="O4" i="20"/>
  <c r="M4" i="19"/>
  <c r="C10" i="14"/>
  <c r="O7" i="22"/>
  <c r="O5"/>
  <c r="O10"/>
  <c r="N11"/>
  <c r="G8" i="20"/>
  <c r="O4" i="16"/>
  <c r="E5" i="22"/>
  <c r="I2" i="18"/>
  <c r="K8" i="15"/>
  <c r="N11" i="16"/>
  <c r="C15" i="22"/>
  <c r="M11" i="14"/>
  <c r="H7" i="16"/>
  <c r="N11" i="15"/>
  <c r="J11" i="16"/>
  <c r="I8"/>
  <c r="L10" i="14"/>
  <c r="F3" i="6"/>
  <c r="F10" i="18"/>
  <c r="N5" i="21"/>
  <c r="D11" i="18"/>
  <c r="D2" i="7"/>
  <c r="O10" i="18"/>
  <c r="M7" i="22"/>
  <c r="C7" i="21"/>
  <c r="J5" i="14"/>
  <c r="N10" i="22"/>
  <c r="C11" i="19"/>
  <c r="N8"/>
  <c r="K8" i="20"/>
  <c r="H8"/>
  <c r="D5"/>
  <c r="O9" i="22"/>
  <c r="E10" i="21"/>
  <c r="L5" i="22"/>
  <c r="O10" i="19"/>
  <c r="D2" i="18"/>
  <c r="M7" i="16"/>
  <c r="D7" i="19"/>
  <c r="E7"/>
  <c r="G8" i="21"/>
  <c r="C11" i="20"/>
  <c r="G5" i="21"/>
  <c r="F1" i="15"/>
  <c r="D11" i="19"/>
  <c r="E6" i="22"/>
  <c r="J10" i="14"/>
  <c r="D10" i="22"/>
  <c r="J10" i="16"/>
  <c r="L10" i="15"/>
  <c r="O10" i="21"/>
  <c r="B2" i="7"/>
  <c r="F1" i="19"/>
  <c r="F2" i="14"/>
  <c r="E11" i="19"/>
  <c r="M8"/>
  <c r="K7" i="22"/>
  <c r="I3"/>
  <c r="P8"/>
  <c r="D4" i="21"/>
  <c r="K4" i="19"/>
  <c r="M9" i="22"/>
  <c r="J7" i="19"/>
  <c r="F7" i="20"/>
  <c r="I4" i="19"/>
  <c r="L7"/>
</calcChain>
</file>

<file path=xl/sharedStrings.xml><?xml version="1.0" encoding="utf-8"?>
<sst xmlns="http://schemas.openxmlformats.org/spreadsheetml/2006/main" count="247" uniqueCount="62">
  <si>
    <t>ASK</t>
  </si>
  <si>
    <t>BID</t>
  </si>
  <si>
    <t>Annualised Premium %</t>
  </si>
  <si>
    <t>Outright Rate</t>
  </si>
  <si>
    <t>Forward Premium</t>
  </si>
  <si>
    <t>End Date</t>
  </si>
  <si>
    <t>Description</t>
  </si>
  <si>
    <t>USDJPY</t>
  </si>
  <si>
    <t>GBPUSD</t>
  </si>
  <si>
    <t>EURUSD</t>
  </si>
  <si>
    <t>JPYINR</t>
  </si>
  <si>
    <t>GBPINR</t>
  </si>
  <si>
    <t>EURINR</t>
  </si>
  <si>
    <t>USDINR</t>
  </si>
  <si>
    <t>Currency</t>
  </si>
  <si>
    <t>52 Week Low</t>
  </si>
  <si>
    <t>52 Week High</t>
  </si>
  <si>
    <t>Prv. Close</t>
  </si>
  <si>
    <t>Low</t>
  </si>
  <si>
    <t>High</t>
  </si>
  <si>
    <t>Open</t>
  </si>
  <si>
    <t>% Change</t>
  </si>
  <si>
    <t>JPY</t>
  </si>
  <si>
    <t>GBP</t>
  </si>
  <si>
    <t>Ask</t>
  </si>
  <si>
    <t>EUR</t>
  </si>
  <si>
    <t>Bid</t>
  </si>
  <si>
    <t>USD</t>
  </si>
  <si>
    <t>Tom Rate</t>
  </si>
  <si>
    <t>Tom</t>
  </si>
  <si>
    <t>Cash Rate</t>
  </si>
  <si>
    <t>Cash</t>
  </si>
  <si>
    <t>Spot</t>
  </si>
  <si>
    <t>12M</t>
  </si>
  <si>
    <t>6M</t>
  </si>
  <si>
    <t>3M</t>
  </si>
  <si>
    <t>1M</t>
  </si>
  <si>
    <t>2M</t>
  </si>
  <si>
    <t>4M</t>
  </si>
  <si>
    <t>5M</t>
  </si>
  <si>
    <t>9M</t>
  </si>
  <si>
    <t>Currency Pair</t>
  </si>
  <si>
    <t>SPOT</t>
  </si>
  <si>
    <t>7M</t>
  </si>
  <si>
    <t>8M</t>
  </si>
  <si>
    <t>10M</t>
  </si>
  <si>
    <t>11M</t>
  </si>
  <si>
    <t>BID (Export)</t>
  </si>
  <si>
    <t>ASK (Import)</t>
  </si>
  <si>
    <t>BID
(Export)</t>
  </si>
  <si>
    <t>ASK
(Import)</t>
  </si>
  <si>
    <t>Bid (Export)</t>
  </si>
  <si>
    <t>Ask (Import)</t>
  </si>
  <si>
    <t>Days</t>
  </si>
  <si>
    <t>Close</t>
  </si>
  <si>
    <t>Spot Rate</t>
  </si>
  <si>
    <t>O/N</t>
  </si>
  <si>
    <t>1W</t>
  </si>
  <si>
    <t>2W</t>
  </si>
  <si>
    <t>TABLE FOR HISTORICAL SPOT</t>
  </si>
  <si>
    <t>TABLE FOR HISTORICAL FORWARD</t>
  </si>
  <si>
    <t>TABLE FOR HISTORICAL LIBOR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</si>
</sst>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"/>
    <numFmt numFmtId="166" formatCode="dd\-mmm\-yyyy"/>
    <numFmt numFmtId="167" formatCode="mmm\-yyyy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indexed="8"/>
      <name val="Calibri"/>
      <family val="2"/>
    </font>
    <font>
      <sz val="8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indexed="8"/>
      <name val="Calibri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Border="1"/>
    <xf numFmtId="164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165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5" fontId="0" fillId="0" borderId="2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9" xfId="0" applyNumberFormat="1" applyFon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64" fontId="7" fillId="0" borderId="0" xfId="0" applyNumberFormat="1" applyFont="1" applyFill="1" applyBorder="1" applyAlignment="1" applyProtection="1">
      <alignment horizontal="center" vertical="center"/>
    </xf>
    <xf numFmtId="2" fontId="7" fillId="0" borderId="0" xfId="0" applyNumberFormat="1" applyFont="1" applyFill="1" applyBorder="1" applyAlignment="1" applyProtection="1">
      <alignment horizontal="center" vertical="center"/>
    </xf>
    <xf numFmtId="2" fontId="8" fillId="0" borderId="0" xfId="0" applyNumberFormat="1" applyFont="1" applyFill="1" applyBorder="1" applyAlignment="1" applyProtection="1">
      <alignment horizontal="center" vertical="center"/>
    </xf>
    <xf numFmtId="2" fontId="7" fillId="0" borderId="4" xfId="0" applyNumberFormat="1" applyFont="1" applyFill="1" applyBorder="1" applyAlignment="1" applyProtection="1">
      <alignment horizontal="center" vertical="center"/>
    </xf>
    <xf numFmtId="164" fontId="7" fillId="0" borderId="4" xfId="0" applyNumberFormat="1" applyFont="1" applyFill="1" applyBorder="1" applyAlignment="1" applyProtection="1">
      <alignment horizontal="center" vertical="center"/>
    </xf>
    <xf numFmtId="2" fontId="7" fillId="0" borderId="2" xfId="0" applyNumberFormat="1" applyFont="1" applyFill="1" applyBorder="1" applyAlignment="1" applyProtection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/>
    </xf>
    <xf numFmtId="166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7" xfId="0" applyNumberFormat="1" applyFont="1" applyFill="1" applyBorder="1" applyAlignment="1" applyProtection="1">
      <alignment horizontal="center" vertical="center"/>
    </xf>
    <xf numFmtId="0" fontId="7" fillId="0" borderId="6" xfId="0" applyNumberFormat="1" applyFont="1" applyFill="1" applyBorder="1" applyAlignment="1" applyProtection="1">
      <alignment horizontal="center" vertical="center"/>
    </xf>
    <xf numFmtId="166" fontId="7" fillId="0" borderId="4" xfId="0" applyNumberFormat="1" applyFont="1" applyFill="1" applyBorder="1" applyAlignment="1" applyProtection="1">
      <alignment horizontal="center" vertical="center"/>
    </xf>
    <xf numFmtId="167" fontId="7" fillId="0" borderId="7" xfId="0" applyNumberFormat="1" applyFont="1" applyFill="1" applyBorder="1" applyAlignment="1" applyProtection="1">
      <alignment horizontal="center" vertical="center"/>
    </xf>
    <xf numFmtId="167" fontId="7" fillId="0" borderId="6" xfId="0" applyNumberFormat="1" applyFont="1" applyFill="1" applyBorder="1" applyAlignment="1" applyProtection="1">
      <alignment horizontal="center" vertical="center"/>
    </xf>
    <xf numFmtId="0" fontId="0" fillId="0" borderId="0" xfId="0"/>
    <xf numFmtId="0" fontId="1" fillId="0" borderId="26" xfId="1" applyFont="1" applyBorder="1" applyAlignment="1">
      <alignment horizontal="center" vertical="center"/>
    </xf>
    <xf numFmtId="0" fontId="0" fillId="0" borderId="0" xfId="0"/>
    <xf numFmtId="2" fontId="7" fillId="0" borderId="27" xfId="0" applyNumberFormat="1" applyFont="1" applyFill="1" applyBorder="1" applyAlignment="1" applyProtection="1">
      <alignment horizontal="center" vertical="center"/>
    </xf>
    <xf numFmtId="0" fontId="1" fillId="0" borderId="28" xfId="1" applyFont="1" applyBorder="1" applyAlignment="1">
      <alignment horizontal="center" vertical="center"/>
    </xf>
    <xf numFmtId="2" fontId="7" fillId="0" borderId="29" xfId="0" applyNumberFormat="1" applyFont="1" applyFill="1" applyBorder="1" applyAlignment="1" applyProtection="1">
      <alignment horizontal="center" vertical="center"/>
    </xf>
    <xf numFmtId="2" fontId="7" fillId="0" borderId="30" xfId="0" applyNumberFormat="1" applyFont="1" applyFill="1" applyBorder="1" applyAlignment="1" applyProtection="1">
      <alignment horizontal="center" vertical="center"/>
    </xf>
    <xf numFmtId="0" fontId="1" fillId="0" borderId="31" xfId="1" applyFont="1" applyBorder="1" applyAlignment="1">
      <alignment horizontal="center" vertical="center"/>
    </xf>
    <xf numFmtId="164" fontId="7" fillId="0" borderId="17" xfId="0" applyNumberFormat="1" applyFont="1" applyFill="1" applyBorder="1" applyAlignment="1" applyProtection="1">
      <alignment horizontal="center" vertical="center"/>
    </xf>
    <xf numFmtId="164" fontId="7" fillId="0" borderId="16" xfId="0" applyNumberFormat="1" applyFont="1" applyFill="1" applyBorder="1" applyAlignment="1" applyProtection="1">
      <alignment horizontal="center" vertical="center"/>
    </xf>
    <xf numFmtId="164" fontId="7" fillId="0" borderId="32" xfId="0" applyNumberFormat="1" applyFont="1" applyFill="1" applyBorder="1" applyAlignment="1" applyProtection="1">
      <alignment horizontal="center" vertical="center"/>
    </xf>
    <xf numFmtId="2" fontId="7" fillId="0" borderId="32" xfId="0" applyNumberFormat="1" applyFont="1" applyFill="1" applyBorder="1" applyAlignment="1" applyProtection="1">
      <alignment horizontal="center" vertical="center"/>
    </xf>
    <xf numFmtId="2" fontId="7" fillId="0" borderId="33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Fill="1" applyBorder="1" applyAlignment="1" applyProtection="1">
      <alignment horizontal="center" vertical="center"/>
    </xf>
    <xf numFmtId="2" fontId="7" fillId="0" borderId="34" xfId="0" applyNumberFormat="1" applyFont="1" applyFill="1" applyBorder="1" applyAlignment="1" applyProtection="1">
      <alignment horizontal="center" vertical="center"/>
    </xf>
    <xf numFmtId="2" fontId="7" fillId="0" borderId="14" xfId="0" applyNumberFormat="1" applyFont="1" applyFill="1" applyBorder="1" applyAlignment="1" applyProtection="1">
      <alignment horizontal="center" vertical="center"/>
    </xf>
    <xf numFmtId="2" fontId="7" fillId="0" borderId="12" xfId="0" applyNumberFormat="1" applyFont="1" applyFill="1" applyBorder="1" applyAlignment="1" applyProtection="1">
      <alignment horizontal="center" vertical="center"/>
    </xf>
    <xf numFmtId="2" fontId="7" fillId="0" borderId="11" xfId="0" applyNumberFormat="1" applyFont="1" applyFill="1" applyBorder="1" applyAlignment="1" applyProtection="1">
      <alignment horizontal="center" vertical="center"/>
    </xf>
    <xf numFmtId="2" fontId="7" fillId="0" borderId="35" xfId="0" applyNumberFormat="1" applyFont="1" applyFill="1" applyBorder="1" applyAlignment="1" applyProtection="1">
      <alignment horizontal="center" vertical="center"/>
    </xf>
    <xf numFmtId="2" fontId="7" fillId="0" borderId="36" xfId="0" applyNumberFormat="1" applyFont="1" applyFill="1" applyBorder="1" applyAlignment="1" applyProtection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0" fillId="0" borderId="40" xfId="0" applyNumberFormat="1" applyFont="1" applyFill="1" applyBorder="1" applyAlignment="1" applyProtection="1">
      <alignment horizontal="center" vertical="center"/>
    </xf>
    <xf numFmtId="164" fontId="10" fillId="0" borderId="40" xfId="0" applyNumberFormat="1" applyFont="1" applyFill="1" applyBorder="1" applyAlignment="1" applyProtection="1">
      <alignment horizontal="center" vertical="center"/>
    </xf>
    <xf numFmtId="2" fontId="10" fillId="0" borderId="40" xfId="0" applyNumberFormat="1" applyFont="1" applyFill="1" applyBorder="1" applyAlignment="1" applyProtection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18" xfId="1" applyFont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0" xfId="0" applyFont="1"/>
    <xf numFmtId="0" fontId="13" fillId="0" borderId="25" xfId="0" applyFont="1" applyBorder="1" applyAlignment="1">
      <alignment horizontal="center" vertical="center"/>
    </xf>
    <xf numFmtId="164" fontId="12" fillId="0" borderId="29" xfId="0" applyNumberFormat="1" applyFont="1" applyBorder="1" applyAlignment="1">
      <alignment horizontal="center" vertical="center"/>
    </xf>
    <xf numFmtId="164" fontId="12" fillId="0" borderId="41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164" fontId="12" fillId="0" borderId="40" xfId="0" applyNumberFormat="1" applyFont="1" applyBorder="1" applyAlignment="1">
      <alignment horizontal="center" vertical="center"/>
    </xf>
    <xf numFmtId="164" fontId="12" fillId="0" borderId="34" xfId="0" applyNumberFormat="1" applyFont="1" applyBorder="1" applyAlignment="1">
      <alignment horizontal="center" vertical="center"/>
    </xf>
    <xf numFmtId="2" fontId="12" fillId="0" borderId="40" xfId="0" applyNumberFormat="1" applyFont="1" applyBorder="1" applyAlignment="1">
      <alignment horizontal="center" vertical="center"/>
    </xf>
    <xf numFmtId="2" fontId="12" fillId="0" borderId="34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4" fontId="12" fillId="0" borderId="35" xfId="0" applyNumberFormat="1" applyFont="1" applyBorder="1" applyAlignment="1">
      <alignment horizontal="center" vertical="center"/>
    </xf>
    <xf numFmtId="164" fontId="12" fillId="0" borderId="3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4" fillId="2" borderId="29" xfId="0" applyNumberFormat="1" applyFont="1" applyFill="1" applyBorder="1" applyAlignment="1" applyProtection="1">
      <alignment horizontal="center" vertical="center"/>
    </xf>
    <xf numFmtId="0" fontId="14" fillId="2" borderId="29" xfId="0" applyNumberFormat="1" applyFont="1" applyFill="1" applyBorder="1" applyAlignment="1" applyProtection="1">
      <alignment horizontal="center" vertical="center"/>
    </xf>
    <xf numFmtId="164" fontId="15" fillId="2" borderId="29" xfId="0" applyNumberFormat="1" applyFont="1" applyFill="1" applyBorder="1" applyAlignment="1">
      <alignment horizontal="center" vertical="center"/>
    </xf>
    <xf numFmtId="164" fontId="15" fillId="2" borderId="41" xfId="0" applyNumberFormat="1" applyFont="1" applyFill="1" applyBorder="1" applyAlignment="1">
      <alignment horizontal="center" vertical="center"/>
    </xf>
    <xf numFmtId="0" fontId="14" fillId="2" borderId="40" xfId="0" applyNumberFormat="1" applyFont="1" applyFill="1" applyBorder="1" applyAlignment="1" applyProtection="1">
      <alignment horizontal="center" vertical="center"/>
    </xf>
    <xf numFmtId="164" fontId="14" fillId="2" borderId="40" xfId="0" applyNumberFormat="1" applyFont="1" applyFill="1" applyBorder="1" applyAlignment="1" applyProtection="1">
      <alignment horizontal="center" vertical="center"/>
    </xf>
    <xf numFmtId="164" fontId="14" fillId="2" borderId="34" xfId="0" applyNumberFormat="1" applyFont="1" applyFill="1" applyBorder="1" applyAlignment="1" applyProtection="1">
      <alignment horizontal="center" vertical="center"/>
    </xf>
    <xf numFmtId="2" fontId="14" fillId="2" borderId="40" xfId="0" applyNumberFormat="1" applyFont="1" applyFill="1" applyBorder="1" applyAlignment="1" applyProtection="1">
      <alignment horizontal="center" vertical="center"/>
    </xf>
    <xf numFmtId="2" fontId="14" fillId="2" borderId="34" xfId="0" applyNumberFormat="1" applyFont="1" applyFill="1" applyBorder="1" applyAlignment="1" applyProtection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65" fontId="12" fillId="0" borderId="43" xfId="0" applyNumberFormat="1" applyFont="1" applyBorder="1" applyAlignment="1">
      <alignment horizontal="center" vertical="center"/>
    </xf>
    <xf numFmtId="165" fontId="12" fillId="0" borderId="29" xfId="0" applyNumberFormat="1" applyFont="1" applyBorder="1" applyAlignment="1">
      <alignment horizontal="center" vertical="center"/>
    </xf>
    <xf numFmtId="165" fontId="12" fillId="0" borderId="44" xfId="0" applyNumberFormat="1" applyFont="1" applyBorder="1" applyAlignment="1">
      <alignment horizontal="center" vertical="center"/>
    </xf>
    <xf numFmtId="165" fontId="12" fillId="0" borderId="41" xfId="0" applyNumberFormat="1" applyFont="1" applyBorder="1" applyAlignment="1">
      <alignment horizontal="center" vertical="center"/>
    </xf>
    <xf numFmtId="165" fontId="12" fillId="0" borderId="45" xfId="0" applyNumberFormat="1" applyFont="1" applyBorder="1" applyAlignment="1">
      <alignment horizontal="center" vertical="center"/>
    </xf>
    <xf numFmtId="165" fontId="12" fillId="0" borderId="40" xfId="0" applyNumberFormat="1" applyFont="1" applyBorder="1" applyAlignment="1">
      <alignment horizontal="center" vertical="center"/>
    </xf>
    <xf numFmtId="165" fontId="12" fillId="0" borderId="22" xfId="0" applyNumberFormat="1" applyFont="1" applyBorder="1" applyAlignment="1">
      <alignment horizontal="center" vertical="center"/>
    </xf>
    <xf numFmtId="165" fontId="12" fillId="0" borderId="34" xfId="0" applyNumberFormat="1" applyFont="1" applyBorder="1" applyAlignment="1">
      <alignment horizontal="center" vertical="center"/>
    </xf>
    <xf numFmtId="165" fontId="12" fillId="0" borderId="46" xfId="0" applyNumberFormat="1" applyFont="1" applyBorder="1" applyAlignment="1">
      <alignment horizontal="center" vertical="center"/>
    </xf>
    <xf numFmtId="165" fontId="12" fillId="0" borderId="35" xfId="0" applyNumberFormat="1" applyFont="1" applyBorder="1" applyAlignment="1">
      <alignment horizontal="center" vertical="center"/>
    </xf>
    <xf numFmtId="165" fontId="12" fillId="0" borderId="23" xfId="0" applyNumberFormat="1" applyFont="1" applyBorder="1" applyAlignment="1">
      <alignment horizontal="center" vertical="center"/>
    </xf>
    <xf numFmtId="165" fontId="12" fillId="0" borderId="36" xfId="0" applyNumberFormat="1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volatileDependencies.xml><?xml version="1.0" encoding="utf-8"?>
<volTypes xmlns="http://schemas.openxmlformats.org/spreadsheetml/2006/main">
  <volType type="realTimeData">
    <main first="tickerplantrtdserver">
      <tp t="s">
        <v>TN</v>
        <stp/>
        <stp>FWRC1#GBPUSD#Month Wise Rates#0#S#Desc.2</stp>
        <tr r="C1" s="20"/>
      </tp>
      <tp t="s">
        <v>1M</v>
        <stp/>
        <stp>FWRC1#GBPUSD#Month Wise Rates#0#S#Desc.7</stp>
        <tr r="D1" s="20"/>
      </tp>
      <tp t="s">
        <v>2M</v>
        <stp/>
        <stp>FWRC1#GBPUSD#Month Wise Rates#0#S#Desc.8</stp>
        <tr r="E1" s="20"/>
      </tp>
      <tp t="s">
        <v>3M</v>
        <stp/>
        <stp>FWRC1#GBPUSD#Month Wise Rates#0#S#Desc.9</stp>
        <tr r="F1" s="20"/>
      </tp>
      <tp t="s">
        <v>1M</v>
        <stp/>
        <stp>FWRC1#EURUSD#Month Wise Rates#0#S#Desc.7</stp>
        <tr r="D1" s="19"/>
      </tp>
      <tp t="s">
        <v>TN</v>
        <stp/>
        <stp>FWRC1#EURUSD#Month Wise Rates#0#S#Desc.2</stp>
        <tr r="C1" s="19"/>
      </tp>
      <tp t="s">
        <v>3M</v>
        <stp/>
        <stp>FWRC1#EURUSD#Month Wise Rates#0#S#Desc.9</stp>
        <tr r="F1" s="19"/>
      </tp>
      <tp t="s">
        <v>2M</v>
        <stp/>
        <stp>FWRC1#EURUSD#Month Wise Rates#0#S#Desc.8</stp>
        <tr r="E1" s="19"/>
      </tp>
      <tp>
        <v>-0.01</v>
        <stp/>
        <stp>12#2#1#6069#SUSDJPY#%Chg</stp>
        <tr r="D9" s="10"/>
      </tp>
      <tp>
        <v>106.855</v>
        <stp/>
        <stp>12#2#1#6069#SUSDJPY#LTP</stp>
        <tr r="E12" s="23"/>
      </tp>
      <tp>
        <v>106.727</v>
        <stp/>
        <stp>12#2#1#6069#SUSDJPY#Low</stp>
        <tr r="G9" s="10"/>
        <tr r="D12" s="23"/>
      </tp>
      <tp t="s">
        <v>USDJPY</v>
        <stp/>
        <stp>12#2#1#6069#SUSDJPY#S#Descr.</stp>
        <tr r="A12" s="23"/>
        <tr r="A29" s="23"/>
      </tp>
      <tp>
        <v>106.855</v>
        <stp/>
        <stp>12#2#1#6069#SUSDJPY#Bid</stp>
        <tr r="B9" s="10"/>
      </tp>
      <tp>
        <v>1.3514900000000001</v>
        <stp/>
        <stp>12#2#1#6031#SGBPUSD#52WkHigh</stp>
        <tr r="I8" s="10"/>
      </tp>
      <tp t="s">
        <v>24-Jul-2020</v>
        <stp/>
        <stp>FWRC1#USDJPY#Month Wise Rates#0#S#PillarDate7</stp>
        <tr r="D2" s="21"/>
      </tp>
      <tp t="s">
        <v>24-Jun-2020</v>
        <stp/>
        <stp>FWRC1#USDJPY#Month Wise Rates#0#S#PillarDate2</stp>
        <tr r="C2" s="21"/>
      </tp>
      <tp t="s">
        <v>24-Aug-2020</v>
        <stp/>
        <stp>FWRC1#USDJPY#Month Wise Rates#0#S#PillarDate8</stp>
        <tr r="E2" s="21"/>
      </tp>
      <tp t="s">
        <v>24-Sep-2020</v>
        <stp/>
        <stp>FWRC1#USDJPY#Month Wise Rates#0#S#PillarDate9</stp>
        <tr r="F2" s="21"/>
      </tp>
      <tp>
        <v>106.869</v>
        <stp/>
        <stp>12#2#1#6069#SUSDJPY#Ask</stp>
        <tr r="C9" s="10"/>
      </tp>
      <tp t="s">
        <v>27-Nov-2020</v>
        <stp/>
        <stp>FWRC1#JPYINR#Month End Rates#0#S#PillarDate9</stp>
        <tr r="I2" s="18"/>
      </tp>
      <tp t="s">
        <v>29-Oct-2020</v>
        <stp/>
        <stp>FWRC1#JPYINR#Month End Rates#0#S#PillarDate8</stp>
        <tr r="H2" s="18"/>
      </tp>
      <tp t="s">
        <v>24-Jun-2020</v>
        <stp/>
        <stp>FWRC1#JPYINR#Month End Rates#0#S#PillarDate2</stp>
        <tr r="C2" s="18"/>
      </tp>
      <tp t="s">
        <v>30-Sep-2020</v>
        <stp/>
        <stp>FWRC1#JPYINR#Month End Rates#0#S#PillarDate7</stp>
        <tr r="G2" s="18"/>
      </tp>
      <tp t="s">
        <v>31-Aug-2020</v>
        <stp/>
        <stp>FWRC1#JPYINR#Month End Rates#0#S#PillarDate6</stp>
        <tr r="F2" s="18"/>
      </tp>
      <tp t="s">
        <v>31-Jul-2020</v>
        <stp/>
        <stp>FWRC1#JPYINR#Month End Rates#0#S#PillarDate5</stp>
        <tr r="E2" s="18"/>
      </tp>
      <tp t="s">
        <v>30-Jun-2020</v>
        <stp/>
        <stp>FWRC1#JPYINR#Month End Rates#0#S#PillarDate4</stp>
        <tr r="D2" s="18"/>
      </tp>
      <tp t="s">
        <v>27-Nov-2020</v>
        <stp/>
        <stp>FWRC1#GBPINR#Month End Rates#0#S#PillarDate9</stp>
        <tr r="I2" s="17"/>
      </tp>
      <tp t="s">
        <v>29-Oct-2020</v>
        <stp/>
        <stp>FWRC1#GBPINR#Month End Rates#0#S#PillarDate8</stp>
        <tr r="H2" s="17"/>
      </tp>
      <tp t="s">
        <v>24-Jun-2020</v>
        <stp/>
        <stp>FWRC1#GBPINR#Month End Rates#0#S#PillarDate2</stp>
        <tr r="C2" s="17"/>
      </tp>
      <tp t="s">
        <v>31-Jul-2020</v>
        <stp/>
        <stp>FWRC1#GBPINR#Month End Rates#0#S#PillarDate5</stp>
        <tr r="E2" s="17"/>
      </tp>
      <tp t="s">
        <v>30-Jun-2020</v>
        <stp/>
        <stp>FWRC1#GBPINR#Month End Rates#0#S#PillarDate4</stp>
        <tr r="D2" s="17"/>
      </tp>
      <tp t="s">
        <v>30-Sep-2020</v>
        <stp/>
        <stp>FWRC1#GBPINR#Month End Rates#0#S#PillarDate7</stp>
        <tr r="G2" s="17"/>
      </tp>
      <tp t="s">
        <v>28-Aug-2020</v>
        <stp/>
        <stp>FWRC1#GBPINR#Month End Rates#0#S#PillarDate6</stp>
        <tr r="F2" s="17"/>
      </tp>
      <tp>
        <v>1.1496</v>
        <stp/>
        <stp>12#2#1#5949#SEURUSD#52WkHigh</stp>
        <tr r="I7" s="10"/>
      </tp>
      <tp>
        <v>1.3539000000000001</v>
        <stp/>
        <stp>12#2#1#6069#SUSDCAD#LTP</stp>
        <tr r="E14" s="23"/>
      </tp>
      <tp>
        <v>0.94730999999999999</v>
        <stp/>
        <stp>12#2#1#6069#SUSDCHF#LTP</stp>
        <tr r="E13" s="23"/>
      </tp>
      <tp>
        <v>0.94589999999999996</v>
        <stp/>
        <stp>12#2#1#6069#SUSDCHF#Low</stp>
        <tr r="D13" s="23"/>
      </tp>
      <tp>
        <v>1.3524</v>
        <stp/>
        <stp>12#2#1#6069#SUSDCAD#Low</stp>
        <tr r="D14" s="23"/>
      </tp>
      <tp>
        <v>0.6905</v>
        <stp/>
        <stp>12#2#1#5903#SAUDUSD#LTP</stp>
        <tr r="E15" s="23"/>
      </tp>
      <tp>
        <v>1.1258999999999999</v>
        <stp/>
        <stp>12#2#1#5949#SEURUSD#LTP</stp>
        <tr r="E10" s="23"/>
      </tp>
      <tp>
        <v>0.68049000000000004</v>
        <stp/>
        <stp>12#2#1#5903#SAUDUSD#Low</stp>
        <tr r="D15" s="23"/>
      </tp>
      <tp>
        <v>1.1167</v>
        <stp/>
        <stp>12#2#1#5949#SEURUSD#Low</stp>
        <tr r="G7" s="10"/>
        <tr r="D10" s="23"/>
      </tp>
      <tp>
        <v>0.81</v>
        <stp/>
        <stp>12#2#1#6031#SGBPUSD#%Chg</stp>
        <tr r="D8" s="10"/>
      </tp>
      <tp>
        <v>94.462500000000006</v>
        <stp/>
        <stp>17#3#1#6031#GBPINRCOMP#LTP</stp>
        <tr r="E4" s="23"/>
      </tp>
      <tp>
        <v>80.010000000000005</v>
        <stp/>
        <stp>17#3#1#6056#CHFINRCOMP#LTP</stp>
        <tr r="E6" s="23"/>
      </tp>
      <tp>
        <v>54.487499999999997</v>
        <stp/>
        <stp>17#3#1#6041#SGDINRCOMP#LTP</stp>
        <tr r="E9" s="23"/>
      </tp>
      <tp>
        <v>54.407499999999999</v>
        <stp/>
        <stp>17#3#1#6041#SGDINRCOMP#Low</stp>
        <tr r="D9" s="23"/>
      </tp>
      <tp t="s">
        <v>USDSGD</v>
        <stp/>
        <stp>12#2#1#6069#SUSDSGD#S#Descr.</stp>
        <tr r="A16" s="23"/>
        <tr r="A33" s="23"/>
      </tp>
      <tp>
        <v>94.097499999999997</v>
        <stp/>
        <stp>17#3#1#6031#GBPINRCOMP#Low</stp>
        <tr r="D4" s="23"/>
        <tr r="G5" s="10"/>
      </tp>
      <tp>
        <v>79.842500000000001</v>
        <stp/>
        <stp>17#3#1#6056#CHFINRCOMP#Low</stp>
        <tr r="D6" s="23"/>
      </tp>
      <tp>
        <v>71.084999999999994</v>
        <stp/>
        <stp>17#3#1#5978#JPYINRCOMP#LTP</stp>
        <tr r="E5" s="23"/>
      </tp>
      <tp>
        <v>85.287499999999994</v>
        <stp/>
        <stp>17#3#1#5949#EURINRCOMP#LTP</stp>
        <tr r="E3" s="23"/>
      </tp>
      <tp>
        <v>52.305</v>
        <stp/>
        <stp>17#3#1#5903#AUDINRCOMP#LTP</stp>
        <tr r="E8" s="23"/>
      </tp>
      <tp>
        <v>56.022500000000001</v>
        <stp/>
        <stp>17#3#1#5921#CADINRCOMP#LTP</stp>
        <tr r="E7" s="23"/>
      </tp>
      <tp>
        <v>85.067499999999995</v>
        <stp/>
        <stp>17#3#1#5949#EURINRCOMP#Low</stp>
        <tr r="D3" s="23"/>
        <tr r="G4" s="10"/>
      </tp>
      <tp>
        <v>55.924999999999997</v>
        <stp/>
        <stp>17#3#1#5921#CADINRCOMP#Low</stp>
        <tr r="D7" s="23"/>
      </tp>
      <tp>
        <v>52.147500000000001</v>
        <stp/>
        <stp>17#3#1#5903#AUDINRCOMP#Low</stp>
        <tr r="D8" s="23"/>
      </tp>
      <tp t="s">
        <v>GBPUSD</v>
        <stp/>
        <stp>12#2#1#6031#SGBPUSD#S#Descr.</stp>
        <tr r="A11" s="23"/>
        <tr r="A28" s="23"/>
      </tp>
      <tp>
        <v>71.002499999999998</v>
        <stp/>
        <stp>17#3#1#5978#JPYINRCOMP#Low</stp>
        <tr r="D5" s="23"/>
        <tr r="G6" s="10"/>
      </tp>
      <tp>
        <v>76.025000000000006</v>
        <stp/>
        <stp>17#1#1#6069#USDINRCOMP#LTP</stp>
        <tr r="E2" s="23"/>
      </tp>
      <tp>
        <v>75.989999999999995</v>
        <stp/>
        <stp>17#1#1#6069#USDINRCOMP#Low</stp>
        <tr r="D2" s="23"/>
        <tr r="G3" s="10"/>
      </tp>
      <tp>
        <v>1.2453000000000001</v>
        <stp/>
        <stp>12#2#1#6031#SGBPUSD#Ask</stp>
        <tr r="C8" s="10"/>
      </tp>
      <tp t="s">
        <v>24-Jul-2020</v>
        <stp/>
        <stp>FWRC1#USDINR#Month Wise Rates#0#S#PillarDate7</stp>
        <tr r="D2" s="15"/>
      </tp>
      <tp t="s">
        <v>24-Jun-2020</v>
        <stp/>
        <stp>FWRC1#USDINR#Month Wise Rates#0#S#PillarDate2</stp>
        <tr r="C2" s="15"/>
      </tp>
      <tp t="s">
        <v>24-Aug-2020</v>
        <stp/>
        <stp>FWRC1#USDINR#Month Wise Rates#0#S#PillarDate8</stp>
        <tr r="E2" s="15"/>
      </tp>
      <tp t="s">
        <v>24-Sep-2020</v>
        <stp/>
        <stp>FWRC1#USDINR#Month Wise Rates#0#S#PillarDate9</stp>
        <tr r="F2" s="15"/>
      </tp>
      <tp>
        <v>0.74</v>
        <stp/>
        <stp>12#2#1#5949#SEURUSD#%Chg</stp>
        <tr r="D7" s="10"/>
      </tp>
      <tp>
        <v>1.2447999999999999</v>
        <stp/>
        <stp>12#2#1#6031#SGBPUSD#Bid</stp>
        <tr r="B8" s="10"/>
      </tp>
      <tp t="s">
        <v>AUDUSD</v>
        <stp/>
        <stp>12#2#1#5903#SAUDUSD#S#Descr.</stp>
        <tr r="A15" s="23"/>
        <tr r="A32" s="23"/>
      </tp>
      <tp t="s">
        <v>EURUSD</v>
        <stp/>
        <stp>12#2#1#5949#SEURUSD#S#Descr.</stp>
        <tr r="A10" s="23"/>
        <tr r="A27" s="23"/>
      </tp>
      <tp t="s">
        <v>USDCAD</v>
        <stp/>
        <stp>12#2#1#6069#SUSDCAD#S#Descr.</stp>
        <tr r="A14" s="23"/>
        <tr r="A31" s="23"/>
      </tp>
      <tp>
        <v>1.2447999999999999</v>
        <stp/>
        <stp>12#2#1#6031#SGBPUSD#LTP</stp>
        <tr r="E11" s="23"/>
      </tp>
      <tp t="s">
        <v>24-Jun-2020</v>
        <stp/>
        <stp>FWRC1#EURUSD#Month Wise Rates#0#S#PillarDate2</stp>
        <tr r="C2" s="19"/>
      </tp>
      <tp t="s">
        <v>24-Jul-2020</v>
        <stp/>
        <stp>FWRC1#EURUSD#Month Wise Rates#0#S#PillarDate7</stp>
        <tr r="D2" s="19"/>
      </tp>
      <tp t="s">
        <v>24-Aug-2020</v>
        <stp/>
        <stp>FWRC1#EURUSD#Month Wise Rates#0#S#PillarDate8</stp>
        <tr r="E2" s="19"/>
      </tp>
      <tp t="s">
        <v>24-Sep-2020</v>
        <stp/>
        <stp>FWRC1#EURUSD#Month Wise Rates#0#S#PillarDate9</stp>
        <tr r="F2" s="19"/>
      </tp>
      <tp>
        <v>1.2333000000000001</v>
        <stp/>
        <stp>12#2#1#6031#SGBPUSD#Low</stp>
        <tr r="G8" s="10"/>
        <tr r="D11" s="23"/>
      </tp>
      <tp t="s">
        <v>24-Jun-2020</v>
        <stp/>
        <stp>FWRC1#GBPUSD#Month Wise Rates#0#S#PillarDate2</stp>
        <tr r="C2" s="20"/>
      </tp>
      <tp t="s">
        <v>24-Jul-2020</v>
        <stp/>
        <stp>FWRC1#GBPUSD#Month Wise Rates#0#S#PillarDate7</stp>
        <tr r="D2" s="20"/>
      </tp>
      <tp t="s">
        <v>24-Aug-2020</v>
        <stp/>
        <stp>FWRC1#GBPUSD#Month Wise Rates#0#S#PillarDate8</stp>
        <tr r="E2" s="20"/>
      </tp>
      <tp t="s">
        <v>24-Sep-2020</v>
        <stp/>
        <stp>FWRC1#GBPUSD#Month Wise Rates#0#S#PillarDate9</stp>
        <tr r="F2" s="20"/>
      </tp>
      <tp t="s">
        <v>2M</v>
        <stp/>
        <stp>FWRC1#USDJPY#Month Wise Rates#0#S#Desc.8</stp>
        <tr r="E1" s="21"/>
      </tp>
      <tp t="s">
        <v>3M</v>
        <stp/>
        <stp>FWRC1#USDJPY#Month Wise Rates#0#S#Desc.9</stp>
        <tr r="F1" s="21"/>
      </tp>
      <tp t="s">
        <v>1M</v>
        <stp/>
        <stp>FWRC1#USDJPY#Month Wise Rates#0#S#Desc.7</stp>
        <tr r="D1" s="21"/>
      </tp>
      <tp t="s">
        <v>TN</v>
        <stp/>
        <stp>FWRC1#USDJPY#Month Wise Rates#0#S#Desc.2</stp>
        <tr r="C1" s="21"/>
      </tp>
      <tp>
        <v>94.512500000000003</v>
        <stp/>
        <stp>17#3#1#6031#GBPINRCOMP#Ask</stp>
        <tr r="C5" s="10"/>
      </tp>
      <tp>
        <v>85.287499999999994</v>
        <stp/>
        <stp>17#3#1#5949#EURINRCOMP#Bid</stp>
        <tr r="B4" s="10"/>
      </tp>
      <tp>
        <v>71.084999999999994</v>
        <stp/>
        <stp>17#3#1#5978#JPYINRCOMP#Bid</stp>
        <tr r="B6" s="10"/>
      </tp>
      <tp>
        <v>1.1263000000000001</v>
        <stp/>
        <stp>12#2#1#5949#SEURUSD#Ask</stp>
        <tr r="C7" s="10"/>
      </tp>
      <tp>
        <v>76.025000000000006</v>
        <stp/>
        <stp>17#1#1#6069#USDINRCOMP#Bid</stp>
        <tr r="B3" s="10"/>
      </tp>
      <tp>
        <v>112.22799999999999</v>
        <stp/>
        <stp>12#2#1#6069#SUSDJPY#52WkHigh</stp>
        <tr r="I9" s="10"/>
      </tp>
      <tp>
        <v>1.1258999999999999</v>
        <stp/>
        <stp>12#2#1#5949#SEURUSD#Bid</stp>
        <tr r="B7" s="10"/>
      </tp>
      <tp t="s">
        <v>USDCHF</v>
        <stp/>
        <stp>12#2#1#6069#SUSDCHF#S#Descr.</stp>
        <tr r="A13" s="23"/>
        <tr r="A30" s="23"/>
      </tp>
      <tp>
        <v>76.034999999999997</v>
        <stp/>
        <stp>17#1#1#6069#USDINRCOMP#Ask</stp>
        <tr r="C3" s="10"/>
      </tp>
      <tp>
        <v>1.3923000000000001</v>
        <stp/>
        <stp>12#2#1#6069#SUSDSGD#LTP</stp>
        <tr r="F33" s="23"/>
        <tr r="E16" s="23"/>
        <tr r="B33" s="23"/>
        <tr r="C33" s="23"/>
        <tr r="D33" s="23"/>
        <tr r="E33" s="23"/>
        <tr r="G33" s="23"/>
        <tr r="H33" s="23"/>
        <tr r="I33" s="23"/>
        <tr r="J33" s="23"/>
        <tr r="K33" s="23"/>
        <tr r="L33" s="23"/>
        <tr r="M33" s="23"/>
        <tr r="N33" s="23"/>
      </tp>
      <tp t="s">
        <v>1M</v>
        <stp/>
        <stp>FWRC1#USDINR#Month Wise Rates#0#S#Desc.7</stp>
        <tr r="D1" s="15"/>
      </tp>
      <tp t="s">
        <v>TN</v>
        <stp/>
        <stp>FWRC1#USDINR#Month Wise Rates#0#S#Desc.2</stp>
        <tr r="C1" s="15"/>
      </tp>
      <tp t="s">
        <v>3M</v>
        <stp/>
        <stp>FWRC1#USDINR#Month Wise Rates#0#S#Desc.9</stp>
        <tr r="F1" s="15"/>
      </tp>
      <tp t="s">
        <v>2M</v>
        <stp/>
        <stp>FWRC1#USDINR#Month Wise Rates#0#S#Desc.8</stp>
        <tr r="E1" s="15"/>
      </tp>
      <tp>
        <v>1.3917999999999999</v>
        <stp/>
        <stp>12#2#1#6069#SUSDSGD#Low</stp>
        <tr r="D16" s="23"/>
      </tp>
      <tp>
        <v>71.12</v>
        <stp/>
        <stp>17#3#1#5978#JPYINRCOMP#Ask</stp>
        <tr r="C6" s="10"/>
      </tp>
      <tp>
        <v>85.3</v>
        <stp/>
        <stp>17#3#1#5949#EURINRCOMP#Ask</stp>
        <tr r="C4" s="10"/>
      </tp>
      <tp>
        <v>94.462500000000006</v>
        <stp/>
        <stp>17#3#1#6031#GBPINRCOMP#Bid</stp>
        <tr r="B5" s="10"/>
      </tp>
      <tp>
        <v>87.974900000000005</v>
        <stp/>
        <stp>FWRC1#EURINR#Month End Rates#0#FwdOutrightBid12</stp>
        <tr r="L7" s="16"/>
      </tp>
      <tp>
        <v>88.396699999999996</v>
        <stp/>
        <stp>FWRC1#EURINR#Month End Rates#0#FwdOutrightBid13</stp>
        <tr r="M7" s="16"/>
      </tp>
      <tp>
        <v>87.354200000000006</v>
        <stp/>
        <stp>FWRC1#EURINR#Month End Rates#0#FwdOutrightBid10</stp>
        <tr r="J7" s="16"/>
      </tp>
      <tp>
        <v>87.662300000000002</v>
        <stp/>
        <stp>FWRC1#EURINR#Month End Rates#0#FwdOutrightBid11</stp>
        <tr r="K7" s="16"/>
      </tp>
      <tp>
        <v>88.719499999999996</v>
        <stp/>
        <stp>FWRC1#EURINR#Month End Rates#0#FwdOutrightBid14</stp>
        <tr r="N7" s="16"/>
      </tp>
      <tp>
        <v>89.04</v>
        <stp/>
        <stp>FWRC1#EURINR#Month End Rates#0#FwdOutrightBid15</stp>
        <tr r="O7" s="16"/>
      </tp>
      <tp>
        <v>86.647199999999998</v>
        <stp/>
        <stp>FWRC1#EURINR#Month End Rates#0#FwdOutrightAsk8</stp>
        <tr r="H8" s="16"/>
      </tp>
      <tp>
        <v>86.977000000000004</v>
        <stp/>
        <stp>FWRC1#EURINR#Month End Rates#0#FwdOutrightAsk9</stp>
        <tr r="I8" s="16"/>
      </tp>
      <tp>
        <v>85.357299999999995</v>
        <stp/>
        <stp>FWRC1#EURINR#Month End Rates#0#FwdOutrightAsk4</stp>
        <tr r="D8" s="16"/>
      </tp>
      <tp>
        <v>85.673199999999994</v>
        <stp/>
        <stp>FWRC1#EURINR#Month End Rates#0#FwdOutrightAsk5</stp>
        <tr r="E8" s="16"/>
      </tp>
      <tp>
        <v>86.006200000000007</v>
        <stp/>
        <stp>FWRC1#EURINR#Month End Rates#0#FwdOutrightAsk6</stp>
        <tr r="F8" s="16"/>
      </tp>
      <tp>
        <v>86.329099999999997</v>
        <stp/>
        <stp>FWRC1#EURINR#Month End Rates#0#FwdOutrightAsk7</stp>
        <tr r="G8" s="16"/>
      </tp>
      <tp>
        <v>85.285899999999998</v>
        <stp/>
        <stp>FWRC1#EURINR#Month End Rates#0#FwdOutrightAsk1</stp>
        <tr r="C8" s="16"/>
        <tr r="D3" s="5"/>
      </tp>
      <tp>
        <v>85.293000000000006</v>
        <stp/>
        <stp>FWRC1#EURINR#Month End Rates#0#FwdOutrightAsk3</stp>
        <tr r="F3" s="5"/>
      </tp>
      <tp>
        <v>0</v>
        <stp/>
        <stp>17#3#1#6031#GBPINRCOMP#52WkLow</stp>
        <tr r="J5" s="10"/>
      </tp>
      <tp t="s">
        <v>27-Nov-2020</v>
        <stp/>
        <stp>FWRC1#EURINR#Month End Rates#0#S#MonthEndDate9</stp>
        <tr r="I2" s="16"/>
      </tp>
      <tp t="s">
        <v>29-Oct-2020</v>
        <stp/>
        <stp>FWRC1#EURINR#Month End Rates#0#S#MonthEndDate8</stp>
        <tr r="H2" s="16"/>
      </tp>
      <tp t="s">
        <v>30-Sep-2020</v>
        <stp/>
        <stp>FWRC1#EURINR#Month End Rates#0#S#MonthEndDate7</stp>
        <tr r="G2" s="16"/>
      </tp>
      <tp t="s">
        <v>31-Aug-2020</v>
        <stp/>
        <stp>FWRC1#EURINR#Month End Rates#0#S#MonthEndDate6</stp>
        <tr r="F2" s="16"/>
      </tp>
      <tp t="s">
        <v>31-Jul-2020</v>
        <stp/>
        <stp>FWRC1#EURINR#Month End Rates#0#S#MonthEndDate5</stp>
        <tr r="E2" s="16"/>
      </tp>
      <tp t="s">
        <v>30-Jun-2020</v>
        <stp/>
        <stp>FWRC1#EURINR#Month End Rates#0#S#MonthEndDate4</stp>
        <tr r="D2" s="16"/>
      </tp>
      <tp t="s">
        <v>24-Jun-2020</v>
        <stp/>
        <stp>FWRC1#EURINR#Month End Rates#0#S#MonthEndDate2</stp>
        <tr r="C2" s="16"/>
      </tp>
      <tp t="s">
        <v>24-Dec-2020</v>
        <stp/>
        <stp>FWRC1#USDJPY#Month Wise Rates#0#S#PillarDate12</stp>
        <tr r="I2" s="21"/>
      </tp>
      <tp t="s">
        <v>25-Jan-2021</v>
        <stp/>
        <stp>FWRC1#USDJPY#Month Wise Rates#0#S#PillarDate13</stp>
        <tr r="J2" s="21"/>
      </tp>
      <tp t="s">
        <v>26-Oct-2020</v>
        <stp/>
        <stp>FWRC1#USDJPY#Month Wise Rates#0#S#PillarDate10</stp>
        <tr r="G2" s="21"/>
      </tp>
      <tp t="s">
        <v>24-Nov-2020</v>
        <stp/>
        <stp>FWRC1#USDJPY#Month Wise Rates#0#S#PillarDate11</stp>
        <tr r="H2" s="21"/>
      </tp>
      <tp t="s">
        <v>26-Apr-2021</v>
        <stp/>
        <stp>FWRC1#USDJPY#Month Wise Rates#0#S#PillarDate16</stp>
        <tr r="M2" s="21"/>
      </tp>
      <tp t="s">
        <v>24-May-2021</v>
        <stp/>
        <stp>FWRC1#USDJPY#Month Wise Rates#0#S#PillarDate17</stp>
        <tr r="N2" s="21"/>
      </tp>
      <tp t="s">
        <v>24-Feb-2021</v>
        <stp/>
        <stp>FWRC1#USDJPY#Month Wise Rates#0#S#PillarDate14</stp>
        <tr r="K2" s="21"/>
      </tp>
      <tp t="s">
        <v>24-Mar-2021</v>
        <stp/>
        <stp>FWRC1#USDJPY#Month Wise Rates#0#S#PillarDate15</stp>
        <tr r="L2" s="21"/>
      </tp>
      <tp t="s">
        <v>24-Jun-2021</v>
        <stp/>
        <stp>FWRC1#USDJPY#Month Wise Rates#0#S#PillarDate18</stp>
        <tr r="O2" s="21"/>
      </tp>
      <tp>
        <v>1.3972</v>
        <stp/>
        <stp>12#2#1#6069#SUSDSGD#Open</stp>
        <tr r="B16" s="23"/>
      </tp>
      <tp>
        <v>4.0324999999999998</v>
        <stp/>
        <stp>FWRC1#GBPINR#Month End Rates#0#Bid%14</stp>
        <tr r="N10" s="17"/>
      </tp>
      <tp>
        <v>3.9933000000000001</v>
        <stp/>
        <stp>FWRC1#GBPINR#Month End Rates#0#Bid%15</stp>
        <tr r="O10" s="17"/>
      </tp>
      <tp>
        <v>3.96</v>
        <stp/>
        <stp>FWRC1#GBPINR#Month End Rates#0#Bid%10</stp>
        <tr r="J10" s="17"/>
      </tp>
      <tp>
        <v>3.9434999999999998</v>
        <stp/>
        <stp>FWRC1#GBPINR#Month End Rates#0#Bid%11</stp>
        <tr r="K10" s="17"/>
      </tp>
      <tp>
        <v>3.9634</v>
        <stp/>
        <stp>FWRC1#GBPINR#Month End Rates#0#Bid%12</stp>
        <tr r="L10" s="17"/>
      </tp>
      <tp>
        <v>4.0461</v>
        <stp/>
        <stp>FWRC1#GBPINR#Month End Rates#0#Bid%13</stp>
        <tr r="M10" s="17"/>
      </tp>
      <tp>
        <v>4.0746000000000002</v>
        <stp/>
        <stp>FWRC1#GBPINR#Month End Rates#0#Ask%14</stp>
        <tr r="N11" s="17"/>
      </tp>
      <tp>
        <v>4.0434000000000001</v>
        <stp/>
        <stp>FWRC1#GBPINR#Month End Rates#0#Ask%15</stp>
        <tr r="O11" s="17"/>
      </tp>
      <tp>
        <v>4.0260999999999996</v>
        <stp/>
        <stp>FWRC1#GBPINR#Month End Rates#0#Ask%12</stp>
        <tr r="L11" s="17"/>
      </tp>
      <tp>
        <v>4.1010999999999997</v>
        <stp/>
        <stp>FWRC1#GBPINR#Month End Rates#0#Ask%13</stp>
        <tr r="M11" s="17"/>
      </tp>
      <tp>
        <v>4.0281000000000002</v>
        <stp/>
        <stp>FWRC1#GBPINR#Month End Rates#0#Ask%10</stp>
        <tr r="J11" s="17"/>
      </tp>
      <tp>
        <v>4.0060000000000002</v>
        <stp/>
        <stp>FWRC1#GBPINR#Month End Rates#0#Ask%11</stp>
        <tr r="K11" s="17"/>
      </tp>
      <tp>
        <v>96.410799999999995</v>
        <stp/>
        <stp>FWRC1#GBPINR#Month End Rates#0#FwdOutrightBid10</stp>
        <tr r="J7" s="17"/>
      </tp>
      <tp>
        <v>96.698700000000002</v>
        <stp/>
        <stp>FWRC1#GBPINR#Month End Rates#0#FwdOutrightBid11</stp>
        <tr r="K7" s="17"/>
      </tp>
      <tp>
        <v>96.997399999999999</v>
        <stp/>
        <stp>FWRC1#GBPINR#Month End Rates#0#FwdOutrightBid12</stp>
        <tr r="L7" s="17"/>
      </tp>
      <tp>
        <v>97.396100000000004</v>
        <stp/>
        <stp>FWRC1#GBPINR#Month End Rates#0#FwdOutrightBid13</stp>
        <tr r="M7" s="17"/>
      </tp>
      <tp>
        <v>97.6995</v>
        <stp/>
        <stp>FWRC1#GBPINR#Month End Rates#0#FwdOutrightBid14</stp>
        <tr r="N7" s="17"/>
      </tp>
      <tp>
        <v>97.988500000000002</v>
        <stp/>
        <stp>FWRC1#GBPINR#Month End Rates#0#FwdOutrightBid15</stp>
        <tr r="O7" s="17"/>
      </tp>
      <tp>
        <v>1.2348399999999999</v>
        <stp/>
        <stp>12#2#1#6031#SGBPUSD#Open</stp>
        <tr r="B11" s="23"/>
        <tr r="E8" s="10"/>
      </tp>
      <tp>
        <v>68.290000000000006</v>
        <stp/>
        <stp>17#1#1#6069#USDINRCOMP#52WkLow</stp>
        <tr r="J3" s="10"/>
      </tp>
      <tp>
        <v>220.5</v>
        <stp/>
        <stp>FWRC1#USDINR#Month End Rates#0#AskPrice13</stp>
        <tr r="M5" s="14"/>
      </tp>
      <tp>
        <v>193.5</v>
        <stp/>
        <stp>FWRC1#USDINR#Month End Rates#0#AskPrice12</stp>
        <tr r="L5" s="14"/>
      </tp>
      <tp>
        <v>172.25</v>
        <stp/>
        <stp>FWRC1#USDINR#Month End Rates#0#AskPrice11</stp>
        <tr r="K5" s="14"/>
      </tp>
      <tp>
        <v>148.75</v>
        <stp/>
        <stp>FWRC1#USDINR#Month End Rates#0#AskPrice10</stp>
        <tr r="J5" s="14"/>
      </tp>
      <tp>
        <v>273</v>
        <stp/>
        <stp>FWRC1#USDINR#Month End Rates#0#AskPrice15</stp>
        <tr r="O5" s="14"/>
      </tp>
      <tp>
        <v>250.5</v>
        <stp/>
        <stp>FWRC1#USDINR#Month End Rates#0#AskPrice14</stp>
        <tr r="N5" s="14"/>
      </tp>
      <tp>
        <v>170.25</v>
        <stp/>
        <stp>FWRC1#USDINR#Month End Rates#0#BidPrice11</stp>
        <tr r="K4" s="14"/>
      </tp>
      <tp>
        <v>146.75</v>
        <stp/>
        <stp>FWRC1#USDINR#Month End Rates#0#BidPrice10</stp>
        <tr r="J4" s="14"/>
      </tp>
      <tp>
        <v>218.5</v>
        <stp/>
        <stp>FWRC1#USDINR#Month End Rates#0#BidPrice13</stp>
        <tr r="M4" s="14"/>
      </tp>
      <tp>
        <v>191.5</v>
        <stp/>
        <stp>FWRC1#USDINR#Month End Rates#0#BidPrice12</stp>
        <tr r="L4" s="14"/>
      </tp>
      <tp>
        <v>271</v>
        <stp/>
        <stp>FWRC1#USDINR#Month End Rates#0#BidPrice15</stp>
        <tr r="O4" s="14"/>
      </tp>
      <tp>
        <v>248.5</v>
        <stp/>
        <stp>FWRC1#USDINR#Month End Rates#0#BidPrice14</stp>
        <tr r="N4" s="14"/>
      </tp>
      <tp>
        <v>0</v>
        <stp/>
        <stp>17#3#1#5978#JPYINRCOMP#52WkLow</stp>
        <tr r="J6" s="10"/>
      </tp>
      <tp>
        <v>4.8226000000000004</v>
        <stp/>
        <stp>FWRC1#EURINR#Month End Rates#0#Ask%14</stp>
        <tr r="N11" s="16"/>
      </tp>
      <tp>
        <v>4.7629999999999999</v>
        <stp/>
        <stp>FWRC1#EURINR#Month End Rates#0#Ask%15</stp>
        <tr r="O11" s="16"/>
      </tp>
      <tp>
        <v>4.7542</v>
        <stp/>
        <stp>FWRC1#EURINR#Month End Rates#0#Ask%10</stp>
        <tr r="J11" s="16"/>
      </tp>
      <tp>
        <v>4.7103000000000002</v>
        <stp/>
        <stp>FWRC1#EURINR#Month End Rates#0#Ask%11</stp>
        <tr r="K11" s="16"/>
      </tp>
      <tp>
        <v>4.7224000000000004</v>
        <stp/>
        <stp>FWRC1#EURINR#Month End Rates#0#Ask%12</stp>
        <tr r="L11" s="16"/>
      </tp>
      <tp>
        <v>4.8388999999999998</v>
        <stp/>
        <stp>FWRC1#EURINR#Month End Rates#0#Ask%13</stp>
        <tr r="M11" s="16"/>
      </tp>
      <tp>
        <v>4.7373000000000003</v>
        <stp/>
        <stp>FWRC1#EURINR#Month End Rates#0#Bid%14</stp>
        <tr r="N10" s="16"/>
      </tp>
      <tp>
        <v>4.7088000000000001</v>
        <stp/>
        <stp>FWRC1#EURINR#Month End Rates#0#Bid%15</stp>
        <tr r="O10" s="16"/>
      </tp>
      <tp>
        <v>4.6555999999999997</v>
        <stp/>
        <stp>FWRC1#EURINR#Month End Rates#0#Bid%12</stp>
        <tr r="L10" s="16"/>
      </tp>
      <tp>
        <v>4.7515000000000001</v>
        <stp/>
        <stp>FWRC1#EURINR#Month End Rates#0#Bid%13</stp>
        <tr r="M10" s="16"/>
      </tp>
      <tp>
        <v>4.6543000000000001</v>
        <stp/>
        <stp>FWRC1#EURINR#Month End Rates#0#Bid%10</stp>
        <tr r="J10" s="16"/>
      </tp>
      <tp>
        <v>4.6401000000000003</v>
        <stp/>
        <stp>FWRC1#EURINR#Month End Rates#0#Bid%11</stp>
        <tr r="K10" s="16"/>
      </tp>
      <tp>
        <v>73.897999999999996</v>
        <stp/>
        <stp>FWRC1#JPYINR#Month End Rates#0#FwdOutrightAsk14</stp>
        <tr r="N8" s="18"/>
      </tp>
      <tp>
        <v>74.154200000000003</v>
        <stp/>
        <stp>FWRC1#JPYINR#Month End Rates#0#FwdOutrightAsk15</stp>
        <tr r="O8" s="18"/>
      </tp>
      <tp>
        <v>73.294600000000003</v>
        <stp/>
        <stp>FWRC1#JPYINR#Month End Rates#0#FwdOutrightAsk12</stp>
        <tr r="L8" s="18"/>
      </tp>
      <tp>
        <v>73.6404</v>
        <stp/>
        <stp>FWRC1#JPYINR#Month End Rates#0#FwdOutrightAsk13</stp>
        <tr r="M8" s="18"/>
      </tp>
      <tp>
        <v>72.797799999999995</v>
        <stp/>
        <stp>FWRC1#JPYINR#Month End Rates#0#FwdOutrightAsk10</stp>
        <tr r="J8" s="18"/>
      </tp>
      <tp>
        <v>73.045299999999997</v>
        <stp/>
        <stp>FWRC1#JPYINR#Month End Rates#0#FwdOutrightAsk11</stp>
        <tr r="K8" s="18"/>
      </tp>
      <tp t="s">
        <v>MAY-2021</v>
        <stp/>
        <stp>FWRC1#USDINR#Month End Rates#0#S#Desc.15</stp>
        <tr r="O1" s="14"/>
      </tp>
      <tp t="s">
        <v>APR-2021</v>
        <stp/>
        <stp>FWRC1#USDINR#Month End Rates#0#S#Desc.14</stp>
        <tr r="N1" s="14"/>
      </tp>
      <tp t="s">
        <v>MAR-2021</v>
        <stp/>
        <stp>FWRC1#USDINR#Month End Rates#0#S#Desc.13</stp>
        <tr r="M1" s="14"/>
      </tp>
      <tp t="s">
        <v>FEB-2021</v>
        <stp/>
        <stp>FWRC1#USDINR#Month End Rates#0#S#Desc.12</stp>
        <tr r="L1" s="14"/>
      </tp>
      <tp t="s">
        <v>JAN-2021</v>
        <stp/>
        <stp>FWRC1#USDINR#Month End Rates#0#S#Desc.11</stp>
        <tr r="K1" s="14"/>
      </tp>
      <tp t="s">
        <v>DEC-2020</v>
        <stp/>
        <stp>FWRC1#USDINR#Month End Rates#0#S#Desc.10</stp>
        <tr r="J1" s="14"/>
      </tp>
      <tp t="s">
        <v>APR-2021</v>
        <stp/>
        <stp>FWRC1#GBPINR#Month End Rates#0#S#Desc.14</stp>
        <tr r="N1" s="17"/>
      </tp>
      <tp t="s">
        <v>MAY-2021</v>
        <stp/>
        <stp>FWRC1#GBPINR#Month End Rates#0#S#Desc.15</stp>
        <tr r="O1" s="17"/>
      </tp>
      <tp t="s">
        <v>FEB-2021</v>
        <stp/>
        <stp>FWRC1#GBPINR#Month End Rates#0#S#Desc.12</stp>
        <tr r="L1" s="17"/>
      </tp>
      <tp t="s">
        <v>MAR-2021</v>
        <stp/>
        <stp>FWRC1#GBPINR#Month End Rates#0#S#Desc.13</stp>
        <tr r="M1" s="17"/>
      </tp>
      <tp t="s">
        <v>DEC-2020</v>
        <stp/>
        <stp>FWRC1#GBPINR#Month End Rates#0#S#Desc.10</stp>
        <tr r="J1" s="17"/>
      </tp>
      <tp t="s">
        <v>JAN-2021</v>
        <stp/>
        <stp>FWRC1#GBPINR#Month End Rates#0#S#Desc.11</stp>
        <tr r="K1" s="17"/>
      </tp>
      <tp t="s">
        <v>JAN-2021</v>
        <stp/>
        <stp>FWRC1#EURINR#Month End Rates#0#S#Desc.11</stp>
        <tr r="K1" s="16"/>
      </tp>
      <tp t="s">
        <v>DEC-2020</v>
        <stp/>
        <stp>FWRC1#EURINR#Month End Rates#0#S#Desc.10</stp>
        <tr r="J1" s="16"/>
      </tp>
      <tp t="s">
        <v>MAR-2021</v>
        <stp/>
        <stp>FWRC1#EURINR#Month End Rates#0#S#Desc.13</stp>
        <tr r="M1" s="16"/>
      </tp>
      <tp t="s">
        <v>FEB-2021</v>
        <stp/>
        <stp>FWRC1#EURINR#Month End Rates#0#S#Desc.12</stp>
        <tr r="L1" s="16"/>
      </tp>
      <tp t="s">
        <v>MAY-2021</v>
        <stp/>
        <stp>FWRC1#EURINR#Month End Rates#0#S#Desc.15</stp>
        <tr r="O1" s="16"/>
      </tp>
      <tp t="s">
        <v>APR-2021</v>
        <stp/>
        <stp>FWRC1#EURINR#Month End Rates#0#S#Desc.14</stp>
        <tr r="N1" s="16"/>
      </tp>
      <tp t="s">
        <v>APR-2021</v>
        <stp/>
        <stp>FWRC1#JPYINR#Month End Rates#0#S#Desc.14</stp>
        <tr r="N1" s="18"/>
      </tp>
      <tp t="s">
        <v>MAY-2021</v>
        <stp/>
        <stp>FWRC1#JPYINR#Month End Rates#0#S#Desc.15</stp>
        <tr r="O1" s="18"/>
      </tp>
      <tp t="s">
        <v>DEC-2020</v>
        <stp/>
        <stp>FWRC1#JPYINR#Month End Rates#0#S#Desc.10</stp>
        <tr r="J1" s="18"/>
      </tp>
      <tp t="s">
        <v>JAN-2021</v>
        <stp/>
        <stp>FWRC1#JPYINR#Month End Rates#0#S#Desc.11</stp>
        <tr r="K1" s="18"/>
      </tp>
      <tp t="s">
        <v>FEB-2021</v>
        <stp/>
        <stp>FWRC1#JPYINR#Month End Rates#0#S#Desc.12</stp>
        <tr r="L1" s="18"/>
      </tp>
      <tp t="s">
        <v>MAR-2021</v>
        <stp/>
        <stp>FWRC1#JPYINR#Month End Rates#0#S#Desc.13</stp>
        <tr r="M1" s="18"/>
      </tp>
      <tp>
        <v>-0.56889999999999996</v>
        <stp/>
        <stp>FWRC1#USDJPY#Month Wise Rates#0#Ask%8</stp>
        <tr r="E11" s="21"/>
      </tp>
      <tp>
        <v>-0.56920000000000004</v>
        <stp/>
        <stp>FWRC1#USDJPY#Month Wise Rates#0#Ask%9</stp>
        <tr r="F11" s="21"/>
      </tp>
      <tp>
        <v>-0.68210000000000004</v>
        <stp/>
        <stp>FWRC1#USDJPY#Month Wise Rates#0#Ask%7</stp>
        <tr r="D11" s="21"/>
      </tp>
      <tp>
        <v>-0.34160000000000001</v>
        <stp/>
        <stp>FWRC1#USDJPY#Month Wise Rates#0#Ask%2</stp>
        <tr r="C11" s="21"/>
      </tp>
      <tp>
        <v>106.855</v>
        <stp/>
        <stp>FWRC1#USDJPY#Month Wise Rates#0#Close0</stp>
        <tr r="G29" s="23"/>
        <tr r="B29" s="23"/>
        <tr r="C29" s="23"/>
        <tr r="D29" s="23"/>
        <tr r="E29" s="23"/>
        <tr r="F29" s="23"/>
        <tr r="H29" s="23"/>
        <tr r="I29" s="23"/>
        <tr r="J29" s="23"/>
        <tr r="K29" s="23"/>
        <tr r="L29" s="23"/>
        <tr r="M29" s="23"/>
        <tr r="N29" s="23"/>
      </tp>
      <tp>
        <v>-6.09</v>
        <stp/>
        <stp>FWRC1#USDJPY#Month Wise Rates#0#Close7</stp>
        <tr r="C29" s="23"/>
      </tp>
      <tp>
        <v>-10.45</v>
        <stp/>
        <stp>FWRC1#USDJPY#Month Wise Rates#0#Close8</stp>
        <tr r="D29" s="23"/>
      </tp>
      <tp>
        <v>-15.58</v>
        <stp/>
        <stp>FWRC1#USDJPY#Month Wise Rates#0#Close9</stp>
        <tr r="E29" s="23"/>
      </tp>
      <tp>
        <v>1.0634999999999999</v>
        <stp/>
        <stp>12#2#1#5949#SEURUSD#52WkLow</stp>
        <tr r="J7" s="10"/>
      </tp>
      <tp t="s">
        <v>12M</v>
        <stp/>
        <stp>FWRC1#USDJPY#Month Wise Rates#0#S#Desc.18</stp>
        <tr r="O1" s="21"/>
      </tp>
      <tp t="s">
        <v>9M</v>
        <stp/>
        <stp>FWRC1#USDJPY#Month Wise Rates#0#S#Desc.15</stp>
        <tr r="L1" s="21"/>
      </tp>
      <tp t="s">
        <v>8M</v>
        <stp/>
        <stp>FWRC1#USDJPY#Month Wise Rates#0#S#Desc.14</stp>
        <tr r="K1" s="21"/>
      </tp>
      <tp t="s">
        <v>11M</v>
        <stp/>
        <stp>FWRC1#USDJPY#Month Wise Rates#0#S#Desc.17</stp>
        <tr r="N1" s="21"/>
      </tp>
      <tp t="s">
        <v>10M</v>
        <stp/>
        <stp>FWRC1#USDJPY#Month Wise Rates#0#S#Desc.16</stp>
        <tr r="M1" s="21"/>
      </tp>
      <tp t="s">
        <v>5M</v>
        <stp/>
        <stp>FWRC1#USDJPY#Month Wise Rates#0#S#Desc.11</stp>
        <tr r="H1" s="21"/>
      </tp>
      <tp t="s">
        <v>4M</v>
        <stp/>
        <stp>FWRC1#USDJPY#Month Wise Rates#0#S#Desc.10</stp>
        <tr r="G1" s="21"/>
      </tp>
      <tp t="s">
        <v>7M</v>
        <stp/>
        <stp>FWRC1#USDJPY#Month Wise Rates#0#S#Desc.13</stp>
        <tr r="J1" s="21"/>
      </tp>
      <tp t="s">
        <v>6M</v>
        <stp/>
        <stp>FWRC1#USDJPY#Month Wise Rates#0#S#Desc.12</stp>
        <tr r="I1" s="21"/>
      </tp>
      <tp>
        <v>3.9133</v>
        <stp/>
        <stp>FWRC1#GBPINR#Month End Rates#0#Ask%9</stp>
        <tr r="I11" s="17"/>
      </tp>
      <tp>
        <v>3.8854000000000002</v>
        <stp/>
        <stp>FWRC1#GBPINR#Month End Rates#0#Ask%8</stp>
        <tr r="H11" s="17"/>
      </tp>
      <tp>
        <v>5.0486000000000004</v>
        <stp/>
        <stp>FWRC1#GBPINR#Month End Rates#0#Ask%2</stp>
        <tr r="C11" s="17"/>
      </tp>
      <tp>
        <v>3.8517999999999999</v>
        <stp/>
        <stp>FWRC1#GBPINR#Month End Rates#0#Ask%7</stp>
        <tr r="G11" s="17"/>
      </tp>
      <tp>
        <v>3.9979</v>
        <stp/>
        <stp>FWRC1#GBPINR#Month End Rates#0#Ask%6</stp>
        <tr r="F11" s="17"/>
      </tp>
      <tp>
        <v>3.7027000000000001</v>
        <stp/>
        <stp>FWRC1#GBPINR#Month End Rates#0#Ask%5</stp>
        <tr r="E11" s="17"/>
      </tp>
      <tp>
        <v>3.5419</v>
        <stp/>
        <stp>FWRC1#GBPINR#Month End Rates#0#Ask%4</stp>
        <tr r="D11" s="17"/>
      </tp>
      <tp>
        <v>4.5396999999999998</v>
        <stp/>
        <stp>FWRC1#EURINR#Month End Rates#0#Ask%8</stp>
        <tr r="H11" s="16"/>
      </tp>
      <tp>
        <v>4.6005000000000003</v>
        <stp/>
        <stp>FWRC1#EURINR#Month End Rates#0#Ask%9</stp>
        <tr r="I11" s="16"/>
      </tp>
      <tp>
        <v>4.0888</v>
        <stp/>
        <stp>FWRC1#EURINR#Month End Rates#0#Ask%4</stp>
        <tr r="D11" s="16"/>
      </tp>
      <tp>
        <v>4.3169000000000004</v>
        <stp/>
        <stp>FWRC1#EURINR#Month End Rates#0#Ask%5</stp>
        <tr r="E11" s="16"/>
      </tp>
      <tp>
        <v>4.4442000000000004</v>
        <stp/>
        <stp>FWRC1#EURINR#Month End Rates#0#Ask%6</stp>
        <tr r="F11" s="16"/>
      </tp>
      <tp>
        <v>4.4938000000000002</v>
        <stp/>
        <stp>FWRC1#EURINR#Month End Rates#0#Ask%7</stp>
        <tr r="G11" s="16"/>
      </tp>
      <tp>
        <v>5.5918000000000001</v>
        <stp/>
        <stp>FWRC1#EURINR#Month End Rates#0#Ask%2</stp>
        <tr r="C11" s="16"/>
      </tp>
      <tp>
        <v>72.180800000000005</v>
        <stp/>
        <stp>FWRC1#JPYINR#Month End Rates#0#FwdOutrightAsk8</stp>
        <tr r="H8" s="18"/>
      </tp>
      <tp>
        <v>72.439899999999994</v>
        <stp/>
        <stp>FWRC1#JPYINR#Month End Rates#0#FwdOutrightAsk9</stp>
        <tr r="I8" s="18"/>
      </tp>
      <tp>
        <v>71.165899999999993</v>
        <stp/>
        <stp>FWRC1#JPYINR#Month End Rates#0#FwdOutrightAsk4</stp>
        <tr r="D8" s="18"/>
      </tp>
      <tp>
        <v>71.412099999999995</v>
        <stp/>
        <stp>FWRC1#JPYINR#Month End Rates#0#FwdOutrightAsk5</stp>
        <tr r="E8" s="18"/>
      </tp>
      <tp>
        <v>71.673900000000003</v>
        <stp/>
        <stp>FWRC1#JPYINR#Month End Rates#0#FwdOutrightAsk6</stp>
        <tr r="F8" s="18"/>
      </tp>
      <tp>
        <v>71.930599999999998</v>
        <stp/>
        <stp>FWRC1#JPYINR#Month End Rates#0#FwdOutrightAsk7</stp>
        <tr r="G8" s="18"/>
      </tp>
      <tp>
        <v>71.109499999999997</v>
        <stp/>
        <stp>FWRC1#JPYINR#Month End Rates#0#FwdOutrightAsk1</stp>
        <tr r="C8" s="18"/>
        <tr r="D3" s="7"/>
      </tp>
      <tp>
        <v>71.114900000000006</v>
        <stp/>
        <stp>FWRC1#JPYINR#Month End Rates#0#FwdOutrightAsk3</stp>
        <tr r="F3" s="7"/>
      </tp>
      <tp>
        <v>4.3442999999999996</v>
        <stp/>
        <stp>FWRC1#JPYINR#Month End Rates#0#Ask%9</stp>
        <tr r="I11" s="18"/>
      </tp>
      <tp>
        <v>4.2888999999999999</v>
        <stp/>
        <stp>FWRC1#JPYINR#Month End Rates#0#Ask%8</stp>
        <tr r="H11" s="18"/>
      </tp>
      <tp>
        <v>5.4344000000000001</v>
        <stp/>
        <stp>FWRC1#JPYINR#Month End Rates#0#Ask%2</stp>
        <tr r="C11" s="18"/>
      </tp>
      <tp>
        <v>4.0538999999999996</v>
        <stp/>
        <stp>FWRC1#JPYINR#Month End Rates#0#Ask%5</stp>
        <tr r="E11" s="18"/>
      </tp>
      <tp>
        <v>3.9281999999999999</v>
        <stp/>
        <stp>FWRC1#JPYINR#Month End Rates#0#Ask%4</stp>
        <tr r="D11" s="18"/>
      </tp>
      <tp>
        <v>4.2472000000000003</v>
        <stp/>
        <stp>FWRC1#JPYINR#Month End Rates#0#Ask%7</stp>
        <tr r="G11" s="18"/>
      </tp>
      <tp>
        <v>4.1825000000000001</v>
        <stp/>
        <stp>FWRC1#JPYINR#Month End Rates#0#Ask%6</stp>
        <tr r="F11" s="18"/>
      </tp>
      <tp>
        <v>3.7046999999999999</v>
        <stp/>
        <stp>FWRC1#USDINR#Month End Rates#0#Ask%8</stp>
        <tr r="H11" s="14"/>
      </tp>
      <tp>
        <v>3.7393000000000001</v>
        <stp/>
        <stp>FWRC1#USDINR#Month End Rates#0#Ask%9</stp>
        <tr r="I11" s="14"/>
      </tp>
      <tp>
        <v>4.8010999999999999</v>
        <stp/>
        <stp>FWRC1#USDINR#Month End Rates#0#Ask%2</stp>
        <tr r="C11" s="14"/>
      </tp>
      <tp>
        <v>3.5301999999999998</v>
        <stp/>
        <stp>FWRC1#USDINR#Month End Rates#0#Ask%6</stp>
        <tr r="F11" s="14"/>
      </tp>
      <tp>
        <v>3.6253000000000002</v>
        <stp/>
        <stp>FWRC1#USDINR#Month End Rates#0#Ask%7</stp>
        <tr r="G11" s="14"/>
      </tp>
      <tp>
        <v>4.601</v>
        <stp/>
        <stp>FWRC1#USDINR#Month End Rates#0#Ask%4</stp>
        <tr r="D11" s="14"/>
      </tp>
      <tp>
        <v>3.6008</v>
        <stp/>
        <stp>FWRC1#USDINR#Month End Rates#0#Ask%5</stp>
        <tr r="E11" s="14"/>
      </tp>
      <tp>
        <v>77.015000000000001</v>
        <stp/>
        <stp>FWRC1#USDINR#Month End Rates#0#FwdOutrightAsk8</stp>
        <tr r="H8" s="14"/>
      </tp>
      <tp>
        <v>77.25</v>
        <stp/>
        <stp>FWRC1#USDINR#Month End Rates#0#FwdOutrightAsk9</stp>
        <tr r="I8" s="14"/>
      </tp>
      <tp>
        <v>76.092500000000001</v>
        <stp/>
        <stp>FWRC1#USDINR#Month End Rates#0#FwdOutrightAsk4</stp>
        <tr r="D8" s="14"/>
      </tp>
      <tp>
        <v>76.3125</v>
        <stp/>
        <stp>FWRC1#USDINR#Month End Rates#0#FwdOutrightAsk5</stp>
        <tr r="E8" s="14"/>
      </tp>
      <tp>
        <v>76.534999999999997</v>
        <stp/>
        <stp>FWRC1#USDINR#Month End Rates#0#FwdOutrightAsk6</stp>
        <tr r="F8" s="14"/>
      </tp>
      <tp>
        <v>76.775000000000006</v>
        <stp/>
        <stp>FWRC1#USDINR#Month End Rates#0#FwdOutrightAsk7</stp>
        <tr r="G8" s="14"/>
      </tp>
      <tp>
        <v>76.025000000000006</v>
        <stp/>
        <stp>FWRC1#USDINR#Month End Rates#0#FwdOutrightAsk1</stp>
        <tr r="C8" s="14"/>
        <tr r="D3" s="4"/>
      </tp>
      <tp>
        <v>76.03</v>
        <stp/>
        <stp>FWRC1#USDINR#Month End Rates#0#FwdOutrightAsk3</stp>
        <tr r="F3" s="4"/>
      </tp>
      <tp t="s">
        <v>27-Nov-2020</v>
        <stp/>
        <stp>FWRC1#USDINR#Month End Rates#0#S#MonthEndDate9</stp>
        <tr r="I2" s="14"/>
      </tp>
      <tp t="s">
        <v>29-Oct-2020</v>
        <stp/>
        <stp>FWRC1#USDINR#Month End Rates#0#S#MonthEndDate8</stp>
        <tr r="H2" s="14"/>
      </tp>
      <tp t="s">
        <v>30-Sep-2020</v>
        <stp/>
        <stp>FWRC1#USDINR#Month End Rates#0#S#MonthEndDate7</stp>
        <tr r="G2" s="14"/>
      </tp>
      <tp t="s">
        <v>31-Aug-2020</v>
        <stp/>
        <stp>FWRC1#USDINR#Month End Rates#0#S#MonthEndDate6</stp>
        <tr r="F2" s="14"/>
      </tp>
      <tp t="s">
        <v>31-Jul-2020</v>
        <stp/>
        <stp>FWRC1#USDINR#Month End Rates#0#S#MonthEndDate5</stp>
        <tr r="E2" s="14"/>
      </tp>
      <tp t="s">
        <v>30-Jun-2020</v>
        <stp/>
        <stp>FWRC1#USDINR#Month End Rates#0#S#MonthEndDate4</stp>
        <tr r="D2" s="14"/>
      </tp>
      <tp t="s">
        <v>24-Jun-2020</v>
        <stp/>
        <stp>FWRC1#USDINR#Month End Rates#0#S#MonthEndDate2</stp>
        <tr r="C2" s="14"/>
      </tp>
      <tp>
        <v>0.68339000000000005</v>
        <stp/>
        <stp>12#2#1#5903#SAUDUSD#Open</stp>
        <tr r="B15" s="23"/>
      </tp>
      <tp>
        <v>1.1175999999999999</v>
        <stp/>
        <stp>12#2#1#5949#SEURUSD#Open</stp>
        <tr r="B10" s="23"/>
        <tr r="E7" s="10"/>
      </tp>
      <tp>
        <v>1.36039</v>
        <stp/>
        <stp>12#2#1#6069#SUSDCAD#Open</stp>
        <tr r="B14" s="23"/>
      </tp>
      <tp>
        <v>6.1</v>
        <stp/>
        <stp>FWRC1#GBPUSD#Month Wise Rates#0#Close9</stp>
        <tr r="E28" s="23"/>
      </tp>
      <tp>
        <v>4.2</v>
        <stp/>
        <stp>FWRC1#GBPUSD#Month Wise Rates#0#Close8</stp>
        <tr r="D28" s="23"/>
      </tp>
      <tp>
        <v>2.29</v>
        <stp/>
        <stp>FWRC1#GBPUSD#Month Wise Rates#0#Close7</stp>
        <tr r="C28" s="23"/>
      </tp>
      <tp>
        <v>1.2447999999999999</v>
        <stp/>
        <stp>FWRC1#GBPUSD#Month Wise Rates#0#Close0</stp>
        <tr r="B28" s="23"/>
        <tr r="C28" s="23"/>
        <tr r="D28" s="23"/>
        <tr r="E28" s="23"/>
        <tr r="F28" s="23"/>
        <tr r="G28" s="23"/>
        <tr r="H28" s="23"/>
        <tr r="I28" s="23"/>
        <tr r="J28" s="23"/>
        <tr r="K28" s="23"/>
        <tr r="L28" s="23"/>
        <tr r="M28" s="23"/>
        <tr r="N28" s="23"/>
      </tp>
      <tp>
        <v>237.48</v>
        <stp/>
        <stp>FWRC1#EURINR#Month End Rates#0#Close11</stp>
        <tr r="J20" s="23"/>
      </tp>
      <tp>
        <v>206.66499999999999</v>
        <stp/>
        <stp>FWRC1#EURINR#Month End Rates#0#Close10</stp>
        <tr r="I20" s="23"/>
      </tp>
      <tp>
        <v>310.91750000000002</v>
        <stp/>
        <stp>FWRC1#EURINR#Month End Rates#0#Close13</stp>
        <tr r="L20" s="23"/>
      </tp>
      <tp>
        <v>268.73500000000001</v>
        <stp/>
        <stp>FWRC1#EURINR#Month End Rates#0#Close12</stp>
        <tr r="K20" s="23"/>
      </tp>
      <tp>
        <v>375.2475</v>
        <stp/>
        <stp>FWRC1#EURINR#Month End Rates#0#Close15</stp>
        <tr r="N20" s="23"/>
      </tp>
      <tp>
        <v>343.20249999999999</v>
        <stp/>
        <stp>FWRC1#EURINR#Month End Rates#0#Close14</stp>
        <tr r="M20" s="23"/>
      </tp>
      <tp>
        <v>52.305</v>
        <stp/>
        <stp>FWRC1#AUDINR#Month Wise Rates#0#Close0</stp>
        <tr r="B25" s="23"/>
        <tr r="C25" s="23"/>
        <tr r="D25" s="23"/>
        <tr r="E25" s="23"/>
        <tr r="F25" s="23"/>
        <tr r="G25" s="23"/>
        <tr r="H25" s="23"/>
        <tr r="I25" s="23"/>
        <tr r="J25" s="23"/>
        <tr r="K25" s="23"/>
        <tr r="L25" s="23"/>
        <tr r="M25" s="23"/>
        <tr r="N25" s="23"/>
      </tp>
      <tp>
        <v>1468.9503999999999</v>
        <stp/>
        <stp>FWRC1#AUDINR#Month Wise Rates#0#Close7</stp>
        <tr r="C25" s="23"/>
      </tp>
      <tp>
        <v>4732.4880999999996</v>
        <stp/>
        <stp>FWRC1#AUDINR#Month Wise Rates#0#Close9</stp>
        <tr r="E25" s="23"/>
      </tp>
      <tp>
        <v>3012.9767999999999</v>
        <stp/>
        <stp>FWRC1#AUDINR#Month Wise Rates#0#Close8</stp>
        <tr r="D25" s="23"/>
      </tp>
      <tp t="s">
        <v>24-Nov-2020</v>
        <stp/>
        <stp>FWRC1#USDINR#Month Wise Rates#0#S#PillarDate11</stp>
        <tr r="H2" s="15"/>
      </tp>
      <tp t="s">
        <v>26-Oct-2020</v>
        <stp/>
        <stp>FWRC1#USDINR#Month Wise Rates#0#S#PillarDate10</stp>
        <tr r="G2" s="15"/>
      </tp>
      <tp t="s">
        <v>25-Jan-2021</v>
        <stp/>
        <stp>FWRC1#USDINR#Month Wise Rates#0#S#PillarDate13</stp>
        <tr r="J2" s="15"/>
      </tp>
      <tp t="s">
        <v>24-Dec-2020</v>
        <stp/>
        <stp>FWRC1#USDINR#Month Wise Rates#0#S#PillarDate12</stp>
        <tr r="I2" s="15"/>
      </tp>
      <tp t="s">
        <v>24-Mar-2021</v>
        <stp/>
        <stp>FWRC1#USDINR#Month Wise Rates#0#S#PillarDate15</stp>
        <tr r="L2" s="15"/>
      </tp>
      <tp t="s">
        <v>24-Feb-2021</v>
        <stp/>
        <stp>FWRC1#USDINR#Month Wise Rates#0#S#PillarDate14</stp>
        <tr r="K2" s="15"/>
      </tp>
      <tp t="s">
        <v>24-May-2021</v>
        <stp/>
        <stp>FWRC1#USDINR#Month Wise Rates#0#S#PillarDate17</stp>
        <tr r="N2" s="15"/>
      </tp>
      <tp t="s">
        <v>26-Apr-2021</v>
        <stp/>
        <stp>FWRC1#USDINR#Month Wise Rates#0#S#PillarDate16</stp>
        <tr r="M2" s="15"/>
      </tp>
      <tp t="s">
        <v>24-Jun-2021</v>
        <stp/>
        <stp>FWRC1#USDINR#Month Wise Rates#0#S#PillarDate18</stp>
        <tr r="O2" s="15"/>
      </tp>
      <tp>
        <v>3.7984</v>
        <stp/>
        <stp>FWRC1#GBPINR#Month End Rates#0#Bid%8</stp>
        <tr r="H10" s="17"/>
      </tp>
      <tp>
        <v>3.8378000000000001</v>
        <stp/>
        <stp>FWRC1#GBPINR#Month End Rates#0#Bid%9</stp>
        <tr r="I10" s="17"/>
      </tp>
      <tp>
        <v>2.4565999999999999</v>
        <stp/>
        <stp>FWRC1#GBPINR#Month End Rates#0#Bid%2</stp>
        <tr r="C10" s="17"/>
      </tp>
      <tp>
        <v>3.2223000000000002</v>
        <stp/>
        <stp>FWRC1#GBPINR#Month End Rates#0#Bid%4</stp>
        <tr r="D10" s="17"/>
      </tp>
      <tp>
        <v>3.5219999999999998</v>
        <stp/>
        <stp>FWRC1#GBPINR#Month End Rates#0#Bid%5</stp>
        <tr r="E10" s="17"/>
      </tp>
      <tp>
        <v>3.8641000000000001</v>
        <stp/>
        <stp>FWRC1#GBPINR#Month End Rates#0#Bid%6</stp>
        <tr r="F10" s="17"/>
      </tp>
      <tp>
        <v>3.7509999999999999</v>
        <stp/>
        <stp>FWRC1#GBPINR#Month End Rates#0#Bid%7</stp>
        <tr r="G10" s="17"/>
      </tp>
      <tp>
        <v>4.5303000000000004</v>
        <stp/>
        <stp>FWRC1#EURINR#Month End Rates#0#Bid%9</stp>
        <tr r="I10" s="16"/>
      </tp>
      <tp>
        <v>4.4646999999999997</v>
        <stp/>
        <stp>FWRC1#EURINR#Month End Rates#0#Bid%8</stp>
        <tr r="H10" s="16"/>
      </tp>
      <tp>
        <v>4.4006999999999996</v>
        <stp/>
        <stp>FWRC1#EURINR#Month End Rates#0#Bid%7</stp>
        <tr r="G10" s="16"/>
      </tp>
      <tp>
        <v>4.3384999999999998</v>
        <stp/>
        <stp>FWRC1#EURINR#Month End Rates#0#Bid%6</stp>
        <tr r="F10" s="16"/>
      </tp>
      <tp>
        <v>4.1558000000000002</v>
        <stp/>
        <stp>FWRC1#EURINR#Month End Rates#0#Bid%5</stp>
        <tr r="E10" s="16"/>
      </tp>
      <tp>
        <v>3.7761999999999998</v>
        <stp/>
        <stp>FWRC1#EURINR#Month End Rates#0#Bid%4</stp>
        <tr r="D10" s="16"/>
      </tp>
      <tp>
        <v>3.0116000000000001</v>
        <stp/>
        <stp>FWRC1#EURINR#Month End Rates#0#Bid%2</stp>
        <tr r="C10" s="16"/>
      </tp>
      <tp>
        <v>4.1878000000000002</v>
        <stp/>
        <stp>FWRC1#JPYINR#Month End Rates#0#Bid%8</stp>
        <tr r="H10" s="18"/>
      </tp>
      <tp>
        <v>4.2645</v>
        <stp/>
        <stp>FWRC1#JPYINR#Month End Rates#0#Bid%9</stp>
        <tr r="I10" s="18"/>
      </tp>
      <tp>
        <v>2.7061999999999999</v>
        <stp/>
        <stp>FWRC1#JPYINR#Month End Rates#0#Bid%2</stp>
        <tr r="C10" s="18"/>
      </tp>
      <tp>
        <v>4.0675999999999997</v>
        <stp/>
        <stp>FWRC1#JPYINR#Month End Rates#0#Bid%6</stp>
        <tr r="F10" s="18"/>
      </tp>
      <tp>
        <v>4.1249000000000002</v>
        <stp/>
        <stp>FWRC1#JPYINR#Month End Rates#0#Bid%7</stp>
        <tr r="G10" s="18"/>
      </tp>
      <tp>
        <v>3.6246999999999998</v>
        <stp/>
        <stp>FWRC1#JPYINR#Month End Rates#0#Bid%4</stp>
        <tr r="D10" s="18"/>
      </tp>
      <tp>
        <v>3.8794</v>
        <stp/>
        <stp>FWRC1#JPYINR#Month End Rates#0#Bid%5</stp>
        <tr r="E10" s="18"/>
      </tp>
      <tp>
        <v>3.6772</v>
        <stp/>
        <stp>FWRC1#USDINR#Month End Rates#0#Bid%9</stp>
        <tr r="I10" s="14"/>
      </tp>
      <tp>
        <v>3.6286999999999998</v>
        <stp/>
        <stp>FWRC1#USDINR#Month End Rates#0#Bid%8</stp>
        <tr r="H10" s="14"/>
      </tp>
      <tp>
        <v>2.4001999999999999</v>
        <stp/>
        <stp>FWRC1#USDINR#Month End Rates#0#Bid%2</stp>
        <tr r="C10" s="14"/>
      </tp>
      <tp>
        <v>3.3408000000000002</v>
        <stp/>
        <stp>FWRC1#USDINR#Month End Rates#0#Bid%5</stp>
        <tr r="E10" s="14"/>
      </tp>
      <tp>
        <v>3.0003000000000002</v>
        <stp/>
        <stp>FWRC1#USDINR#Month End Rates#0#Bid%4</stp>
        <tr r="D10" s="14"/>
      </tp>
      <tp>
        <v>3.5268000000000002</v>
        <stp/>
        <stp>FWRC1#USDINR#Month End Rates#0#Bid%7</stp>
        <tr r="G10" s="14"/>
      </tp>
      <tp>
        <v>3.3885000000000001</v>
        <stp/>
        <stp>FWRC1#USDINR#Month End Rates#0#Bid%6</stp>
        <tr r="F10" s="14"/>
      </tp>
      <tp>
        <v>106.86499999999999</v>
        <stp/>
        <stp>12#2#1#6069#SUSDJPY#Close</stp>
        <tr r="H9" s="10"/>
      </tp>
      <tp>
        <v>74.088399999999993</v>
        <stp/>
        <stp>FWRC1#JPYINR#Month End Rates#0#FwdOutrightBid15</stp>
        <tr r="O7" s="18"/>
      </tp>
      <tp>
        <v>73.822800000000001</v>
        <stp/>
        <stp>FWRC1#JPYINR#Month End Rates#0#FwdOutrightBid14</stp>
        <tr r="N7" s="18"/>
      </tp>
      <tp>
        <v>72.980500000000006</v>
        <stp/>
        <stp>FWRC1#JPYINR#Month End Rates#0#FwdOutrightBid11</stp>
        <tr r="K7" s="18"/>
      </tp>
      <tp>
        <v>72.733999999999995</v>
        <stp/>
        <stp>FWRC1#JPYINR#Month End Rates#0#FwdOutrightBid10</stp>
        <tr r="J7" s="18"/>
      </tp>
      <tp>
        <v>73.577500000000001</v>
        <stp/>
        <stp>FWRC1#JPYINR#Month End Rates#0#FwdOutrightBid13</stp>
        <tr r="M7" s="18"/>
      </tp>
      <tp>
        <v>73.232200000000006</v>
        <stp/>
        <stp>FWRC1#JPYINR#Month End Rates#0#FwdOutrightBid12</stp>
        <tr r="L7" s="18"/>
      </tp>
      <tp>
        <v>-0.57830000000000004</v>
        <stp/>
        <stp>FWRC1#USDJPY#Month Wise Rates#0#Bid%9</stp>
        <tr r="F10" s="21"/>
      </tp>
      <tp>
        <v>-0.58509999999999995</v>
        <stp/>
        <stp>FWRC1#USDJPY#Month Wise Rates#0#Bid%8</stp>
        <tr r="E10" s="21"/>
      </tp>
      <tp>
        <v>-0.69320000000000004</v>
        <stp/>
        <stp>FWRC1#USDJPY#Month Wise Rates#0#Bid%7</stp>
        <tr r="D10" s="21"/>
      </tp>
      <tp>
        <v>-0.61480000000000001</v>
        <stp/>
        <stp>FWRC1#USDJPY#Month Wise Rates#0#Bid%2</stp>
        <tr r="C10" s="21"/>
      </tp>
      <tp>
        <v>1.1407799999999999</v>
        <stp/>
        <stp>12#2#1#6031#SGBPUSD#52WkLow</stp>
        <tr r="J8" s="10"/>
      </tp>
      <tp>
        <v>18955.485000000001</v>
        <stp/>
        <stp>FWRC1#JPYINR#Month End Rates#0#Close11</stp>
        <tr r="J22" s="23"/>
      </tp>
      <tp>
        <v>16490.407500000001</v>
        <stp/>
        <stp>FWRC1#JPYINR#Month End Rates#0#Close10</stp>
        <tr r="I22" s="23"/>
      </tp>
      <tp>
        <v>24925.47</v>
        <stp/>
        <stp>FWRC1#JPYINR#Month End Rates#0#Close13</stp>
        <tr r="L22" s="23"/>
      </tp>
      <tp>
        <v>21471.797500000001</v>
        <stp/>
        <stp>FWRC1#JPYINR#Month End Rates#0#Close12</stp>
        <tr r="K22" s="23"/>
      </tp>
      <tp>
        <v>30033.96</v>
        <stp/>
        <stp>FWRC1#JPYINR#Month End Rates#0#Close15</stp>
        <tr r="N22" s="23"/>
      </tp>
      <tp>
        <v>27377.66</v>
        <stp/>
        <stp>FWRC1#JPYINR#Month End Rates#0#Close14</stp>
        <tr r="M22" s="23"/>
      </tp>
      <tp>
        <v>4.5688000000000004</v>
        <stp/>
        <stp>FWRC1#JPYINR#Month End Rates#0#Ask%15</stp>
        <tr r="O11" s="18"/>
      </tp>
      <tp>
        <v>4.6013999999999999</v>
        <stp/>
        <stp>FWRC1#JPYINR#Month End Rates#0#Ask%14</stp>
        <tr r="N11" s="18"/>
      </tp>
      <tp>
        <v>4.6219999999999999</v>
        <stp/>
        <stp>FWRC1#JPYINR#Month End Rates#0#Ask%13</stp>
        <tr r="M11" s="18"/>
      </tp>
      <tp>
        <v>4.5205000000000002</v>
        <stp/>
        <stp>FWRC1#JPYINR#Month End Rates#0#Ask%12</stp>
        <tr r="L11" s="18"/>
      </tp>
      <tp>
        <v>4.5141999999999998</v>
        <stp/>
        <stp>FWRC1#JPYINR#Month End Rates#0#Ask%11</stp>
        <tr r="K11" s="18"/>
      </tp>
      <tp>
        <v>4.5342000000000002</v>
        <stp/>
        <stp>FWRC1#JPYINR#Month End Rates#0#Ask%10</stp>
        <tr r="J11" s="18"/>
      </tp>
      <tp>
        <v>4.5202</v>
        <stp/>
        <stp>FWRC1#JPYINR#Month End Rates#0#Bid%15</stp>
        <tr r="O10" s="18"/>
      </tp>
      <tp>
        <v>4.5324999999999998</v>
        <stp/>
        <stp>FWRC1#JPYINR#Month End Rates#0#Bid%14</stp>
        <tr r="N10" s="18"/>
      </tp>
      <tp>
        <v>4.4420999999999999</v>
        <stp/>
        <stp>FWRC1#JPYINR#Month End Rates#0#Bid%11</stp>
        <tr r="K10" s="18"/>
      </tp>
      <tp>
        <v>4.4542999999999999</v>
        <stp/>
        <stp>FWRC1#JPYINR#Month End Rates#0#Bid%10</stp>
        <tr r="J10" s="18"/>
      </tp>
      <tp>
        <v>4.5686</v>
        <stp/>
        <stp>FWRC1#JPYINR#Month End Rates#0#Bid%13</stp>
        <tr r="M10" s="18"/>
      </tp>
      <tp>
        <v>4.4614000000000003</v>
        <stp/>
        <stp>FWRC1#JPYINR#Month End Rates#0#Bid%12</stp>
        <tr r="L10" s="18"/>
      </tp>
      <tp t="s">
        <v>24-Jun-2021</v>
        <stp/>
        <stp>FWRC1#GBPUSD#Month Wise Rates#0#S#PillarDate18</stp>
        <tr r="O2" s="20"/>
      </tp>
      <tp t="s">
        <v>24-Mar-2021</v>
        <stp/>
        <stp>FWRC1#GBPUSD#Month Wise Rates#0#S#PillarDate15</stp>
        <tr r="L2" s="20"/>
      </tp>
      <tp t="s">
        <v>24-Feb-2021</v>
        <stp/>
        <stp>FWRC1#GBPUSD#Month Wise Rates#0#S#PillarDate14</stp>
        <tr r="K2" s="20"/>
      </tp>
      <tp t="s">
        <v>24-May-2021</v>
        <stp/>
        <stp>FWRC1#GBPUSD#Month Wise Rates#0#S#PillarDate17</stp>
        <tr r="N2" s="20"/>
      </tp>
      <tp t="s">
        <v>26-Apr-2021</v>
        <stp/>
        <stp>FWRC1#GBPUSD#Month Wise Rates#0#S#PillarDate16</stp>
        <tr r="M2" s="20"/>
      </tp>
      <tp t="s">
        <v>24-Nov-2020</v>
        <stp/>
        <stp>FWRC1#GBPUSD#Month Wise Rates#0#S#PillarDate11</stp>
        <tr r="H2" s="20"/>
      </tp>
      <tp t="s">
        <v>26-Oct-2020</v>
        <stp/>
        <stp>FWRC1#GBPUSD#Month Wise Rates#0#S#PillarDate10</stp>
        <tr r="G2" s="20"/>
      </tp>
      <tp t="s">
        <v>25-Jan-2021</v>
        <stp/>
        <stp>FWRC1#GBPUSD#Month Wise Rates#0#S#PillarDate13</stp>
        <tr r="J2" s="20"/>
      </tp>
      <tp t="s">
        <v>24-Dec-2020</v>
        <stp/>
        <stp>FWRC1#GBPUSD#Month Wise Rates#0#S#PillarDate12</stp>
        <tr r="I2" s="20"/>
      </tp>
      <tp>
        <v>97.484300000000005</v>
        <stp/>
        <stp>FWRC1#GBPINR#Month End Rates#0#FwdOutrightAsk13</stp>
        <tr r="M8" s="17"/>
      </tp>
      <tp>
        <v>97.086100000000002</v>
        <stp/>
        <stp>FWRC1#GBPINR#Month End Rates#0#FwdOutrightAsk12</stp>
        <tr r="L8" s="17"/>
      </tp>
      <tp>
        <v>96.783000000000001</v>
        <stp/>
        <stp>FWRC1#GBPINR#Month End Rates#0#FwdOutrightAsk11</stp>
        <tr r="K8" s="17"/>
      </tp>
      <tp>
        <v>96.493200000000002</v>
        <stp/>
        <stp>FWRC1#GBPINR#Month End Rates#0#FwdOutrightAsk10</stp>
        <tr r="J8" s="17"/>
      </tp>
      <tp>
        <v>98.080799999999996</v>
        <stp/>
        <stp>FWRC1#GBPINR#Month End Rates#0#FwdOutrightAsk15</stp>
        <tr r="O8" s="17"/>
      </tp>
      <tp>
        <v>97.781499999999994</v>
        <stp/>
        <stp>FWRC1#GBPINR#Month End Rates#0#FwdOutrightAsk14</stp>
        <tr r="N8" s="17"/>
      </tp>
      <tp>
        <v>95.711600000000004</v>
        <stp/>
        <stp>FWRC1#GBPINR#Month End Rates#0#FwdOutrightBid8</stp>
        <tr r="H7" s="17"/>
      </tp>
      <tp>
        <v>96.012799999999999</v>
        <stp/>
        <stp>FWRC1#GBPINR#Month End Rates#0#FwdOutrightBid9</stp>
        <tr r="I7" s="17"/>
      </tp>
      <tp>
        <v>94.512600000000006</v>
        <stp/>
        <stp>FWRC1#GBPINR#Month End Rates#0#FwdOutrightBid4</stp>
        <tr r="D7" s="17"/>
      </tp>
      <tp>
        <v>94.799899999999994</v>
        <stp/>
        <stp>FWRC1#GBPINR#Month End Rates#0#FwdOutrightBid5</stp>
        <tr r="E7" s="17"/>
      </tp>
      <tp>
        <v>95.112899999999996</v>
        <stp/>
        <stp>FWRC1#GBPINR#Month End Rates#0#FwdOutrightBid6</stp>
        <tr r="F7" s="17"/>
      </tp>
      <tp>
        <v>95.414400000000001</v>
        <stp/>
        <stp>FWRC1#GBPINR#Month End Rates#0#FwdOutrightBid7</stp>
        <tr r="G7" s="17"/>
      </tp>
      <tp>
        <v>94.436400000000006</v>
        <stp/>
        <stp>FWRC1#GBPINR#Month End Rates#0#FwdOutrightBid1</stp>
        <tr r="C7" s="17"/>
        <tr r="D2" s="6"/>
      </tp>
      <tp>
        <v>94.4495</v>
        <stp/>
        <stp>FWRC1#GBPINR#Month End Rates#0#FwdOutrightBid3</stp>
        <tr r="F2" s="6"/>
      </tp>
      <tp>
        <v>0.95238</v>
        <stp/>
        <stp>12#2#1#6069#SUSDCHF#Open</stp>
        <tr r="B13" s="23"/>
      </tp>
      <tp>
        <v>1.2348399999999999</v>
        <stp/>
        <stp>12#2#1#6031#SGBPUSD#Close</stp>
        <tr r="H8" s="10"/>
      </tp>
      <tp>
        <v>87.710400000000007</v>
        <stp/>
        <stp>FWRC1#EURINR#Month End Rates#0#FwdOutrightAsk11</stp>
        <tr r="K8" s="16"/>
      </tp>
      <tp>
        <v>87.410700000000006</v>
        <stp/>
        <stp>FWRC1#EURINR#Month End Rates#0#FwdOutrightAsk10</stp>
        <tr r="J8" s="16"/>
      </tp>
      <tp>
        <v>88.465900000000005</v>
        <stp/>
        <stp>FWRC1#EURINR#Month End Rates#0#FwdOutrightAsk13</stp>
        <tr r="M8" s="16"/>
      </tp>
      <tp>
        <v>88.025599999999997</v>
        <stp/>
        <stp>FWRC1#EURINR#Month End Rates#0#FwdOutrightAsk12</stp>
        <tr r="L8" s="16"/>
      </tp>
      <tp>
        <v>89.095100000000002</v>
        <stp/>
        <stp>FWRC1#EURINR#Month End Rates#0#FwdOutrightAsk15</stp>
        <tr r="O8" s="16"/>
      </tp>
      <tp>
        <v>88.793300000000002</v>
        <stp/>
        <stp>FWRC1#EURINR#Month End Rates#0#FwdOutrightAsk14</stp>
        <tr r="N8" s="16"/>
      </tp>
      <tp>
        <v>107.011</v>
        <stp/>
        <stp>12#2#1#6069#SUSDJPY#High</stp>
        <tr r="F9" s="10"/>
        <tr r="C12" s="23"/>
      </tp>
      <tp>
        <v>170.25</v>
        <stp/>
        <stp>FWRC1#USDINR#Month End Rates#0#Close11</stp>
        <tr r="J19" s="23"/>
      </tp>
      <tp>
        <v>146.75</v>
        <stp/>
        <stp>FWRC1#USDINR#Month End Rates#0#Close10</stp>
        <tr r="I19" s="23"/>
      </tp>
      <tp>
        <v>218.5</v>
        <stp/>
        <stp>FWRC1#USDINR#Month End Rates#0#Close13</stp>
        <tr r="L19" s="23"/>
      </tp>
      <tp>
        <v>191.5</v>
        <stp/>
        <stp>FWRC1#USDINR#Month End Rates#0#Close12</stp>
        <tr r="K19" s="23"/>
      </tp>
      <tp>
        <v>271</v>
        <stp/>
        <stp>FWRC1#USDINR#Month End Rates#0#Close15</stp>
        <tr r="N19" s="23"/>
      </tp>
      <tp>
        <v>248.5</v>
        <stp/>
        <stp>FWRC1#USDINR#Month End Rates#0#Close14</stp>
        <tr r="M19" s="23"/>
      </tp>
      <tp>
        <v>35683.482499999998</v>
        <stp/>
        <stp>FWRC1#GBPINR#Month End Rates#0#AskPrice15</stp>
        <tr r="O5" s="17"/>
      </tp>
      <tp>
        <v>32690.212500000001</v>
        <stp/>
        <stp>FWRC1#GBPINR#Month End Rates#0#AskPrice14</stp>
        <tr r="N5" s="17"/>
      </tp>
      <tp>
        <v>29718.294999999998</v>
        <stp/>
        <stp>FWRC1#GBPINR#Month End Rates#0#AskPrice13</stp>
        <tr r="M5" s="17"/>
      </tp>
      <tp>
        <v>25736.127499999999</v>
        <stp/>
        <stp>FWRC1#GBPINR#Month End Rates#0#AskPrice12</stp>
        <tr r="L5" s="17"/>
      </tp>
      <tp>
        <v>22705.07</v>
        <stp/>
        <stp>FWRC1#GBPINR#Month End Rates#0#AskPrice11</stp>
        <tr r="K5" s="17"/>
      </tp>
      <tp>
        <v>19807.05</v>
        <stp/>
        <stp>FWRC1#GBPINR#Month End Rates#0#AskPrice10</stp>
        <tr r="J5" s="17"/>
      </tp>
      <tp>
        <v>35260.004999999997</v>
        <stp/>
        <stp>FWRC1#GBPINR#Month End Rates#0#BidPrice15</stp>
        <tr r="O4" s="17"/>
      </tp>
      <tp>
        <v>32369.55</v>
        <stp/>
        <stp>FWRC1#GBPINR#Month End Rates#0#BidPrice14</stp>
        <tr r="N4" s="17"/>
      </tp>
      <tp>
        <v>22362.482499999998</v>
        <stp/>
        <stp>FWRC1#GBPINR#Month End Rates#0#BidPrice11</stp>
        <tr r="K4" s="17"/>
      </tp>
      <tp>
        <v>19482.552500000002</v>
        <stp/>
        <stp>FWRC1#GBPINR#Month End Rates#0#BidPrice10</stp>
        <tr r="J4" s="17"/>
      </tp>
      <tp>
        <v>29335.607499999998</v>
        <stp/>
        <stp>FWRC1#GBPINR#Month End Rates#0#BidPrice13</stp>
        <tr r="M4" s="17"/>
      </tp>
      <tp>
        <v>25348.945</v>
        <stp/>
        <stp>FWRC1#GBPINR#Month End Rates#0#BidPrice12</stp>
        <tr r="L4" s="17"/>
      </tp>
      <tp>
        <v>94.75</v>
        <stp/>
        <stp>35#1#1#6031#FUTCUR#N3#0#XX#Bid</stp>
        <tr r="B4" s="13"/>
      </tp>
      <tp>
        <v>76.510000000000005</v>
        <stp/>
        <stp>35#1#1#6069#FUTCUR#N3#0#XX#Bid</stp>
        <tr r="B2" s="13"/>
      </tp>
      <tp>
        <v>94.5</v>
        <stp/>
        <stp>35#1#1#6031#FUTCUR#N2#0#XX#Bid</stp>
        <tr r="B4" s="12"/>
      </tp>
      <tp>
        <v>76.28</v>
        <stp/>
        <stp>35#1#1#6069#FUTCUR#N2#0#XX#Bid</stp>
        <tr r="B2" s="12"/>
      </tp>
      <tp>
        <v>94.21</v>
        <stp/>
        <stp>35#1#1#6031#FUTCUR#N1#0#XX#Bid</stp>
        <tr r="B4" s="11"/>
      </tp>
      <tp>
        <v>76.064999999999998</v>
        <stp/>
        <stp>35#1#1#6069#FUTCUR#N1#0#XX#Bid</stp>
        <tr r="B2" s="11"/>
      </tp>
      <tp>
        <v>85.23</v>
        <stp/>
        <stp>35#1#1#5949#FUTCUR#N1#0#XX#Ask</stp>
        <tr r="C3" s="11"/>
      </tp>
      <tp>
        <v>71.127499999999998</v>
        <stp/>
        <stp>35#1#1#5978#FUTCUR#N1#0#XX#Ask</stp>
        <tr r="C5" s="11"/>
      </tp>
      <tp>
        <v>85.525000000000006</v>
        <stp/>
        <stp>35#1#1#5949#FUTCUR#N2#0#XX#Ask</stp>
        <tr r="C3" s="12"/>
      </tp>
      <tp>
        <v>71.357500000000002</v>
        <stp/>
        <stp>35#1#1#5978#FUTCUR#N2#0#XX#Ask</stp>
        <tr r="C5" s="12"/>
      </tp>
      <tp>
        <v>85.754999999999995</v>
        <stp/>
        <stp>35#1#1#5949#FUTCUR#N3#0#XX#Ask</stp>
        <tr r="C3" s="13"/>
      </tp>
      <tp>
        <v>71.594999999999999</v>
        <stp/>
        <stp>35#1#1#5978#FUTCUR#N3#0#XX#Ask</stp>
        <tr r="C5" s="13"/>
      </tp>
      <tp>
        <v>1.1175999999999999</v>
        <stp/>
        <stp>12#2#1#5949#SEURUSD#Close</stp>
        <tr r="H7" s="10"/>
      </tp>
      <tp>
        <v>71.349999999999994</v>
        <stp/>
        <stp>35#1#1#5978#FUTCUR#N2#0#XX#Bid</stp>
        <tr r="B5" s="12"/>
      </tp>
      <tp>
        <v>85.502499999999998</v>
        <stp/>
        <stp>35#1#1#5949#FUTCUR#N2#0#XX#Bid</stp>
        <tr r="B3" s="12"/>
      </tp>
      <tp>
        <v>71.52</v>
        <stp/>
        <stp>35#1#1#5978#FUTCUR#N3#0#XX#Bid</stp>
        <tr r="B5" s="13"/>
      </tp>
      <tp>
        <v>85.73</v>
        <stp/>
        <stp>35#1#1#5949#FUTCUR#N3#0#XX#Bid</stp>
        <tr r="B3" s="13"/>
      </tp>
      <tp>
        <v>71.112499999999997</v>
        <stp/>
        <stp>35#1#1#5978#FUTCUR#N1#0#XX#Bid</stp>
        <tr r="B5" s="11"/>
      </tp>
      <tp>
        <v>85.224999999999994</v>
        <stp/>
        <stp>35#1#1#5949#FUTCUR#N1#0#XX#Bid</stp>
        <tr r="B3" s="11"/>
      </tp>
      <tp>
        <v>76.069999999999993</v>
        <stp/>
        <stp>35#1#1#6069#FUTCUR#N1#0#XX#Ask</stp>
        <tr r="C2" s="11"/>
      </tp>
      <tp>
        <v>94.224999999999994</v>
        <stp/>
        <stp>35#1#1#6031#FUTCUR#N1#0#XX#Ask</stp>
        <tr r="C4" s="11"/>
      </tp>
      <tp>
        <v>76.52</v>
        <stp/>
        <stp>35#1#1#6069#FUTCUR#N3#0#XX#Ask</stp>
        <tr r="C2" s="13"/>
      </tp>
      <tp>
        <v>94.8</v>
        <stp/>
        <stp>35#1#1#6031#FUTCUR#N3#0#XX#Ask</stp>
        <tr r="C4" s="13"/>
      </tp>
      <tp>
        <v>76.287499999999994</v>
        <stp/>
        <stp>35#1#1#6069#FUTCUR#N2#0#XX#Ask</stp>
        <tr r="C2" s="12"/>
      </tp>
      <tp>
        <v>94.52</v>
        <stp/>
        <stp>35#1#1#6031#FUTCUR#N2#0#XX#Ask</stp>
        <tr r="C4" s="12"/>
      </tp>
      <tp>
        <v>375.2475</v>
        <stp/>
        <stp>FWRC1#EURINR#Month End Rates#0#BidPrice15</stp>
        <tr r="O4" s="16"/>
      </tp>
      <tp>
        <v>343.20249999999999</v>
        <stp/>
        <stp>FWRC1#EURINR#Month End Rates#0#BidPrice14</stp>
        <tr r="N4" s="16"/>
      </tp>
      <tp>
        <v>310.91750000000002</v>
        <stp/>
        <stp>FWRC1#EURINR#Month End Rates#0#BidPrice13</stp>
        <tr r="M4" s="16"/>
      </tp>
      <tp>
        <v>268.73500000000001</v>
        <stp/>
        <stp>FWRC1#EURINR#Month End Rates#0#BidPrice12</stp>
        <tr r="L4" s="16"/>
      </tp>
      <tp>
        <v>237.48</v>
        <stp/>
        <stp>FWRC1#EURINR#Month End Rates#0#BidPrice11</stp>
        <tr r="K4" s="16"/>
      </tp>
      <tp>
        <v>206.66499999999999</v>
        <stp/>
        <stp>FWRC1#EURINR#Month End Rates#0#BidPrice10</stp>
        <tr r="J4" s="16"/>
      </tp>
      <tp>
        <v>379.51249999999999</v>
        <stp/>
        <stp>FWRC1#EURINR#Month End Rates#0#AskPrice15</stp>
        <tr r="O5" s="16"/>
      </tp>
      <tp>
        <v>349.33</v>
        <stp/>
        <stp>FWRC1#EURINR#Month End Rates#0#AskPrice14</stp>
        <tr r="N5" s="16"/>
      </tp>
      <tp>
        <v>241.04</v>
        <stp/>
        <stp>FWRC1#EURINR#Month End Rates#0#AskPrice11</stp>
        <tr r="K5" s="16"/>
      </tp>
      <tp>
        <v>211.07</v>
        <stp/>
        <stp>FWRC1#EURINR#Month End Rates#0#AskPrice10</stp>
        <tr r="J5" s="16"/>
      </tp>
      <tp>
        <v>316.58749999999998</v>
        <stp/>
        <stp>FWRC1#EURINR#Month End Rates#0#AskPrice13</stp>
        <tr r="M5" s="16"/>
      </tp>
      <tp>
        <v>272.55500000000001</v>
        <stp/>
        <stp>FWRC1#EURINR#Month End Rates#0#AskPrice12</stp>
        <tr r="L5" s="16"/>
      </tp>
      <tp>
        <v>101.178</v>
        <stp/>
        <stp>12#2#1#6069#SUSDJPY#52WkLow</stp>
        <tr r="J9" s="10"/>
      </tp>
      <tp>
        <v>3.7077</v>
        <stp/>
        <stp>FWRC1#USDINR#Month End Rates#0#Bid%10</stp>
        <tr r="J10" s="14"/>
      </tp>
      <tp>
        <v>3.7317999999999998</v>
        <stp/>
        <stp>FWRC1#USDINR#Month End Rates#0#Bid%11</stp>
        <tr r="K10" s="14"/>
      </tp>
      <tp>
        <v>3.7218</v>
        <stp/>
        <stp>FWRC1#USDINR#Month End Rates#0#Bid%12</stp>
        <tr r="L10" s="14"/>
      </tp>
      <tp>
        <v>3.746</v>
        <stp/>
        <stp>FWRC1#USDINR#Month End Rates#0#Bid%13</stp>
        <tr r="M10" s="14"/>
      </tp>
      <tp>
        <v>3.8481000000000001</v>
        <stp/>
        <stp>FWRC1#USDINR#Month End Rates#0#Bid%14</stp>
        <tr r="N10" s="14"/>
      </tp>
      <tp>
        <v>3.8149999999999999</v>
        <stp/>
        <stp>FWRC1#USDINR#Month End Rates#0#Bid%15</stp>
        <tr r="O10" s="14"/>
      </tp>
      <tp>
        <v>3.7610999999999999</v>
        <stp/>
        <stp>FWRC1#USDINR#Month End Rates#0#Ask%12</stp>
        <tr r="L11" s="14"/>
      </tp>
      <tp>
        <v>3.7808000000000002</v>
        <stp/>
        <stp>FWRC1#USDINR#Month End Rates#0#Ask%13</stp>
        <tr r="M11" s="14"/>
      </tp>
      <tp>
        <v>3.7587000000000002</v>
        <stp/>
        <stp>FWRC1#USDINR#Month End Rates#0#Ask%10</stp>
        <tr r="J11" s="14"/>
      </tp>
      <tp>
        <v>3.7761999999999998</v>
        <stp/>
        <stp>FWRC1#USDINR#Month End Rates#0#Ask%11</stp>
        <tr r="K11" s="14"/>
      </tp>
      <tp>
        <v>3.8795999999999999</v>
        <stp/>
        <stp>FWRC1#USDINR#Month End Rates#0#Ask%14</stp>
        <tr r="N11" s="14"/>
      </tp>
      <tp>
        <v>3.8437000000000001</v>
        <stp/>
        <stp>FWRC1#USDINR#Month End Rates#0#Ask%15</stp>
        <tr r="O11" s="14"/>
      </tp>
      <tp t="s">
        <v>12M</v>
        <stp/>
        <stp>FWRC1#GBPUSD#Month Wise Rates#0#S#Desc.18</stp>
        <tr r="O1" s="20"/>
      </tp>
      <tp t="s">
        <v>5M</v>
        <stp/>
        <stp>FWRC1#GBPUSD#Month Wise Rates#0#S#Desc.11</stp>
        <tr r="H1" s="20"/>
      </tp>
      <tp t="s">
        <v>4M</v>
        <stp/>
        <stp>FWRC1#GBPUSD#Month Wise Rates#0#S#Desc.10</stp>
        <tr r="G1" s="20"/>
      </tp>
      <tp t="s">
        <v>7M</v>
        <stp/>
        <stp>FWRC1#GBPUSD#Month Wise Rates#0#S#Desc.13</stp>
        <tr r="J1" s="20"/>
      </tp>
      <tp t="s">
        <v>6M</v>
        <stp/>
        <stp>FWRC1#GBPUSD#Month Wise Rates#0#S#Desc.12</stp>
        <tr r="I1" s="20"/>
      </tp>
      <tp t="s">
        <v>9M</v>
        <stp/>
        <stp>FWRC1#GBPUSD#Month Wise Rates#0#S#Desc.15</stp>
        <tr r="L1" s="20"/>
      </tp>
      <tp t="s">
        <v>8M</v>
        <stp/>
        <stp>FWRC1#GBPUSD#Month Wise Rates#0#S#Desc.14</stp>
        <tr r="K1" s="20"/>
      </tp>
      <tp t="s">
        <v>11M</v>
        <stp/>
        <stp>FWRC1#GBPUSD#Month Wise Rates#0#S#Desc.17</stp>
        <tr r="N1" s="20"/>
      </tp>
      <tp t="s">
        <v>10M</v>
        <stp/>
        <stp>FWRC1#GBPUSD#Month Wise Rates#0#S#Desc.16</stp>
        <tr r="M1" s="20"/>
      </tp>
      <tp>
        <v>80.010000000000005</v>
        <stp/>
        <stp>FWRC1#CHFINR#Month Wise Rates#0#Close0</stp>
        <tr r="B23" s="23"/>
        <tr r="C23" s="23"/>
        <tr r="D23" s="23"/>
        <tr r="E23" s="23"/>
        <tr r="F23" s="23"/>
        <tr r="G23" s="23"/>
        <tr r="H23" s="23"/>
        <tr r="I23" s="23"/>
        <tr r="J23" s="23"/>
        <tr r="K23" s="23"/>
        <tr r="L23" s="23"/>
        <tr r="M23" s="23"/>
        <tr r="N23" s="23"/>
      </tp>
      <tp>
        <v>2876.9778999999999</v>
        <stp/>
        <stp>FWRC1#CHFINR#Month Wise Rates#0#Close7</stp>
        <tr r="C23" s="23"/>
      </tp>
      <tp>
        <v>9309.9079000000002</v>
        <stp/>
        <stp>FWRC1#CHFINR#Month Wise Rates#0#Close9</stp>
        <tr r="E23" s="23"/>
      </tp>
      <tp>
        <v>5939.5186999999996</v>
        <stp/>
        <stp>FWRC1#CHFINR#Month Wise Rates#0#Close8</stp>
        <tr r="D23" s="23"/>
      </tp>
      <tp>
        <v>3.5064000000000002</v>
        <stp/>
        <stp>FWRC1#USDINR#Month Wise Rates#0#Bid%9</stp>
        <tr r="F10" s="15"/>
      </tp>
      <tp>
        <v>3.3820000000000001</v>
        <stp/>
        <stp>FWRC1#USDINR#Month Wise Rates#0#Bid%8</stp>
        <tr r="E10" s="15"/>
      </tp>
      <tp>
        <v>3.3254999999999999</v>
        <stp/>
        <stp>FWRC1#USDINR#Month Wise Rates#0#Bid%7</stp>
        <tr r="D10" s="15"/>
      </tp>
      <tp t="s">
        <v/>
        <stp/>
        <stp>FWRC1#USDINR#Month Wise Rates#0#Bid%2</stp>
        <tr r="C10" s="15"/>
      </tp>
      <tp>
        <v>0.22589999999999999</v>
        <stp/>
        <stp>FWRC1#GBPUSD#Month Wise Rates#0#Ask%8</stp>
        <tr r="E11" s="20"/>
      </tp>
      <tp>
        <v>0.21679999999999999</v>
        <stp/>
        <stp>FWRC1#GBPUSD#Month Wise Rates#0#Ask%9</stp>
        <tr r="F11" s="20"/>
      </tp>
      <tp>
        <v>0.2346</v>
        <stp/>
        <stp>FWRC1#GBPUSD#Month Wise Rates#0#Ask%2</stp>
        <tr r="C11" s="20"/>
      </tp>
      <tp>
        <v>0.25319999999999998</v>
        <stp/>
        <stp>FWRC1#GBPUSD#Month Wise Rates#0#Ask%7</stp>
        <tr r="D11" s="20"/>
      </tp>
      <tp t="s">
        <v>12M</v>
        <stp/>
        <stp>FWRC1#EURUSD#Month Wise Rates#0#S#Desc.18</stp>
        <tr r="O1" s="19"/>
      </tp>
      <tp t="s">
        <v>7M</v>
        <stp/>
        <stp>FWRC1#EURUSD#Month Wise Rates#0#S#Desc.13</stp>
        <tr r="J1" s="19"/>
      </tp>
      <tp t="s">
        <v>6M</v>
        <stp/>
        <stp>FWRC1#EURUSD#Month Wise Rates#0#S#Desc.12</stp>
        <tr r="I1" s="19"/>
      </tp>
      <tp t="s">
        <v>5M</v>
        <stp/>
        <stp>FWRC1#EURUSD#Month Wise Rates#0#S#Desc.11</stp>
        <tr r="H1" s="19"/>
      </tp>
      <tp t="s">
        <v>4M</v>
        <stp/>
        <stp>FWRC1#EURUSD#Month Wise Rates#0#S#Desc.10</stp>
        <tr r="G1" s="19"/>
      </tp>
      <tp t="s">
        <v>11M</v>
        <stp/>
        <stp>FWRC1#EURUSD#Month Wise Rates#0#S#Desc.17</stp>
        <tr r="N1" s="19"/>
      </tp>
      <tp t="s">
        <v>10M</v>
        <stp/>
        <stp>FWRC1#EURUSD#Month Wise Rates#0#S#Desc.16</stp>
        <tr r="M1" s="19"/>
      </tp>
      <tp t="s">
        <v>9M</v>
        <stp/>
        <stp>FWRC1#EURUSD#Month Wise Rates#0#S#Desc.15</stp>
        <tr r="L1" s="19"/>
      </tp>
      <tp t="s">
        <v>8M</v>
        <stp/>
        <stp>FWRC1#EURUSD#Month Wise Rates#0#S#Desc.14</stp>
        <tr r="K1" s="19"/>
      </tp>
      <tp>
        <v>77.94</v>
        <stp/>
        <stp>FWRC1#USDINR#Month End Rates#0#FwdOutrightBid12</stp>
        <tr r="L7" s="14"/>
      </tp>
      <tp>
        <v>78.209999999999994</v>
        <stp/>
        <stp>FWRC1#USDINR#Month End Rates#0#FwdOutrightBid13</stp>
        <tr r="M7" s="14"/>
      </tp>
      <tp>
        <v>77.492500000000007</v>
        <stp/>
        <stp>FWRC1#USDINR#Month End Rates#0#FwdOutrightBid10</stp>
        <tr r="J7" s="14"/>
      </tp>
      <tp>
        <v>77.727500000000006</v>
        <stp/>
        <stp>FWRC1#USDINR#Month End Rates#0#FwdOutrightBid11</stp>
        <tr r="K7" s="14"/>
      </tp>
      <tp>
        <v>78.510000000000005</v>
        <stp/>
        <stp>FWRC1#USDINR#Month End Rates#0#FwdOutrightBid14</stp>
        <tr r="N7" s="14"/>
      </tp>
      <tp>
        <v>78.734999999999999</v>
        <stp/>
        <stp>FWRC1#USDINR#Month End Rates#0#FwdOutrightBid15</stp>
        <tr r="O7" s="14"/>
      </tp>
      <tp>
        <v>106.86499999999999</v>
        <stp/>
        <stp>12#2#1#6069#SUSDJPY#Open</stp>
        <tr r="B12" s="23"/>
        <tr r="E9" s="10"/>
      </tp>
      <tp>
        <v>95.789500000000004</v>
        <stp/>
        <stp>FWRC1#GBPINR#Month End Rates#0#FwdOutrightAsk8</stp>
        <tr r="H8" s="17"/>
      </tp>
      <tp>
        <v>96.092399999999998</v>
        <stp/>
        <stp>FWRC1#GBPINR#Month End Rates#0#FwdOutrightAsk9</stp>
        <tr r="I8" s="17"/>
      </tp>
      <tp>
        <v>94.567499999999995</v>
        <stp/>
        <stp>FWRC1#GBPINR#Month End Rates#0#FwdOutrightAsk4</stp>
        <tr r="D8" s="17"/>
      </tp>
      <tp>
        <v>94.867099999999994</v>
        <stp/>
        <stp>FWRC1#GBPINR#Month End Rates#0#FwdOutrightAsk5</stp>
        <tr r="E8" s="17"/>
      </tp>
      <tp>
        <v>95.185000000000002</v>
        <stp/>
        <stp>FWRC1#GBPINR#Month End Rates#0#FwdOutrightAsk6</stp>
        <tr r="F8" s="17"/>
      </tp>
      <tp>
        <v>95.489400000000003</v>
        <stp/>
        <stp>FWRC1#GBPINR#Month End Rates#0#FwdOutrightAsk7</stp>
        <tr r="G8" s="17"/>
      </tp>
      <tp>
        <v>94.499799999999993</v>
        <stp/>
        <stp>FWRC1#GBPINR#Month End Rates#0#FwdOutrightAsk1</stp>
        <tr r="C8" s="17"/>
        <tr r="D3" s="6"/>
      </tp>
      <tp>
        <v>94.506100000000004</v>
        <stp/>
        <stp>FWRC1#GBPINR#Month End Rates#0#FwdOutrightAsk3</stp>
        <tr r="F3" s="6"/>
      </tp>
      <tp>
        <v>0.95399999999999996</v>
        <stp/>
        <stp>12#2#1#6069#SUSDCHF#High</stp>
        <tr r="C13" s="23"/>
      </tp>
      <tp>
        <v>0.84870000000000001</v>
        <stp/>
        <stp>FWRC1#EURUSD#Month Wise Rates#0#Ask%8</stp>
        <tr r="E11" s="19"/>
      </tp>
      <tp>
        <v>0.84919999999999995</v>
        <stp/>
        <stp>FWRC1#EURUSD#Month Wise Rates#0#Ask%9</stp>
        <tr r="F11" s="19"/>
      </tp>
      <tp>
        <v>0.82310000000000005</v>
        <stp/>
        <stp>FWRC1#EURUSD#Month Wise Rates#0#Ask%2</stp>
        <tr r="C11" s="19"/>
      </tp>
      <tp>
        <v>0.85899999999999999</v>
        <stp/>
        <stp>FWRC1#EURUSD#Month Wise Rates#0#Ask%7</stp>
        <tr r="D11" s="19"/>
      </tp>
      <tp>
        <v>1.3992</v>
        <stp/>
        <stp>12#2#1#6069#SUSDSGD#High</stp>
        <tr r="C16" s="23"/>
      </tp>
      <tp>
        <v>0.84030000000000005</v>
        <stp/>
        <stp>FWRC1#EURUSD#Month Wise Rates#0#Bid%9</stp>
        <tr r="F10" s="19"/>
      </tp>
      <tp>
        <v>0.83460000000000001</v>
        <stp/>
        <stp>FWRC1#EURUSD#Month Wise Rates#0#Bid%8</stp>
        <tr r="E10" s="19"/>
      </tp>
      <tp>
        <v>0.56379999999999997</v>
        <stp/>
        <stp>FWRC1#EURUSD#Month Wise Rates#0#Bid%2</stp>
        <tr r="C10" s="19"/>
      </tp>
      <tp>
        <v>0.83730000000000004</v>
        <stp/>
        <stp>FWRC1#EURUSD#Month Wise Rates#0#Bid%7</stp>
        <tr r="D10" s="19"/>
      </tp>
      <tp>
        <v>77.757499999999993</v>
        <stp/>
        <stp>FWRC1#USDINR#Month End Rates#0#FwdOutrightAsk11</stp>
        <tr r="K8" s="14"/>
      </tp>
      <tp>
        <v>77.522499999999994</v>
        <stp/>
        <stp>FWRC1#USDINR#Month End Rates#0#FwdOutrightAsk10</stp>
        <tr r="J8" s="14"/>
      </tp>
      <tp>
        <v>78.239999999999995</v>
        <stp/>
        <stp>FWRC1#USDINR#Month End Rates#0#FwdOutrightAsk13</stp>
        <tr r="M8" s="14"/>
      </tp>
      <tp>
        <v>77.97</v>
        <stp/>
        <stp>FWRC1#USDINR#Month End Rates#0#FwdOutrightAsk12</stp>
        <tr r="L8" s="14"/>
      </tp>
      <tp>
        <v>78.765000000000001</v>
        <stp/>
        <stp>FWRC1#USDINR#Month End Rates#0#FwdOutrightAsk15</stp>
        <tr r="O8" s="14"/>
      </tp>
      <tp>
        <v>78.540000000000006</v>
        <stp/>
        <stp>FWRC1#USDINR#Month End Rates#0#FwdOutrightAsk14</stp>
        <tr r="N8" s="14"/>
      </tp>
      <tp>
        <v>-3.13</v>
        <stp/>
        <stp>FWRC1#USDCAD#Month Wise Rates#0#Close9</stp>
        <tr r="E31" s="23"/>
      </tp>
      <tp>
        <v>-2.77</v>
        <stp/>
        <stp>FWRC1#USDCAD#Month Wise Rates#0#Close8</stp>
        <tr r="D31" s="23"/>
      </tp>
      <tp>
        <v>1.3539000000000001</v>
        <stp/>
        <stp>FWRC1#USDCAD#Month Wise Rates#0#Close0</stp>
        <tr r="B31" s="23"/>
        <tr r="C31" s="23"/>
        <tr r="D31" s="23"/>
        <tr r="E31" s="23"/>
        <tr r="F31" s="23"/>
        <tr r="G31" s="23"/>
        <tr r="H31" s="23"/>
        <tr r="I31" s="23"/>
        <tr r="J31" s="23"/>
        <tr r="K31" s="23"/>
        <tr r="L31" s="23"/>
        <tr r="M31" s="23"/>
        <tr r="N31" s="23"/>
      </tp>
      <tp>
        <v>-1.93</v>
        <stp/>
        <stp>FWRC1#USDCAD#Month Wise Rates#0#Close7</stp>
        <tr r="C31" s="23"/>
      </tp>
      <tp t="s">
        <v>24-Jun-2021</v>
        <stp/>
        <stp>FWRC1#EURUSD#Month Wise Rates#0#S#PillarDate18</stp>
        <tr r="O2" s="19"/>
      </tp>
      <tp t="s">
        <v>24-Mar-2021</v>
        <stp/>
        <stp>FWRC1#EURUSD#Month Wise Rates#0#S#PillarDate15</stp>
        <tr r="L2" s="19"/>
      </tp>
      <tp t="s">
        <v>24-Feb-2021</v>
        <stp/>
        <stp>FWRC1#EURUSD#Month Wise Rates#0#S#PillarDate14</stp>
        <tr r="K2" s="19"/>
      </tp>
      <tp t="s">
        <v>24-May-2021</v>
        <stp/>
        <stp>FWRC1#EURUSD#Month Wise Rates#0#S#PillarDate17</stp>
        <tr r="N2" s="19"/>
      </tp>
      <tp t="s">
        <v>26-Apr-2021</v>
        <stp/>
        <stp>FWRC1#EURUSD#Month Wise Rates#0#S#PillarDate16</stp>
        <tr r="M2" s="19"/>
      </tp>
      <tp t="s">
        <v>24-Nov-2020</v>
        <stp/>
        <stp>FWRC1#EURUSD#Month Wise Rates#0#S#PillarDate11</stp>
        <tr r="H2" s="19"/>
      </tp>
      <tp t="s">
        <v>26-Oct-2020</v>
        <stp/>
        <stp>FWRC1#EURUSD#Month Wise Rates#0#S#PillarDate10</stp>
        <tr r="G2" s="19"/>
      </tp>
      <tp t="s">
        <v>25-Jan-2021</v>
        <stp/>
        <stp>FWRC1#EURUSD#Month Wise Rates#0#S#PillarDate13</stp>
        <tr r="J2" s="19"/>
      </tp>
      <tp t="s">
        <v>24-Dec-2020</v>
        <stp/>
        <stp>FWRC1#EURUSD#Month Wise Rates#0#S#PillarDate12</stp>
        <tr r="I2" s="19"/>
      </tp>
      <tp>
        <v>86.6126</v>
        <stp/>
        <stp>FWRC1#EURINR#Month End Rates#0#FwdOutrightBid8</stp>
        <tr r="H7" s="16"/>
      </tp>
      <tp>
        <v>86.939099999999996</v>
        <stp/>
        <stp>FWRC1#EURINR#Month End Rates#0#FwdOutrightBid9</stp>
        <tr r="I7" s="16"/>
      </tp>
      <tp>
        <v>85.340500000000006</v>
        <stp/>
        <stp>FWRC1#EURINR#Month End Rates#0#FwdOutrightBid4</stp>
        <tr r="D7" s="16"/>
      </tp>
      <tp>
        <v>85.646900000000002</v>
        <stp/>
        <stp>FWRC1#EURINR#Month End Rates#0#FwdOutrightBid5</stp>
        <tr r="E7" s="16"/>
      </tp>
      <tp>
        <v>85.977000000000004</v>
        <stp/>
        <stp>FWRC1#EURINR#Month End Rates#0#FwdOutrightBid6</stp>
        <tr r="F7" s="16"/>
      </tp>
      <tp>
        <v>86.295400000000001</v>
        <stp/>
        <stp>FWRC1#EURINR#Month End Rates#0#FwdOutrightBid7</stp>
        <tr r="G7" s="16"/>
      </tp>
      <tp>
        <v>85.261399999999995</v>
        <stp/>
        <stp>FWRC1#EURINR#Month End Rates#0#FwdOutrightBid1</stp>
        <tr r="D2" s="5"/>
        <tr r="C7" s="16"/>
      </tp>
      <tp>
        <v>85.274299999999997</v>
        <stp/>
        <stp>FWRC1#EURINR#Month End Rates#0#FwdOutrightBid3</stp>
        <tr r="F2" s="5"/>
      </tp>
      <tp>
        <v>-11.16</v>
        <stp/>
        <stp>12#1#1#6069#FUSDSGD\05M#LTP</stp>
        <tr r="G33" s="23"/>
      </tp>
      <tp>
        <v>-8.57</v>
        <stp/>
        <stp>12#1#1#6069#FUSDSGD\04M#LTP</stp>
        <tr r="F33" s="23"/>
      </tp>
      <tp>
        <v>-12.9268</v>
        <stp/>
        <stp>12#1#1#6069#FUSDSGD\07M#LTP</stp>
        <tr r="I33" s="23"/>
      </tp>
      <tp>
        <v>-11.44</v>
        <stp/>
        <stp>12#1#1#6069#FUSDSGD\06M#LTP</stp>
        <tr r="H33" s="23"/>
      </tp>
      <tp>
        <v>-0.81</v>
        <stp/>
        <stp>12#1#1#6069#FUSDSGD\01M#LTP</stp>
        <tr r="C33" s="23"/>
      </tp>
      <tp>
        <v>-7.75</v>
        <stp/>
        <stp>12#1#1#6069#FUSDSGD\03M#LTP</stp>
        <tr r="E33" s="23"/>
      </tp>
      <tp>
        <v>-5.0999999999999996</v>
        <stp/>
        <stp>12#1#1#6069#FUSDSGD\02M#LTP</stp>
        <tr r="D33" s="23"/>
      </tp>
      <tp>
        <v>-16.2</v>
        <stp/>
        <stp>12#1#1#6069#FUSDSGD\09M#LTP</stp>
        <tr r="K33" s="23"/>
      </tp>
      <tp>
        <v>-14.5198</v>
        <stp/>
        <stp>12#1#1#6069#FUSDSGD\08M#LTP</stp>
        <tr r="J33" s="23"/>
      </tp>
      <tp>
        <v>3.5398999999999998</v>
        <stp/>
        <stp>FWRC1#USDINR#Month Wise Rates#0#Ask%8</stp>
        <tr r="E11" s="15"/>
      </tp>
      <tp>
        <v>3.6112000000000002</v>
        <stp/>
        <stp>FWRC1#USDINR#Month Wise Rates#0#Ask%9</stp>
        <tr r="F11" s="15"/>
      </tp>
      <tp>
        <v>3.6459999999999999</v>
        <stp/>
        <stp>FWRC1#USDINR#Month Wise Rates#0#Ask%7</stp>
        <tr r="D11" s="15"/>
      </tp>
      <tp t="s">
        <v/>
        <stp/>
        <stp>FWRC1#USDINR#Month Wise Rates#0#Ask%2</stp>
        <tr r="C11" s="15"/>
      </tp>
      <tp>
        <v>0.19439999999999999</v>
        <stp/>
        <stp>FWRC1#GBPUSD#Month Wise Rates#0#Bid%9</stp>
        <tr r="F10" s="20"/>
      </tp>
      <tp>
        <v>0.2019</v>
        <stp/>
        <stp>FWRC1#GBPUSD#Month Wise Rates#0#Bid%8</stp>
        <tr r="E10" s="20"/>
      </tp>
      <tp>
        <v>5.8599999999999999E-2</v>
        <stp/>
        <stp>FWRC1#GBPUSD#Month Wise Rates#0#Bid%2</stp>
        <tr r="C10" s="20"/>
      </tp>
      <tp>
        <v>0.2238</v>
        <stp/>
        <stp>FWRC1#GBPUSD#Month Wise Rates#0#Bid%7</stp>
        <tr r="D10" s="20"/>
      </tp>
      <tp t="s">
        <v>12M</v>
        <stp/>
        <stp>FWRC1#USDINR#Month Wise Rates#0#S#Desc.18</stp>
        <tr r="O1" s="15"/>
      </tp>
      <tp t="s">
        <v>9M</v>
        <stp/>
        <stp>FWRC1#USDINR#Month Wise Rates#0#S#Desc.15</stp>
        <tr r="L1" s="15"/>
      </tp>
      <tp t="s">
        <v>8M</v>
        <stp/>
        <stp>FWRC1#USDINR#Month Wise Rates#0#S#Desc.14</stp>
        <tr r="K1" s="15"/>
      </tp>
      <tp t="s">
        <v>11M</v>
        <stp/>
        <stp>FWRC1#USDINR#Month Wise Rates#0#S#Desc.17</stp>
        <tr r="N1" s="15"/>
      </tp>
      <tp t="s">
        <v>10M</v>
        <stp/>
        <stp>FWRC1#USDINR#Month Wise Rates#0#S#Desc.16</stp>
        <tr r="M1" s="15"/>
      </tp>
      <tp t="s">
        <v>5M</v>
        <stp/>
        <stp>FWRC1#USDINR#Month Wise Rates#0#S#Desc.11</stp>
        <tr r="H1" s="15"/>
      </tp>
      <tp t="s">
        <v>4M</v>
        <stp/>
        <stp>FWRC1#USDINR#Month Wise Rates#0#S#Desc.10</stp>
        <tr r="G1" s="15"/>
      </tp>
      <tp t="s">
        <v>7M</v>
        <stp/>
        <stp>FWRC1#USDINR#Month Wise Rates#0#S#Desc.13</stp>
        <tr r="J1" s="15"/>
      </tp>
      <tp t="s">
        <v>6M</v>
        <stp/>
        <stp>FWRC1#USDINR#Month Wise Rates#0#S#Desc.12</stp>
        <tr r="I1" s="15"/>
      </tp>
      <tp>
        <v>1.2456400000000001</v>
        <stp/>
        <stp>12#2#1#6031#SGBPUSD#High</stp>
        <tr r="F8" s="10"/>
        <tr r="C11" s="23"/>
      </tp>
      <tp>
        <v>-18.986799999999999</v>
        <stp/>
        <stp>12#1#1#6069#FUSDSGD\11M#LTP</stp>
        <tr r="M33" s="23"/>
      </tp>
      <tp>
        <v>-17.6204</v>
        <stp/>
        <stp>12#1#1#6069#FUSDSGD\10M#LTP</stp>
        <tr r="L33" s="23"/>
      </tp>
      <tp>
        <v>-21.5</v>
        <stp/>
        <stp>12#1#1#6069#FUSDSGD\12M#LTP</stp>
        <tr r="N33" s="23"/>
      </tp>
      <tp>
        <v>-25.79</v>
        <stp/>
        <stp>FWRC1#USDCHF#Month Wise Rates#0#Close9</stp>
        <tr r="E30" s="23"/>
      </tp>
      <tp>
        <v>-17.309999999999999</v>
        <stp/>
        <stp>FWRC1#USDCHF#Month Wise Rates#0#Close8</stp>
        <tr r="D30" s="23"/>
      </tp>
      <tp>
        <v>54.487499999999997</v>
        <stp/>
        <stp>FWRC1#SGDINR#Month Wise Rates#0#Close0</stp>
        <tr r="B26" s="23"/>
        <tr r="C26" s="23"/>
        <tr r="D26" s="23"/>
        <tr r="E26" s="23"/>
        <tr r="F26" s="23"/>
        <tr r="G26" s="23"/>
        <tr r="H26" s="23"/>
        <tr r="I26" s="23"/>
        <tr r="J26" s="23"/>
        <tr r="K26" s="23"/>
        <tr r="L26" s="23"/>
        <tr r="M26" s="23"/>
        <tr r="N26" s="23"/>
      </tp>
      <tp>
        <v>1451.4709</v>
        <stp/>
        <stp>FWRC1#SGDINR#Month Wise Rates#0#Close7</stp>
        <tr r="C26" s="23"/>
      </tp>
      <tp>
        <v>0.94730999999999999</v>
        <stp/>
        <stp>FWRC1#USDCHF#Month Wise Rates#0#Close0</stp>
        <tr r="B30" s="23"/>
        <tr r="C30" s="23"/>
        <tr r="D30" s="23"/>
        <tr r="E30" s="23"/>
        <tr r="F30" s="23"/>
        <tr r="G30" s="23"/>
        <tr r="H30" s="23"/>
        <tr r="I30" s="23"/>
        <tr r="J30" s="23"/>
        <tr r="K30" s="23"/>
        <tr r="L30" s="23"/>
        <tr r="M30" s="23"/>
        <tr r="N30" s="23"/>
      </tp>
      <tp>
        <v>4748.2689</v>
        <stp/>
        <stp>FWRC1#SGDINR#Month Wise Rates#0#Close9</stp>
        <tr r="E26" s="23"/>
      </tp>
      <tp>
        <v>2913.1902</v>
        <stp/>
        <stp>FWRC1#SGDINR#Month Wise Rates#0#Close8</stp>
        <tr r="D26" s="23"/>
      </tp>
      <tp>
        <v>-8.6</v>
        <stp/>
        <stp>FWRC1#USDCHF#Month Wise Rates#0#Close7</stp>
        <tr r="C30" s="23"/>
      </tp>
      <tp>
        <v>27377.66</v>
        <stp/>
        <stp>FWRC1#JPYINR#Month End Rates#0#BidPrice14</stp>
        <tr r="N4" s="18"/>
      </tp>
      <tp>
        <v>30033.96</v>
        <stp/>
        <stp>FWRC1#JPYINR#Month End Rates#0#BidPrice15</stp>
        <tr r="O4" s="18"/>
      </tp>
      <tp>
        <v>16490.407500000001</v>
        <stp/>
        <stp>FWRC1#JPYINR#Month End Rates#0#BidPrice10</stp>
        <tr r="J4" s="18"/>
      </tp>
      <tp>
        <v>18955.485000000001</v>
        <stp/>
        <stp>FWRC1#JPYINR#Month End Rates#0#BidPrice11</stp>
        <tr r="K4" s="18"/>
      </tp>
      <tp>
        <v>21471.797500000001</v>
        <stp/>
        <stp>FWRC1#JPYINR#Month End Rates#0#BidPrice12</stp>
        <tr r="L4" s="18"/>
      </tp>
      <tp>
        <v>24925.47</v>
        <stp/>
        <stp>FWRC1#JPYINR#Month End Rates#0#BidPrice13</stp>
        <tr r="M4" s="18"/>
      </tp>
      <tp>
        <v>27780.080000000002</v>
        <stp/>
        <stp>FWRC1#JPYINR#Month End Rates#0#AskPrice14</stp>
        <tr r="N5" s="18"/>
      </tp>
      <tp>
        <v>30341.7425</v>
        <stp/>
        <stp>FWRC1#JPYINR#Month End Rates#0#AskPrice15</stp>
        <tr r="O5" s="18"/>
      </tp>
      <tp>
        <v>21745.55</v>
        <stp/>
        <stp>FWRC1#JPYINR#Month End Rates#0#AskPrice12</stp>
        <tr r="L5" s="18"/>
      </tp>
      <tp>
        <v>25204.424999999999</v>
        <stp/>
        <stp>FWRC1#JPYINR#Month End Rates#0#AskPrice13</stp>
        <tr r="M5" s="18"/>
      </tp>
      <tp>
        <v>16778.127499999999</v>
        <stp/>
        <stp>FWRC1#JPYINR#Month End Rates#0#AskPrice10</stp>
        <tr r="J5" s="18"/>
      </tp>
      <tp>
        <v>19253.4025</v>
        <stp/>
        <stp>FWRC1#JPYINR#Month End Rates#0#AskPrice11</stp>
        <tr r="K5" s="18"/>
      </tp>
      <tp>
        <v>76.984999999999999</v>
        <stp/>
        <stp>FWRC1#USDINR#Month End Rates#0#FwdOutrightBid8</stp>
        <tr r="H7" s="14"/>
      </tp>
      <tp>
        <v>77.22</v>
        <stp/>
        <stp>FWRC1#USDINR#Month End Rates#0#FwdOutrightBid9</stp>
        <tr r="I7" s="14"/>
      </tp>
      <tp>
        <v>76.0625</v>
        <stp/>
        <stp>FWRC1#USDINR#Month End Rates#0#FwdOutrightBid4</stp>
        <tr r="D7" s="14"/>
      </tp>
      <tp>
        <v>76.282499999999999</v>
        <stp/>
        <stp>FWRC1#USDINR#Month End Rates#0#FwdOutrightBid5</stp>
        <tr r="E7" s="14"/>
      </tp>
      <tp>
        <v>76.504999999999995</v>
        <stp/>
        <stp>FWRC1#USDINR#Month End Rates#0#FwdOutrightBid6</stp>
        <tr r="F7" s="14"/>
      </tp>
      <tp>
        <v>76.745000000000005</v>
        <stp/>
        <stp>FWRC1#USDINR#Month End Rates#0#FwdOutrightBid7</stp>
        <tr r="G7" s="14"/>
      </tp>
      <tp>
        <v>76.004999999999995</v>
        <stp/>
        <stp>FWRC1#USDINR#Month End Rates#0#FwdOutrightBid1</stp>
        <tr r="C7" s="14"/>
        <tr r="D2" s="4"/>
      </tp>
      <tp>
        <v>76.015000000000001</v>
        <stp/>
        <stp>FWRC1#USDINR#Month End Rates#0#FwdOutrightBid3</stp>
        <tr r="F2" s="4"/>
      </tp>
      <tp>
        <v>56.022500000000001</v>
        <stp/>
        <stp>FWRC1#CADINR#Month Wise Rates#0#Close0</stp>
        <tr r="B24" s="23"/>
        <tr r="C24" s="23"/>
        <tr r="D24" s="23"/>
        <tr r="E24" s="23"/>
        <tr r="F24" s="23"/>
        <tr r="G24" s="23"/>
        <tr r="H24" s="23"/>
        <tr r="I24" s="23"/>
        <tr r="J24" s="23"/>
        <tr r="K24" s="23"/>
        <tr r="L24" s="23"/>
        <tr r="M24" s="23"/>
        <tr r="N24" s="23"/>
      </tp>
      <tp>
        <v>1597.1969999999999</v>
        <stp/>
        <stp>FWRC1#CADINR#Month Wise Rates#0#Close7</stp>
        <tr r="C24" s="23"/>
      </tp>
      <tp>
        <v>5099.6623</v>
        <stp/>
        <stp>FWRC1#CADINR#Month Wise Rates#0#Close9</stp>
        <tr r="E24" s="23"/>
      </tp>
      <tp>
        <v>3249.8000999999999</v>
        <stp/>
        <stp>FWRC1#CADINR#Month Wise Rates#0#Close8</stp>
        <tr r="D24" s="23"/>
      </tp>
      <tp>
        <v>0.69113000000000002</v>
        <stp/>
        <stp>12#2#1#5903#SAUDUSD#High</stp>
        <tr r="C15" s="23"/>
      </tp>
      <tp>
        <v>1.1269899999999999</v>
        <stp/>
        <stp>12#2#1#5949#SEURUSD#High</stp>
        <tr r="F7" s="10"/>
        <tr r="C10" s="23"/>
      </tp>
      <tp>
        <v>1.3630100000000001</v>
        <stp/>
        <stp>12#2#1#6069#SUSDCAD#High</stp>
        <tr r="C14" s="23"/>
      </tp>
      <tp>
        <v>22362.482499999998</v>
        <stp/>
        <stp>FWRC1#GBPINR#Month End Rates#0#Close11</stp>
        <tr r="J21" s="23"/>
      </tp>
      <tp>
        <v>19482.552500000002</v>
        <stp/>
        <stp>FWRC1#GBPINR#Month End Rates#0#Close10</stp>
        <tr r="I21" s="23"/>
      </tp>
      <tp>
        <v>29335.607499999998</v>
        <stp/>
        <stp>FWRC1#GBPINR#Month End Rates#0#Close13</stp>
        <tr r="L21" s="23"/>
      </tp>
      <tp>
        <v>25348.945</v>
        <stp/>
        <stp>FWRC1#GBPINR#Month End Rates#0#Close12</stp>
        <tr r="K21" s="23"/>
      </tp>
      <tp>
        <v>35260.004999999997</v>
        <stp/>
        <stp>FWRC1#GBPINR#Month End Rates#0#Close15</stp>
        <tr r="N21" s="23"/>
      </tp>
      <tp>
        <v>32369.55</v>
        <stp/>
        <stp>FWRC1#GBPINR#Month End Rates#0#Close14</stp>
        <tr r="M21" s="23"/>
      </tp>
      <tp>
        <v>72.121300000000005</v>
        <stp/>
        <stp>FWRC1#JPYINR#Month End Rates#0#FwdOutrightBid8</stp>
        <tr r="H7" s="18"/>
      </tp>
      <tp>
        <v>72.381299999999996</v>
        <stp/>
        <stp>FWRC1#JPYINR#Month End Rates#0#FwdOutrightBid9</stp>
        <tr r="I7" s="18"/>
      </tp>
      <tp>
        <v>71.127399999999994</v>
        <stp/>
        <stp>FWRC1#JPYINR#Month End Rates#0#FwdOutrightBid4</stp>
        <tr r="D7" s="18"/>
      </tp>
      <tp>
        <v>71.364699999999999</v>
        <stp/>
        <stp>FWRC1#JPYINR#Month End Rates#0#FwdOutrightBid5</stp>
        <tr r="E7" s="18"/>
      </tp>
      <tp>
        <v>71.623900000000006</v>
        <stp/>
        <stp>FWRC1#JPYINR#Month End Rates#0#FwdOutrightBid6</stp>
        <tr r="F7" s="18"/>
      </tp>
      <tp>
        <v>71.872699999999995</v>
        <stp/>
        <stp>FWRC1#JPYINR#Month End Rates#0#FwdOutrightBid7</stp>
        <tr r="G7" s="18"/>
      </tp>
      <tp>
        <v>71.063800000000001</v>
        <stp/>
        <stp>FWRC1#JPYINR#Month End Rates#0#FwdOutrightBid1</stp>
        <tr r="D2" s="7"/>
        <tr r="C7" s="18"/>
      </tp>
      <tp>
        <v>71.074600000000004</v>
        <stp/>
        <stp>FWRC1#JPYINR#Month End Rates#0#FwdOutrightBid3</stp>
        <tr r="F2" s="7"/>
      </tp>
      <tp>
        <v>23.85</v>
        <stp/>
        <stp>FWRC1#EURUSD#Month Wise Rates#0#Close9</stp>
        <tr r="E27" s="23"/>
      </tp>
      <tp>
        <v>15.71</v>
        <stp/>
        <stp>FWRC1#EURUSD#Month Wise Rates#0#Close8</stp>
        <tr r="D27" s="23"/>
      </tp>
      <tp>
        <v>7.75</v>
        <stp/>
        <stp>FWRC1#EURUSD#Month Wise Rates#0#Close7</stp>
        <tr r="C27" s="23"/>
      </tp>
      <tp>
        <v>1.1258999999999999</v>
        <stp/>
        <stp>FWRC1#EURUSD#Month Wise Rates#0#Close0</stp>
        <tr r="B27" s="23"/>
        <tr r="C27" s="23"/>
        <tr r="D27" s="23"/>
        <tr r="E27" s="23"/>
        <tr r="F27" s="23"/>
        <tr r="G27" s="23"/>
        <tr r="H27" s="23"/>
        <tr r="I27" s="23"/>
        <tr r="J27" s="23"/>
        <tr r="K27" s="23"/>
        <tr r="L27" s="23"/>
        <tr r="M27" s="23"/>
        <tr r="N27" s="23"/>
      </tp>
      <tp>
        <v>0.89</v>
        <stp/>
        <stp>FWRC1#AUDUSD#Month Wise Rates#0#Close9</stp>
        <tr r="E32" s="23"/>
      </tp>
      <tp>
        <v>0.71</v>
        <stp/>
        <stp>FWRC1#AUDUSD#Month Wise Rates#0#Close8</stp>
        <tr r="D32" s="23"/>
      </tp>
      <tp>
        <v>0.55000000000000004</v>
        <stp/>
        <stp>FWRC1#AUDUSD#Month Wise Rates#0#Close7</stp>
        <tr r="C32" s="23"/>
      </tp>
      <tp>
        <v>0.6905</v>
        <stp/>
        <stp>FWRC1#AUDUSD#Month Wise Rates#0#Close0</stp>
        <tr r="B32" s="23"/>
        <tr r="C32" s="23"/>
        <tr r="D32" s="23"/>
        <tr r="E32" s="23"/>
        <tr r="F32" s="23"/>
        <tr r="G32" s="23"/>
        <tr r="H32" s="23"/>
        <tr r="I32" s="23"/>
        <tr r="J32" s="23"/>
        <tr r="K32" s="23"/>
        <tr r="L32" s="23"/>
        <tr r="M32" s="23"/>
        <tr r="N32" s="23"/>
      </tp>
      <tp>
        <v>0.50024999999999997</v>
        <stp/>
        <stp>47#5#1#5629#GBP1Y.LIBOR#LTP</stp>
        <tr r="P38" s="23"/>
        <tr r="I4" s="8"/>
      </tp>
      <tp>
        <v>-0.18956999999999999</v>
        <stp/>
        <stp>47#5#1#5629#EUR1Y.LIBOR#LTP</stp>
        <tr r="P37" s="23"/>
        <tr r="I3" s="8"/>
      </tp>
      <tp>
        <v>1.2474000000000001</v>
        <stp/>
        <stp>FWRC1#GBPUSD#Month Wise Rates#0#FwdOutrightAsk18</stp>
        <tr r="O8" s="20"/>
      </tp>
      <tp>
        <v>1.246</v>
        <stp/>
        <stp>FWRC1#GBPUSD#Month Wise Rates#0#FwdOutrightAsk12</stp>
        <tr r="I8" s="20"/>
      </tp>
      <tp>
        <v>1.2468999999999999</v>
        <stp/>
        <stp>FWRC1#GBPUSD#Month Wise Rates#0#FwdOutrightAsk13</stp>
        <tr r="J8" s="20"/>
      </tp>
      <tp>
        <v>1.2464</v>
        <stp/>
        <stp>FWRC1#GBPUSD#Month Wise Rates#0#FwdOutrightAsk10</stp>
        <tr r="G8" s="20"/>
      </tp>
      <tp>
        <v>1.2462</v>
        <stp/>
        <stp>FWRC1#GBPUSD#Month Wise Rates#0#FwdOutrightAsk11</stp>
        <tr r="H8" s="20"/>
      </tp>
      <tp>
        <v>1.2471000000000001</v>
        <stp/>
        <stp>FWRC1#GBPUSD#Month Wise Rates#0#FwdOutrightAsk16</stp>
        <tr r="M8" s="20"/>
      </tp>
      <tp>
        <v>1.2474000000000001</v>
        <stp/>
        <stp>FWRC1#GBPUSD#Month Wise Rates#0#FwdOutrightAsk17</stp>
        <tr r="N8" s="20"/>
      </tp>
      <tp>
        <v>1.2467999999999999</v>
        <stp/>
        <stp>FWRC1#GBPUSD#Month Wise Rates#0#FwdOutrightAsk14</stp>
        <tr r="K8" s="20"/>
      </tp>
      <tp>
        <v>1.2472000000000001</v>
        <stp/>
        <stp>FWRC1#GBPUSD#Month Wise Rates#0#FwdOutrightAsk15</stp>
        <tr r="L8" s="20"/>
      </tp>
      <tp>
        <v>1.1362000000000001</v>
        <stp/>
        <stp>FWRC1#EURUSD#Month Wise Rates#0#FwdOutrightAsk18</stp>
        <tr r="O8" s="19"/>
      </tp>
      <tp>
        <v>1.1337999999999999</v>
        <stp/>
        <stp>FWRC1#EURUSD#Month Wise Rates#0#FwdOutrightAsk15</stp>
        <tr r="L8" s="19"/>
      </tp>
      <tp>
        <v>1.1331</v>
        <stp/>
        <stp>FWRC1#EURUSD#Month Wise Rates#0#FwdOutrightAsk14</stp>
        <tr r="K8" s="19"/>
      </tp>
      <tp>
        <v>1.1356999999999999</v>
        <stp/>
        <stp>FWRC1#EURUSD#Month Wise Rates#0#FwdOutrightAsk17</stp>
        <tr r="N8" s="19"/>
      </tp>
      <tp>
        <v>1.135</v>
        <stp/>
        <stp>FWRC1#EURUSD#Month Wise Rates#0#FwdOutrightAsk16</stp>
        <tr r="M8" s="19"/>
      </tp>
      <tp>
        <v>1.1301000000000001</v>
        <stp/>
        <stp>FWRC1#EURUSD#Month Wise Rates#0#FwdOutrightAsk11</stp>
        <tr r="H8" s="19"/>
      </tp>
      <tp>
        <v>1.1294</v>
        <stp/>
        <stp>FWRC1#EURUSD#Month Wise Rates#0#FwdOutrightAsk10</stp>
        <tr r="G8" s="19"/>
      </tp>
      <tp>
        <v>1.1324000000000001</v>
        <stp/>
        <stp>FWRC1#EURUSD#Month Wise Rates#0#FwdOutrightAsk13</stp>
        <tr r="J8" s="19"/>
      </tp>
      <tp>
        <v>1.1309</v>
        <stp/>
        <stp>FWRC1#EURUSD#Month Wise Rates#0#FwdOutrightAsk12</stp>
        <tr r="I8" s="19"/>
      </tp>
      <tp>
        <v>-9.9830000000000002E-2</v>
        <stp/>
        <stp>47#5#1#5629#JPY1W.LIBOR#LTP</stp>
        <tr r="C39" s="23"/>
      </tp>
      <tp>
        <v>0.11071</v>
        <stp/>
        <stp>47#5#1#5629#JPY2W.LIBOR#LTP</stp>
        <tr r="D39" s="23"/>
      </tp>
      <tp>
        <v>0.83313000000000004</v>
        <stp/>
        <stp>47#5#1#5629#GBP11M.LIBOR#LTP</stp>
        <tr r="O38" s="23"/>
      </tp>
      <tp>
        <v>0.77937999999999996</v>
        <stp/>
        <stp>47#5#1#5629#GBP10M.LIBOR#LTP</stp>
        <tr r="N38" s="23"/>
      </tp>
      <tp t="s">
        <v>SGDINRCOMP</v>
        <stp/>
        <stp>17#3#1#6041#SGDINRCOMP#S#Descr.</stp>
        <tr r="A9" s="23"/>
        <tr r="A26" s="23"/>
      </tp>
      <tp>
        <v>8894.7692000000006</v>
        <stp/>
        <stp>FWRC1#GBPINR#Month Wise Rates#0#BidPrice9</stp>
        <tr r="G6" s="22"/>
      </tp>
      <tp>
        <v>5654.2889999999998</v>
        <stp/>
        <stp>FWRC1#GBPINR#Month Wise Rates#0#BidPrice8</stp>
        <tr r="G5" s="22"/>
      </tp>
      <tp>
        <v>94.462500000000006</v>
        <stp/>
        <stp>FWRC1#GBPINR#Month Wise Rates#0#BidPrice0</stp>
        <tr r="G3" s="22"/>
      </tp>
      <tp>
        <v>2753.4128999999998</v>
        <stp/>
        <stp>FWRC1#GBPINR#Month Wise Rates#0#BidPrice7</stp>
        <tr r="G4" s="22"/>
      </tp>
      <tp t="s">
        <v>USDINRCOMP</v>
        <stp/>
        <stp>17#1#1#6069#USDINRCOMP#S#Descr.</stp>
        <tr r="A2" s="23"/>
        <tr r="A19" s="23"/>
      </tp>
      <tp>
        <v>7.5249999999999997E-2</v>
        <stp/>
        <stp>47#5#1#5629#USDON.LIBOR#LTP</stp>
        <tr r="B36" s="23"/>
      </tp>
      <tp>
        <v>27.75</v>
        <stp/>
        <stp>FWRC1#USDINR#Month End Rates#0#AskPrice5</stp>
        <tr r="E5" s="14"/>
      </tp>
      <tp>
        <v>50</v>
        <stp/>
        <stp>FWRC1#USDINR#Month End Rates#0#AskPrice6</stp>
        <tr r="F5" s="14"/>
      </tp>
      <tp>
        <v>74</v>
        <stp/>
        <stp>FWRC1#USDINR#Month End Rates#0#AskPrice7</stp>
        <tr r="G5" s="14"/>
      </tp>
      <tp>
        <v>76.034999999999997</v>
        <stp/>
        <stp>FWRC1#USDINR#Month End Rates#0#AskPrice0</stp>
        <tr r="B3" s="4"/>
      </tp>
      <tp>
        <v>2</v>
        <stp/>
        <stp>FWRC1#USDINR#Month End Rates#0#AskPrice2</stp>
        <tr r="C3" s="4"/>
      </tp>
      <tp>
        <v>1</v>
        <stp/>
        <stp>FWRC1#USDINR#Month End Rates#0#AskPrice3</stp>
        <tr r="E3" s="4"/>
      </tp>
      <tp>
        <v>98</v>
        <stp/>
        <stp>FWRC1#USDINR#Month End Rates#0#AskPrice8</stp>
        <tr r="H5" s="14"/>
      </tp>
      <tp>
        <v>121.5</v>
        <stp/>
        <stp>FWRC1#USDINR#Month End Rates#0#AskPrice9</stp>
        <tr r="I5" s="14"/>
      </tp>
      <tp>
        <v>0.36725999999999998</v>
        <stp/>
        <stp>47#5#1#5629#USD5M.LIBOR#LTP</stp>
        <tr r="I36" s="23"/>
        <tr r="F2" s="8"/>
      </tp>
      <tp>
        <v>0.31709999999999999</v>
        <stp/>
        <stp>47#5#1#5629#USD4M.LIBOR#LTP</stp>
        <tr r="H36" s="23"/>
        <tr r="E2" s="8"/>
      </tp>
      <tp>
        <v>0.46740999999999999</v>
        <stp/>
        <stp>47#5#1#5629#USD7M.LIBOR#LTP</stp>
        <tr r="K36" s="23"/>
      </tp>
      <tp>
        <v>0.41449999999999998</v>
        <stp/>
        <stp>47#5#1#5629#USD6M.LIBOR#LTP</stp>
        <tr r="J36" s="23"/>
        <tr r="G2" s="8"/>
      </tp>
      <tp>
        <v>0.19012999999999999</v>
        <stp/>
        <stp>47#5#1#5629#USD1M.LIBOR#LTP</stp>
        <tr r="E36" s="23"/>
        <tr r="B2" s="8"/>
      </tp>
      <tp>
        <v>0.30513000000000001</v>
        <stp/>
        <stp>47#5#1#5629#USD3M.LIBOR#LTP</stp>
        <tr r="G36" s="23"/>
        <tr r="D2" s="8"/>
      </tp>
      <tp>
        <v>0.26700000000000002</v>
        <stp/>
        <stp>47#5#1#5629#USD2M.LIBOR#LTP</stp>
        <tr r="F36" s="23"/>
        <tr r="C2" s="8"/>
      </tp>
      <tp>
        <v>0.55079999999999996</v>
        <stp/>
        <stp>47#5#1#5629#USD9M.LIBOR#LTP</stp>
        <tr r="M36" s="23"/>
        <tr r="H2" s="8"/>
      </tp>
      <tp>
        <v>0.51214999999999999</v>
        <stp/>
        <stp>47#5#1#5629#USD8M.LIBOR#LTP</stp>
        <tr r="L36" s="23"/>
      </tp>
      <tp>
        <v>3545.5549999999998</v>
        <stp/>
        <stp>FWRC1#GBPINR#Month End Rates#0#AskPrice5</stp>
        <tr r="E5" s="17"/>
      </tp>
      <tp>
        <v>549.99</v>
        <stp/>
        <stp>FWRC1#GBPINR#Month End Rates#0#AskPrice4</stp>
        <tr r="D5" s="17"/>
      </tp>
      <tp>
        <v>9769.2474999999995</v>
        <stp/>
        <stp>FWRC1#GBPINR#Month End Rates#0#AskPrice7</stp>
        <tr r="G5" s="17"/>
      </tp>
      <tp>
        <v>6725.2425000000003</v>
        <stp/>
        <stp>FWRC1#GBPINR#Month End Rates#0#AskPrice6</stp>
        <tr r="F5" s="17"/>
      </tp>
      <tp>
        <v>94.512500000000003</v>
        <stp/>
        <stp>FWRC1#GBPINR#Month End Rates#0#AskPrice0</stp>
        <tr r="B3" s="6"/>
      </tp>
      <tp>
        <v>130.33199999999999</v>
        <stp/>
        <stp>FWRC1#GBPINR#Month End Rates#0#AskPrice3</stp>
        <tr r="E3" s="6"/>
      </tp>
      <tp>
        <v>261.31630000000001</v>
        <stp/>
        <stp>FWRC1#GBPINR#Month End Rates#0#AskPrice2</stp>
        <tr r="C3" s="6"/>
        <tr r="C5" s="17"/>
      </tp>
      <tp>
        <v>15799.272499999999</v>
        <stp/>
        <stp>FWRC1#GBPINR#Month End Rates#0#AskPrice9</stp>
        <tr r="I5" s="17"/>
      </tp>
      <tp>
        <v>12770.285</v>
        <stp/>
        <stp>FWRC1#GBPINR#Month End Rates#0#AskPrice8</stp>
        <tr r="H5" s="17"/>
      </tp>
      <tp>
        <v>2.6132</v>
        <stp/>
        <stp>FWRC1#EURINR#Month End Rates#0#AskPrice2</stp>
        <tr r="C5" s="16"/>
        <tr r="C3" s="5"/>
      </tp>
      <tp>
        <v>1.3194999999999999</v>
        <stp/>
        <stp>FWRC1#EURINR#Month End Rates#0#AskPrice3</stp>
        <tr r="E3" s="5"/>
      </tp>
      <tp>
        <v>85.3</v>
        <stp/>
        <stp>FWRC1#EURINR#Month End Rates#0#AskPrice0</stp>
        <tr r="B3" s="5"/>
      </tp>
      <tp>
        <v>70.614999999999995</v>
        <stp/>
        <stp>FWRC1#EURINR#Month End Rates#0#AskPrice6</stp>
        <tr r="F5" s="16"/>
      </tp>
      <tp>
        <v>102.905</v>
        <stp/>
        <stp>FWRC1#EURINR#Month End Rates#0#AskPrice7</stp>
        <tr r="G5" s="16"/>
      </tp>
      <tp>
        <v>5.7324999999999999</v>
        <stp/>
        <stp>FWRC1#EURINR#Month End Rates#0#AskPrice4</stp>
        <tr r="D5" s="16"/>
      </tp>
      <tp>
        <v>37.322499999999998</v>
        <stp/>
        <stp>FWRC1#EURINR#Month End Rates#0#AskPrice5</stp>
        <tr r="E5" s="16"/>
      </tp>
      <tp>
        <v>134.7175</v>
        <stp/>
        <stp>FWRC1#EURINR#Month End Rates#0#AskPrice8</stp>
        <tr r="H5" s="16"/>
      </tp>
      <tp>
        <v>167.69499999999999</v>
        <stp/>
        <stp>FWRC1#EURINR#Month End Rates#0#AskPrice9</stp>
        <tr r="I5" s="16"/>
      </tp>
      <tp>
        <v>8106.1075000000001</v>
        <stp/>
        <stp>FWRC1#JPYINR#Month End Rates#0#AskPrice7</stp>
        <tr r="G5" s="18"/>
      </tp>
      <tp>
        <v>5538.92</v>
        <stp/>
        <stp>FWRC1#JPYINR#Month End Rates#0#AskPrice6</stp>
        <tr r="F5" s="18"/>
      </tp>
      <tp>
        <v>2921.1750000000002</v>
        <stp/>
        <stp>FWRC1#JPYINR#Month End Rates#0#AskPrice5</stp>
        <tr r="E5" s="18"/>
      </tp>
      <tp>
        <v>459.01749999999998</v>
        <stp/>
        <stp>FWRC1#JPYINR#Month End Rates#0#AskPrice4</stp>
        <tr r="D5" s="18"/>
      </tp>
      <tp>
        <v>103.5031</v>
        <stp/>
        <stp>FWRC1#JPYINR#Month End Rates#0#AskPrice3</stp>
        <tr r="E3" s="7"/>
      </tp>
      <tp>
        <v>211.67269999999999</v>
        <stp/>
        <stp>FWRC1#JPYINR#Month End Rates#0#AskPrice2</stp>
        <tr r="C3" s="7"/>
        <tr r="C5" s="18"/>
      </tp>
      <tp>
        <v>71.12</v>
        <stp/>
        <stp>FWRC1#JPYINR#Month End Rates#0#AskPrice0</stp>
        <tr r="B3" s="7"/>
      </tp>
      <tp>
        <v>13198.5</v>
        <stp/>
        <stp>FWRC1#JPYINR#Month End Rates#0#AskPrice9</stp>
        <tr r="I5" s="18"/>
      </tp>
      <tp>
        <v>10608.1175</v>
        <stp/>
        <stp>FWRC1#JPYINR#Month End Rates#0#AskPrice8</stp>
        <tr r="H5" s="18"/>
      </tp>
      <tp>
        <v>94.293400000000005</v>
        <stp/>
        <stp>FWRC1#EURINR#Month Wise Rates#0#BidPrice9</stp>
        <tr r="E6" s="22"/>
      </tp>
      <tp>
        <v>60.215400000000002</v>
        <stp/>
        <stp>FWRC1#EURINR#Month Wise Rates#0#BidPrice8</stp>
        <tr r="E5" s="22"/>
      </tp>
      <tp>
        <v>85.287499999999994</v>
        <stp/>
        <stp>FWRC1#EURINR#Month Wise Rates#0#BidPrice0</stp>
        <tr r="E3" s="22"/>
      </tp>
      <tp>
        <v>29.1234</v>
        <stp/>
        <stp>FWRC1#EURINR#Month Wise Rates#0#BidPrice7</stp>
        <tr r="E4" s="22"/>
      </tp>
      <tp>
        <v>71.12</v>
        <stp/>
        <stp>FWRC1#JPYINR#Month Wise Rates#0#AskPrice0</stp>
        <tr r="J3" s="22"/>
      </tp>
      <tp>
        <v>2524.59</v>
        <stp/>
        <stp>FWRC1#JPYINR#Month Wise Rates#0#AskPrice7</stp>
        <tr r="J4" s="22"/>
      </tp>
      <tp>
        <v>7575.2887000000001</v>
        <stp/>
        <stp>FWRC1#JPYINR#Month Wise Rates#0#AskPrice9</stp>
        <tr r="J6" s="22"/>
      </tp>
      <tp>
        <v>4894.9422000000004</v>
        <stp/>
        <stp>FWRC1#JPYINR#Month Wise Rates#0#AskPrice8</stp>
        <tr r="J5" s="22"/>
      </tp>
      <tp>
        <v>-0.22</v>
        <stp/>
        <stp>17#1#1#6069#USDINRCOMP#%Chg</stp>
        <tr r="D3" s="10"/>
      </tp>
      <tp>
        <v>0</v>
        <stp/>
        <stp>17#3#1#5949#EURINRCOMP#52WkHigh</stp>
        <tr r="J4" s="10"/>
        <tr r="I4" s="10"/>
      </tp>
      <tp>
        <v>-10.16</v>
        <stp/>
        <stp>FWRC1#USDJPY#Month Wise Rates#0#AskPrice8</stp>
        <tr r="E5" s="21"/>
        <tr r="P5" s="22"/>
      </tp>
      <tp>
        <v>-15.33</v>
        <stp/>
        <stp>FWRC1#USDJPY#Month Wise Rates#0#AskPrice9</stp>
        <tr r="F5" s="21"/>
        <tr r="P6" s="22"/>
      </tp>
      <tp>
        <v>-5.99</v>
        <stp/>
        <stp>FWRC1#USDJPY#Month Wise Rates#0#AskPrice7</stp>
        <tr r="D5" s="21"/>
        <tr r="P4" s="22"/>
      </tp>
      <tp>
        <v>-0.1</v>
        <stp/>
        <stp>FWRC1#USDJPY#Month Wise Rates#0#AskPrice2</stp>
        <tr r="C5" s="21"/>
      </tp>
      <tp>
        <v>106.869</v>
        <stp/>
        <stp>FWRC1#USDJPY#Month Wise Rates#0#AskPrice0</stp>
        <tr r="P3" s="22"/>
      </tp>
      <tp>
        <v>0</v>
        <stp/>
        <stp>17#3#1#5978#JPYINRCOMP#52WkHigh</stp>
        <tr r="I6" s="10"/>
      </tp>
      <tp>
        <v>-15.58</v>
        <stp/>
        <stp>FWRC1#USDJPY#Month Wise Rates#0#BidPrice9</stp>
        <tr r="O6" s="22"/>
        <tr r="F4" s="21"/>
      </tp>
      <tp>
        <v>-10.45</v>
        <stp/>
        <stp>FWRC1#USDJPY#Month Wise Rates#0#BidPrice8</stp>
        <tr r="E4" s="21"/>
        <tr r="O5" s="22"/>
      </tp>
      <tp>
        <v>-6.09</v>
        <stp/>
        <stp>FWRC1#USDJPY#Month Wise Rates#0#BidPrice7</stp>
        <tr r="D4" s="21"/>
        <tr r="O4" s="22"/>
      </tp>
      <tp>
        <v>106.855</v>
        <stp/>
        <stp>FWRC1#USDJPY#Month Wise Rates#0#BidPrice0</stp>
        <tr r="O3" s="22"/>
      </tp>
      <tp>
        <v>-0.18</v>
        <stp/>
        <stp>FWRC1#USDJPY#Month Wise Rates#0#BidPrice2</stp>
        <tr r="C4" s="21"/>
      </tp>
      <tp>
        <v>72</v>
        <stp/>
        <stp>FWRC1#USDINR#Month End Rates#0#BidPrice7</stp>
        <tr r="G4" s="14"/>
      </tp>
      <tp>
        <v>48</v>
        <stp/>
        <stp>FWRC1#USDINR#Month End Rates#0#BidPrice6</stp>
        <tr r="F4" s="14"/>
      </tp>
      <tp>
        <v>25.75</v>
        <stp/>
        <stp>FWRC1#USDINR#Month End Rates#0#BidPrice5</stp>
        <tr r="E4" s="14"/>
      </tp>
      <tp>
        <v>3.75</v>
        <stp/>
        <stp>FWRC1#USDINR#Month End Rates#0#BidPrice4</stp>
        <tr r="D4" s="14"/>
        <tr r="D5" s="14"/>
      </tp>
      <tp>
        <v>0.5</v>
        <stp/>
        <stp>FWRC1#USDINR#Month End Rates#0#BidPrice3</stp>
        <tr r="E2" s="4"/>
      </tp>
      <tp>
        <v>1</v>
        <stp/>
        <stp>FWRC1#USDINR#Month End Rates#0#BidPrice2</stp>
        <tr r="C5" s="14"/>
        <tr r="C4" s="14"/>
        <tr r="C2" s="4"/>
      </tp>
      <tp>
        <v>76.025000000000006</v>
        <stp/>
        <stp>FWRC1#USDINR#Month End Rates#0#BidPrice0</stp>
        <tr r="B2" s="4"/>
      </tp>
      <tp>
        <v>119.5</v>
        <stp/>
        <stp>FWRC1#USDINR#Month End Rates#0#BidPrice9</stp>
        <tr r="I4" s="14"/>
      </tp>
      <tp>
        <v>96</v>
        <stp/>
        <stp>FWRC1#USDINR#Month End Rates#0#BidPrice8</stp>
        <tr r="H4" s="14"/>
      </tp>
      <tp>
        <v>6503.7025000000003</v>
        <stp/>
        <stp>FWRC1#GBPINR#Month End Rates#0#BidPrice6</stp>
        <tr r="F4" s="17"/>
      </tp>
      <tp>
        <v>9518.5349999999999</v>
        <stp/>
        <stp>FWRC1#GBPINR#Month End Rates#0#BidPrice7</stp>
        <tr r="G4" s="17"/>
      </tp>
      <tp>
        <v>500.62</v>
        <stp/>
        <stp>FWRC1#GBPINR#Month End Rates#0#BidPrice4</stp>
        <tr r="D4" s="17"/>
      </tp>
      <tp>
        <v>3374.335</v>
        <stp/>
        <stp>FWRC1#GBPINR#Month End Rates#0#BidPrice5</stp>
        <tr r="E4" s="17"/>
      </tp>
      <tp>
        <v>127.21980000000001</v>
        <stp/>
        <stp>FWRC1#GBPINR#Month End Rates#0#BidPrice2</stp>
        <tr r="C4" s="17"/>
        <tr r="C2" s="6"/>
      </tp>
      <tp>
        <v>63.633899999999997</v>
        <stp/>
        <stp>FWRC1#GBPINR#Month End Rates#0#BidPrice3</stp>
        <tr r="E2" s="6"/>
      </tp>
      <tp>
        <v>94.462500000000006</v>
        <stp/>
        <stp>FWRC1#GBPINR#Month End Rates#0#BidPrice0</stp>
        <tr r="B2" s="6"/>
      </tp>
      <tp>
        <v>12491.102500000001</v>
        <stp/>
        <stp>FWRC1#GBPINR#Month End Rates#0#BidPrice8</stp>
        <tr r="H4" s="17"/>
      </tp>
      <tp>
        <v>15502.6</v>
        <stp/>
        <stp>FWRC1#GBPINR#Month End Rates#0#BidPrice9</stp>
        <tr r="I4" s="17"/>
      </tp>
      <tp>
        <v>85.287499999999994</v>
        <stp/>
        <stp>FWRC1#EURINR#Month End Rates#0#BidPrice0</stp>
        <tr r="B2" s="5"/>
      </tp>
      <tp>
        <v>0.69769999999999999</v>
        <stp/>
        <stp>FWRC1#EURINR#Month End Rates#0#BidPrice3</stp>
        <tr r="E2" s="5"/>
      </tp>
      <tp>
        <v>1.4076</v>
        <stp/>
        <stp>FWRC1#EURINR#Month End Rates#0#BidPrice2</stp>
        <tr r="C2" s="5"/>
        <tr r="C4" s="16"/>
      </tp>
      <tp>
        <v>35.935000000000002</v>
        <stp/>
        <stp>FWRC1#EURINR#Month End Rates#0#BidPrice5</stp>
        <tr r="E4" s="16"/>
      </tp>
      <tp>
        <v>5.2949999999999999</v>
        <stp/>
        <stp>FWRC1#EURINR#Month End Rates#0#BidPrice4</stp>
        <tr r="D4" s="16"/>
      </tp>
      <tp>
        <v>100.78749999999999</v>
        <stp/>
        <stp>FWRC1#EURINR#Month End Rates#0#BidPrice7</stp>
        <tr r="G4" s="16"/>
      </tp>
      <tp>
        <v>68.944999999999993</v>
        <stp/>
        <stp>FWRC1#EURINR#Month End Rates#0#BidPrice6</stp>
        <tr r="F4" s="16"/>
      </tp>
      <tp>
        <v>165.16249999999999</v>
        <stp/>
        <stp>FWRC1#EURINR#Month End Rates#0#BidPrice9</stp>
        <tr r="I4" s="16"/>
      </tp>
      <tp>
        <v>132.51249999999999</v>
        <stp/>
        <stp>FWRC1#EURINR#Month End Rates#0#BidPrice8</stp>
        <tr r="H4" s="16"/>
      </tp>
      <tp>
        <v>423.76</v>
        <stp/>
        <stp>FWRC1#JPYINR#Month End Rates#0#BidPrice4</stp>
        <tr r="D4" s="18"/>
      </tp>
      <tp>
        <v>2796.8449999999998</v>
        <stp/>
        <stp>FWRC1#JPYINR#Month End Rates#0#BidPrice5</stp>
        <tr r="E4" s="18"/>
      </tp>
      <tp>
        <v>5389.4949999999999</v>
        <stp/>
        <stp>FWRC1#JPYINR#Month End Rates#0#BidPrice6</stp>
        <tr r="F4" s="18"/>
      </tp>
      <tp>
        <v>7876.6450000000004</v>
        <stp/>
        <stp>FWRC1#JPYINR#Month End Rates#0#BidPrice7</stp>
        <tr r="G4" s="18"/>
      </tp>
      <tp>
        <v>71.084999999999994</v>
        <stp/>
        <stp>FWRC1#JPYINR#Month End Rates#0#BidPrice0</stp>
        <tr r="B2" s="7"/>
      </tp>
      <tp>
        <v>105.4592</v>
        <stp/>
        <stp>FWRC1#JPYINR#Month End Rates#0#BidPrice2</stp>
        <tr r="C2" s="7"/>
        <tr r="C4" s="18"/>
      </tp>
      <tp>
        <v>51.397799999999997</v>
        <stp/>
        <stp>FWRC1#JPYINR#Month End Rates#0#BidPrice3</stp>
        <tr r="E2" s="7"/>
      </tp>
      <tp>
        <v>10363.030000000001</v>
        <stp/>
        <stp>FWRC1#JPYINR#Month End Rates#0#BidPrice8</stp>
        <tr r="H4" s="18"/>
      </tp>
      <tp>
        <v>12962.5075</v>
        <stp/>
        <stp>FWRC1#JPYINR#Month End Rates#0#BidPrice9</stp>
        <tr r="I4" s="18"/>
      </tp>
      <tp>
        <v>62.540700000000001</v>
        <stp/>
        <stp>FWRC1#EURINR#Month Wise Rates#0#AskPrice8</stp>
        <tr r="F5" s="22"/>
      </tp>
      <tp>
        <v>96.575299999999999</v>
        <stp/>
        <stp>FWRC1#EURINR#Month Wise Rates#0#AskPrice9</stp>
        <tr r="F6" s="22"/>
      </tp>
      <tp>
        <v>85.3</v>
        <stp/>
        <stp>FWRC1#EURINR#Month Wise Rates#0#AskPrice0</stp>
        <tr r="F3" s="22"/>
      </tp>
      <tp>
        <v>31.522099999999998</v>
        <stp/>
        <stp>FWRC1#EURINR#Month Wise Rates#0#AskPrice7</stp>
        <tr r="F4" s="22"/>
      </tp>
      <tp>
        <v>71.084999999999994</v>
        <stp/>
        <stp>FWRC1#JPYINR#Month Wise Rates#0#BidPrice0</stp>
        <tr r="I3" s="22"/>
      </tp>
      <tp>
        <v>2330.6781999999998</v>
        <stp/>
        <stp>FWRC1#JPYINR#Month Wise Rates#0#BidPrice7</stp>
        <tr r="I4" s="22"/>
      </tp>
      <tp>
        <v>4686.6046999999999</v>
        <stp/>
        <stp>FWRC1#JPYINR#Month Wise Rates#0#BidPrice8</stp>
        <tr r="I5" s="22"/>
      </tp>
      <tp>
        <v>7370.9250000000002</v>
        <stp/>
        <stp>FWRC1#JPYINR#Month Wise Rates#0#BidPrice9</stp>
        <tr r="I6" s="22"/>
      </tp>
      <tp>
        <v>5941.1985000000004</v>
        <stp/>
        <stp>FWRC1#GBPINR#Month Wise Rates#0#AskPrice8</stp>
        <tr r="H5" s="22"/>
      </tp>
      <tp>
        <v>9197.759</v>
        <stp/>
        <stp>FWRC1#GBPINR#Month Wise Rates#0#AskPrice9</stp>
        <tr r="H6" s="22"/>
      </tp>
      <tp>
        <v>94.512500000000003</v>
        <stp/>
        <stp>FWRC1#GBPINR#Month Wise Rates#0#AskPrice0</stp>
        <tr r="H3" s="22"/>
      </tp>
      <tp>
        <v>3024.9432000000002</v>
        <stp/>
        <stp>FWRC1#GBPINR#Month Wise Rates#0#AskPrice7</stp>
        <tr r="H4" s="22"/>
      </tp>
      <tp>
        <v>1.2472000000000001</v>
        <stp/>
        <stp>FWRC1#GBPUSD#Month Wise Rates#0#FwdOutrightBid18</stp>
        <tr r="O7" s="20"/>
      </tp>
      <tp>
        <v>1.2456</v>
        <stp/>
        <stp>FWRC1#GBPUSD#Month Wise Rates#0#FwdOutrightBid11</stp>
        <tr r="H7" s="20"/>
      </tp>
      <tp>
        <v>1.2461</v>
        <stp/>
        <stp>FWRC1#GBPUSD#Month Wise Rates#0#FwdOutrightBid10</stp>
        <tr r="G7" s="20"/>
      </tp>
      <tp>
        <v>1.2462</v>
        <stp/>
        <stp>FWRC1#GBPUSD#Month Wise Rates#0#FwdOutrightBid13</stp>
        <tr r="J7" s="20"/>
      </tp>
      <tp>
        <v>1.2459</v>
        <stp/>
        <stp>FWRC1#GBPUSD#Month Wise Rates#0#FwdOutrightBid12</stp>
        <tr r="I7" s="20"/>
      </tp>
      <tp>
        <v>1.2467999999999999</v>
        <stp/>
        <stp>FWRC1#GBPUSD#Month Wise Rates#0#FwdOutrightBid15</stp>
        <tr r="L7" s="20"/>
      </tp>
      <tp>
        <v>1.2465999999999999</v>
        <stp/>
        <stp>FWRC1#GBPUSD#Month Wise Rates#0#FwdOutrightBid14</stp>
        <tr r="K7" s="20"/>
      </tp>
      <tp>
        <v>1.2471000000000001</v>
        <stp/>
        <stp>FWRC1#GBPUSD#Month Wise Rates#0#FwdOutrightBid17</stp>
        <tr r="N7" s="20"/>
      </tp>
      <tp>
        <v>1.2467999999999999</v>
        <stp/>
        <stp>FWRC1#GBPUSD#Month Wise Rates#0#FwdOutrightBid16</stp>
        <tr r="M7" s="20"/>
      </tp>
      <tp>
        <v>1.1358999999999999</v>
        <stp/>
        <stp>FWRC1#EURUSD#Month Wise Rates#0#FwdOutrightBid18</stp>
        <tr r="O7" s="19"/>
      </tp>
      <tp>
        <v>1.1344000000000001</v>
        <stp/>
        <stp>FWRC1#EURUSD#Month Wise Rates#0#FwdOutrightBid16</stp>
        <tr r="M7" s="19"/>
      </tp>
      <tp>
        <v>1.1352</v>
        <stp/>
        <stp>FWRC1#EURUSD#Month Wise Rates#0#FwdOutrightBid17</stp>
        <tr r="N7" s="19"/>
      </tp>
      <tp>
        <v>1.1328</v>
        <stp/>
        <stp>FWRC1#EURUSD#Month Wise Rates#0#FwdOutrightBid14</stp>
        <tr r="K7" s="19"/>
      </tp>
      <tp>
        <v>1.1335</v>
        <stp/>
        <stp>FWRC1#EURUSD#Month Wise Rates#0#FwdOutrightBid15</stp>
        <tr r="L7" s="19"/>
      </tp>
      <tp>
        <v>1.1308</v>
        <stp/>
        <stp>FWRC1#EURUSD#Month Wise Rates#0#FwdOutrightBid12</stp>
        <tr r="I7" s="19"/>
      </tp>
      <tp>
        <v>1.1321000000000001</v>
        <stp/>
        <stp>FWRC1#EURUSD#Month Wise Rates#0#FwdOutrightBid13</stp>
        <tr r="J7" s="19"/>
      </tp>
      <tp>
        <v>1.1293</v>
        <stp/>
        <stp>FWRC1#EURUSD#Month Wise Rates#0#FwdOutrightBid10</stp>
        <tr r="G7" s="19"/>
      </tp>
      <tp>
        <v>1.1299999999999999</v>
        <stp/>
        <stp>FWRC1#EURUSD#Month Wise Rates#0#FwdOutrightBid11</stp>
        <tr r="H7" s="19"/>
      </tp>
      <tp>
        <v>-0.53042999999999996</v>
        <stp/>
        <stp>47#5#1#5629#EUR1W.LIBOR#LTP</stp>
        <tr r="C37" s="23"/>
      </tp>
      <tp>
        <v>4.471E-2</v>
        <stp/>
        <stp>47#5#1#5629#EUR2W.LIBOR#LTP</stp>
        <tr r="D37" s="23"/>
      </tp>
      <tp>
        <v>0</v>
        <stp/>
        <stp>17#3#1#6031#GBPINRCOMP#52WkHigh</stp>
        <tr r="I5" s="10"/>
      </tp>
      <tp>
        <v>0.11383</v>
        <stp/>
        <stp>47#5#1#5629#JPY1Y.LIBOR#LTP</stp>
        <tr r="P39" s="23"/>
        <tr r="I5" s="8"/>
      </tp>
      <tp>
        <v>5.3499999999999999E-2</v>
        <stp/>
        <stp>47#5#1#5629#GBP1W.LIBOR#LTP</stp>
        <tr r="C38" s="23"/>
        <tr r="D38" s="23"/>
      </tp>
      <tp>
        <v>78.909199999999998</v>
        <stp/>
        <stp>FWRC1#USDINR#Month Wise Rates#0#FwdOutrightBid18</stp>
        <tr r="O7" s="15"/>
      </tp>
      <tp>
        <v>78.47</v>
        <stp/>
        <stp>FWRC1#USDINR#Month Wise Rates#0#FwdOutrightBid16</stp>
        <tr r="M7" s="15"/>
      </tp>
      <tp>
        <v>78.684200000000004</v>
        <stp/>
        <stp>FWRC1#USDINR#Month Wise Rates#0#FwdOutrightBid17</stp>
        <tr r="N7" s="15"/>
      </tp>
      <tp>
        <v>77.924800000000005</v>
        <stp/>
        <stp>FWRC1#USDINR#Month Wise Rates#0#FwdOutrightBid14</stp>
        <tr r="K7" s="15"/>
      </tp>
      <tp>
        <v>78.152699999999996</v>
        <stp/>
        <stp>FWRC1#USDINR#Month Wise Rates#0#FwdOutrightBid15</stp>
        <tr r="L7" s="15"/>
      </tp>
      <tp>
        <v>77.436400000000006</v>
        <stp/>
        <stp>FWRC1#USDINR#Month Wise Rates#0#FwdOutrightBid12</stp>
        <tr r="I7" s="15"/>
      </tp>
      <tp>
        <v>77.695099999999996</v>
        <stp/>
        <stp>FWRC1#USDINR#Month Wise Rates#0#FwdOutrightBid13</stp>
        <tr r="J7" s="15"/>
      </tp>
      <tp>
        <v>76.9602</v>
        <stp/>
        <stp>FWRC1#USDINR#Month Wise Rates#0#FwdOutrightBid10</stp>
        <tr r="G7" s="15"/>
      </tp>
      <tp>
        <v>77.195700000000002</v>
        <stp/>
        <stp>FWRC1#USDINR#Month Wise Rates#0#FwdOutrightBid11</stp>
        <tr r="H7" s="15"/>
      </tp>
      <tp>
        <v>-0.23</v>
        <stp/>
        <stp>17#3#1#5978#JPYINRCOMP#%Chg</stp>
        <tr r="D6" s="10"/>
      </tp>
      <tp>
        <v>0.38429000000000002</v>
        <stp/>
        <stp>47#5#1#5629#JPY10M.LIBOR#LTP</stp>
        <tr r="N39" s="23"/>
      </tp>
      <tp>
        <v>0.41143000000000002</v>
        <stp/>
        <stp>47#5#1#5629#JPY11M.LIBOR#LTP</stp>
        <tr r="O39" s="23"/>
      </tp>
      <tp>
        <v>0.57574999999999998</v>
        <stp/>
        <stp>47#5#1#5629#USD1Y.LIBOR#LTP</stp>
        <tr r="P36" s="23"/>
        <tr r="I2" s="8"/>
      </tp>
      <tp>
        <v>0.63939999999999997</v>
        <stp/>
        <stp>47#5#1#5629#USD11M.LIBOR#LTP</stp>
        <tr r="O36" s="23"/>
      </tp>
      <tp>
        <v>0.59025000000000005</v>
        <stp/>
        <stp>47#5#1#5629#USD10M.LIBOR#LTP</stp>
        <tr r="N36" s="23"/>
      </tp>
      <tp>
        <v>106.28870000000001</v>
        <stp/>
        <stp>FWRC1#USDJPY#Month Wise Rates#0#FwdOutrightBid15</stp>
        <tr r="L7" s="21"/>
      </tp>
      <tp>
        <v>106.343</v>
        <stp/>
        <stp>FWRC1#USDJPY#Month Wise Rates#0#FwdOutrightBid14</stp>
        <tr r="K7" s="21"/>
      </tp>
      <tp>
        <v>106.16289999999999</v>
        <stp/>
        <stp>FWRC1#USDJPY#Month Wise Rates#0#FwdOutrightBid17</stp>
        <tr r="N7" s="21"/>
      </tp>
      <tp>
        <v>106.2129</v>
        <stp/>
        <stp>FWRC1#USDJPY#Month Wise Rates#0#FwdOutrightBid16</stp>
        <tr r="M7" s="21"/>
      </tp>
      <tp>
        <v>106.5827</v>
        <stp/>
        <stp>FWRC1#USDJPY#Month Wise Rates#0#FwdOutrightBid11</stp>
        <tr r="H7" s="21"/>
      </tp>
      <tp>
        <v>106.6371</v>
        <stp/>
        <stp>FWRC1#USDJPY#Month Wise Rates#0#FwdOutrightBid10</stp>
        <tr r="G7" s="21"/>
      </tp>
      <tp>
        <v>106.4014</v>
        <stp/>
        <stp>FWRC1#USDJPY#Month Wise Rates#0#FwdOutrightBid13</stp>
        <tr r="J7" s="21"/>
      </tp>
      <tp>
        <v>106.5414</v>
        <stp/>
        <stp>FWRC1#USDJPY#Month Wise Rates#0#FwdOutrightBid12</stp>
        <tr r="I7" s="21"/>
      </tp>
      <tp>
        <v>106.10080000000001</v>
        <stp/>
        <stp>FWRC1#USDJPY#Month Wise Rates#0#FwdOutrightBid18</stp>
        <tr r="O7" s="21"/>
      </tp>
      <tp t="s">
        <v>JPYINRCOMP</v>
        <stp/>
        <stp>17#3#1#5978#JPYINRCOMP#S#Descr.</stp>
        <tr r="A5" s="23"/>
        <tr r="A22" s="23"/>
      </tp>
      <tp t="s">
        <v>CHFINRCOMP</v>
        <stp/>
        <stp>17#3#1#6056#CHFINRCOMP#S#Descr.</stp>
        <tr r="A6" s="23"/>
        <tr r="A23" s="23"/>
      </tp>
      <tp>
        <v>0.35499999999999998</v>
        <stp/>
        <stp>47#5#1#5629#EUR11M.LIBOR#LTP</stp>
        <tr r="O37" s="23"/>
      </tp>
      <tp>
        <v>0.32429000000000002</v>
        <stp/>
        <stp>47#5#1#5629#EUR10M.LIBOR#LTP</stp>
        <tr r="N37" s="23"/>
      </tp>
      <tp>
        <v>0.56188000000000005</v>
        <stp/>
        <stp>47#5#1#5629#GBP5M.LIBOR#LTP</stp>
        <tr r="I38" s="23"/>
        <tr r="F4" s="8"/>
      </tp>
      <tp>
        <v>0.53</v>
        <stp/>
        <stp>47#5#1#5629#GBP4M.LIBOR#LTP</stp>
        <tr r="H38" s="23"/>
        <tr r="E4" s="8"/>
      </tp>
      <tp>
        <v>0.63688</v>
        <stp/>
        <stp>47#5#1#5629#GBP7M.LIBOR#LTP</stp>
        <tr r="K38" s="23"/>
      </tp>
      <tp>
        <v>0.314</v>
        <stp/>
        <stp>47#5#1#5629#GBP6M.LIBOR#LTP</stp>
        <tr r="J38" s="23"/>
        <tr r="G4" s="8"/>
      </tp>
      <tp>
        <v>0.10263</v>
        <stp/>
        <stp>47#5#1#5629#GBP1M.LIBOR#LTP</stp>
        <tr r="E38" s="23"/>
        <tr r="B4" s="8"/>
      </tp>
      <tp>
        <v>0.16538</v>
        <stp/>
        <stp>47#5#1#5629#GBP3M.LIBOR#LTP</stp>
        <tr r="G38" s="23"/>
        <tr r="D4" s="8"/>
      </tp>
      <tp>
        <v>0.14149999999999999</v>
        <stp/>
        <stp>47#5#1#5629#GBP2M.LIBOR#LTP</stp>
        <tr r="F38" s="23"/>
        <tr r="C4" s="8"/>
      </tp>
      <tp>
        <v>0.73624999999999996</v>
        <stp/>
        <stp>47#5#1#5629#GBP9M.LIBOR#LTP</stp>
        <tr r="M38" s="23"/>
        <tr r="H4" s="8"/>
      </tp>
      <tp>
        <v>0.69438</v>
        <stp/>
        <stp>47#5#1#5629#GBP8M.LIBOR#LTP</stp>
        <tr r="L38" s="23"/>
      </tp>
      <tp>
        <v>-0.1</v>
        <stp/>
        <stp>17#3#1#6031#GBPINRCOMP#%Chg</stp>
        <tr r="D5" s="10"/>
      </tp>
      <tp>
        <v>15.97</v>
        <stp/>
        <stp>FWRC1#EURUSD#Month Wise Rates#0#AskPrice8</stp>
        <tr r="L5" s="22"/>
        <tr r="E5" s="19"/>
      </tp>
      <tp>
        <v>24.1</v>
        <stp/>
        <stp>FWRC1#EURUSD#Month Wise Rates#0#AskPrice9</stp>
        <tr r="L6" s="22"/>
        <tr r="F5" s="19"/>
      </tp>
      <tp>
        <v>1.1263000000000001</v>
        <stp/>
        <stp>FWRC1#EURUSD#Month Wise Rates#0#AskPrice0</stp>
        <tr r="L3" s="22"/>
      </tp>
      <tp>
        <v>0.254</v>
        <stp/>
        <stp>FWRC1#EURUSD#Month Wise Rates#0#AskPrice2</stp>
        <tr r="C5" s="19"/>
      </tp>
      <tp>
        <v>7.95</v>
        <stp/>
        <stp>FWRC1#EURUSD#Month Wise Rates#0#AskPrice7</stp>
        <tr r="D5" s="19"/>
        <tr r="L4" s="22"/>
      </tp>
      <tp>
        <v>-0.56699999999999995</v>
        <stp/>
        <stp>47#5#1#5629#EURON.LIBOR#LTP</stp>
        <tr r="B37" s="23"/>
      </tp>
      <tp>
        <v>0.17357</v>
        <stp/>
        <stp>47#5#1#5629#EUR5M.LIBOR#LTP</stp>
        <tr r="I37" s="23"/>
        <tr r="F3" s="8"/>
      </tp>
      <tp>
        <v>0.14713999999999999</v>
        <stp/>
        <stp>47#5#1#5629#EUR4M.LIBOR#LTP</stp>
        <tr r="H37" s="23"/>
        <tr r="E3" s="8"/>
      </tp>
      <tp>
        <v>0.22928999999999999</v>
        <stp/>
        <stp>47#5#1#5629#EUR7M.LIBOR#LTP</stp>
        <tr r="K37" s="23"/>
      </tp>
      <tp>
        <v>-0.30029</v>
        <stp/>
        <stp>47#5#1#5629#EUR6M.LIBOR#LTP</stp>
        <tr r="J37" s="23"/>
        <tr r="G3" s="8"/>
      </tp>
      <tp>
        <v>-0.48742999999999997</v>
        <stp/>
        <stp>47#5#1#5629#EUR1M.LIBOR#LTP</stp>
        <tr r="E37" s="23"/>
        <tr r="B3" s="8"/>
      </tp>
      <tp>
        <v>-0.41456999999999999</v>
        <stp/>
        <stp>47#5#1#5629#EUR3M.LIBOR#LTP</stp>
        <tr r="G37" s="23"/>
        <tr r="D3" s="8"/>
      </tp>
      <tp>
        <v>-0.41843000000000002</v>
        <stp/>
        <stp>47#5#1#5629#EUR2M.LIBOR#LTP</stp>
        <tr r="F37" s="23"/>
        <tr r="C3" s="8"/>
      </tp>
      <tp>
        <v>0.29357</v>
        <stp/>
        <stp>47#5#1#5629#EUR9M.LIBOR#LTP</stp>
        <tr r="M37" s="23"/>
        <tr r="H3" s="8"/>
      </tp>
      <tp>
        <v>0.26357000000000003</v>
        <stp/>
        <stp>47#5#1#5629#EUR8M.LIBOR#LTP</stp>
        <tr r="L37" s="23"/>
      </tp>
      <tp>
        <v>4.7</v>
        <stp/>
        <stp>FWRC1#GBPUSD#Month Wise Rates#0#AskPrice8</stp>
        <tr r="N5" s="22"/>
        <tr r="E5" s="20"/>
      </tp>
      <tp>
        <v>6.8</v>
        <stp/>
        <stp>FWRC1#GBPUSD#Month Wise Rates#0#AskPrice9</stp>
        <tr r="F5" s="20"/>
        <tr r="N6" s="22"/>
      </tp>
      <tp>
        <v>0.08</v>
        <stp/>
        <stp>FWRC1#GBPUSD#Month Wise Rates#0#AskPrice2</stp>
        <tr r="C5" s="20"/>
      </tp>
      <tp>
        <v>1.2453000000000001</v>
        <stp/>
        <stp>FWRC1#GBPUSD#Month Wise Rates#0#AskPrice0</stp>
        <tr r="N3" s="22"/>
      </tp>
      <tp>
        <v>2.59</v>
        <stp/>
        <stp>FWRC1#GBPUSD#Month Wise Rates#0#AskPrice7</stp>
        <tr r="N4" s="22"/>
        <tr r="D5" s="20"/>
      </tp>
      <tp>
        <v>67.2</v>
        <stp/>
        <stp>FWRC1#USDINR#Month Wise Rates#0#BidPrice9</stp>
        <tr r="C6" s="22"/>
        <tr r="F4" s="15"/>
      </tp>
      <tp>
        <v>42.9758</v>
        <stp/>
        <stp>FWRC1#USDINR#Month Wise Rates#0#BidPrice8</stp>
        <tr r="C5" s="22"/>
        <tr r="E4" s="15"/>
      </tp>
      <tp>
        <v>20.782299999999999</v>
        <stp/>
        <stp>FWRC1#USDINR#Month Wise Rates#0#BidPrice7</stp>
        <tr r="C4" s="22"/>
        <tr r="D4" s="15"/>
      </tp>
      <tp>
        <v>76.025000000000006</v>
        <stp/>
        <stp>FWRC1#USDINR#Month Wise Rates#0#BidPrice0</stp>
        <tr r="C3" s="22"/>
      </tp>
      <tp t="s">
        <v/>
        <stp/>
        <stp>FWRC1#USDINR#Month Wise Rates#0#BidPrice2</stp>
        <tr r="C4" s="15"/>
      </tp>
      <tp t="s">
        <v>GBPINRCOMP</v>
        <stp/>
        <stp>17#3#1#6031#GBPINRCOMP#S#Descr.</stp>
        <tr r="A4" s="23"/>
        <tr r="A21" s="23"/>
      </tp>
      <tp>
        <v>5.6500000000000002E-2</v>
        <stp/>
        <stp>47#5#1#5629#GBPON.LIBOR#LTP</stp>
        <tr r="B38" s="23"/>
      </tp>
      <tp t="s">
        <v>AUDINRCOMP</v>
        <stp/>
        <stp>17#3#1#5903#AUDINRCOMP#S#Descr.</stp>
        <tr r="A8" s="23"/>
        <tr r="A25" s="23"/>
      </tp>
      <tp>
        <v>0.21571000000000001</v>
        <stp/>
        <stp>47#5#1#5629#JPY5M.LIBOR#LTP</stp>
        <tr r="I39" s="23"/>
        <tr r="F5" s="8"/>
      </tp>
      <tp>
        <v>0.28571000000000002</v>
        <stp/>
        <stp>47#5#1#5629#JPY7M.LIBOR#LTP</stp>
        <tr r="K39" s="23"/>
      </tp>
      <tp>
        <v>-8.8299999999999993E-3</v>
        <stp/>
        <stp>47#5#1#5629#JPY6M.LIBOR#LTP</stp>
        <tr r="J39" s="23"/>
        <tr r="G5" s="8"/>
      </tp>
      <tp>
        <v>-8.6169999999999997E-2</v>
        <stp/>
        <stp>47#5#1#5629#JPY1M.LIBOR#LTP</stp>
        <tr r="E39" s="23"/>
        <tr r="B5" s="8"/>
      </tp>
      <tp>
        <v>-4.7500000000000001E-2</v>
        <stp/>
        <stp>47#5#1#5629#JPY3M.LIBOR#LTP</stp>
        <tr r="G39" s="23"/>
        <tr r="D5" s="8"/>
      </tp>
      <tp>
        <v>-5.6669999999999998E-2</v>
        <stp/>
        <stp>47#5#1#5629#JPY2M.LIBOR#LTP</stp>
        <tr r="F39" s="23"/>
        <tr r="H39" s="23"/>
        <tr r="E5" s="8"/>
        <tr r="C5" s="8"/>
      </tp>
      <tp>
        <v>0.35428999999999999</v>
        <stp/>
        <stp>47#5#1#5629#JPY9M.LIBOR#LTP</stp>
        <tr r="M39" s="23"/>
        <tr r="H5" s="8"/>
      </tp>
      <tp>
        <v>0.32571</v>
        <stp/>
        <stp>47#5#1#5629#JPY8M.LIBOR#LTP</stp>
        <tr r="L39" s="23"/>
      </tp>
      <tp>
        <v>6.1</v>
        <stp/>
        <stp>FWRC1#GBPUSD#Month Wise Rates#0#BidPrice9</stp>
        <tr r="M6" s="22"/>
        <tr r="F4" s="20"/>
      </tp>
      <tp>
        <v>4.2</v>
        <stp/>
        <stp>FWRC1#GBPUSD#Month Wise Rates#0#BidPrice8</stp>
        <tr r="E4" s="20"/>
        <tr r="M5" s="22"/>
      </tp>
      <tp>
        <v>1.2447999999999999</v>
        <stp/>
        <stp>FWRC1#GBPUSD#Month Wise Rates#0#BidPrice0</stp>
        <tr r="M3" s="22"/>
      </tp>
      <tp>
        <v>0.02</v>
        <stp/>
        <stp>FWRC1#GBPUSD#Month Wise Rates#0#BidPrice2</stp>
        <tr r="C4" s="20"/>
      </tp>
      <tp>
        <v>2.29</v>
        <stp/>
        <stp>FWRC1#GBPUSD#Month Wise Rates#0#BidPrice7</stp>
        <tr r="M4" s="22"/>
        <tr r="D4" s="20"/>
      </tp>
      <tp>
        <v>44.9758</v>
        <stp/>
        <stp>FWRC1#USDINR#Month Wise Rates#0#AskPrice8</stp>
        <tr r="D5" s="22"/>
        <tr r="E5" s="15"/>
      </tp>
      <tp>
        <v>69.2</v>
        <stp/>
        <stp>FWRC1#USDINR#Month Wise Rates#0#AskPrice9</stp>
        <tr r="D6" s="22"/>
        <tr r="F5" s="15"/>
      </tp>
      <tp>
        <v>22.782299999999999</v>
        <stp/>
        <stp>FWRC1#USDINR#Month Wise Rates#0#AskPrice7</stp>
        <tr r="D5" s="15"/>
        <tr r="D4" s="22"/>
      </tp>
      <tp t="s">
        <v/>
        <stp/>
        <stp>FWRC1#USDINR#Month Wise Rates#0#AskPrice2</stp>
        <tr r="C5" s="15"/>
      </tp>
      <tp>
        <v>76.034999999999997</v>
        <stp/>
        <stp>FWRC1#USDINR#Month Wise Rates#0#AskPrice0</stp>
        <tr r="D3" s="22"/>
      </tp>
      <tp>
        <v>-8.4830000000000003E-2</v>
        <stp/>
        <stp>47#5#1#5629#JPYSN.LIBOR#LTP</stp>
        <tr r="B39" s="23"/>
      </tp>
      <tp t="s">
        <v>CADINRCOMP</v>
        <stp/>
        <stp>17#3#1#5921#CADINRCOMP#S#Descr.</stp>
        <tr r="A7" s="23"/>
        <tr r="A24" s="23"/>
      </tp>
      <tp>
        <v>23.85</v>
        <stp/>
        <stp>FWRC1#EURUSD#Month Wise Rates#0#BidPrice9</stp>
        <tr r="K6" s="22"/>
        <tr r="F4" s="19"/>
      </tp>
      <tp>
        <v>15.71</v>
        <stp/>
        <stp>FWRC1#EURUSD#Month Wise Rates#0#BidPrice8</stp>
        <tr r="E4" s="19"/>
        <tr r="K5" s="22"/>
      </tp>
      <tp>
        <v>0.17399999999999999</v>
        <stp/>
        <stp>FWRC1#EURUSD#Month Wise Rates#0#BidPrice2</stp>
        <tr r="C4" s="19"/>
      </tp>
      <tp>
        <v>1.1258999999999999</v>
        <stp/>
        <stp>FWRC1#EURUSD#Month Wise Rates#0#BidPrice0</stp>
        <tr r="K3" s="22"/>
      </tp>
      <tp>
        <v>7.75</v>
        <stp/>
        <stp>FWRC1#EURUSD#Month Wise Rates#0#BidPrice7</stp>
        <tr r="D4" s="19"/>
        <tr r="K4" s="22"/>
      </tp>
      <tp>
        <v>106.2225</v>
        <stp/>
        <stp>FWRC1#USDJPY#Month Wise Rates#0#FwdOutrightAsk16</stp>
        <tr r="M8" s="21"/>
      </tp>
      <tp>
        <v>106.2009</v>
        <stp/>
        <stp>FWRC1#USDJPY#Month Wise Rates#0#FwdOutrightAsk17</stp>
        <tr r="N8" s="21"/>
      </tp>
      <tp>
        <v>106.36799999999999</v>
        <stp/>
        <stp>FWRC1#USDJPY#Month Wise Rates#0#FwdOutrightAsk14</stp>
        <tr r="K8" s="21"/>
      </tp>
      <tp>
        <v>106.3437</v>
        <stp/>
        <stp>FWRC1#USDJPY#Month Wise Rates#0#FwdOutrightAsk15</stp>
        <tr r="L8" s="21"/>
      </tp>
      <tp>
        <v>106.5566</v>
        <stp/>
        <stp>FWRC1#USDJPY#Month Wise Rates#0#FwdOutrightAsk12</stp>
        <tr r="I8" s="21"/>
      </tp>
      <tp>
        <v>106.4234</v>
        <stp/>
        <stp>FWRC1#USDJPY#Month Wise Rates#0#FwdOutrightAsk13</stp>
        <tr r="J8" s="21"/>
      </tp>
      <tp>
        <v>106.6551</v>
        <stp/>
        <stp>FWRC1#USDJPY#Month Wise Rates#0#FwdOutrightAsk10</stp>
        <tr r="G8" s="21"/>
      </tp>
      <tp>
        <v>106.6117</v>
        <stp/>
        <stp>FWRC1#USDJPY#Month Wise Rates#0#FwdOutrightAsk11</stp>
        <tr r="H8" s="21"/>
      </tp>
      <tp>
        <v>106.16079999999999</v>
        <stp/>
        <stp>FWRC1#USDJPY#Month Wise Rates#0#FwdOutrightAsk18</stp>
        <tr r="O8" s="21"/>
      </tp>
      <tp>
        <v>0.1125</v>
        <stp/>
        <stp>47#5#1#5629#USD1W.LIBOR#LTP</stp>
        <tr r="C36" s="23"/>
      </tp>
      <tp>
        <v>0.17113</v>
        <stp/>
        <stp>47#5#1#5629#USD2W.LIBOR#LTP</stp>
        <tr r="D36" s="23"/>
      </tp>
      <tp t="s">
        <v>EURINRCOMP</v>
        <stp/>
        <stp>17#3#1#5949#EURINRCOMP#S#Descr.</stp>
        <tr r="A3" s="23"/>
        <tr r="A20" s="23"/>
      </tp>
      <tp>
        <v>76.905000000000001</v>
        <stp/>
        <stp>17#1#1#6069#USDINRCOMP#52WkHigh</stp>
        <tr r="I3" s="10"/>
      </tp>
      <tp>
        <v>78.9392</v>
        <stp/>
        <stp>FWRC1#USDINR#Month Wise Rates#0#FwdOutrightAsk18</stp>
        <tr r="O8" s="15"/>
      </tp>
      <tp>
        <v>78.182699999999997</v>
        <stp/>
        <stp>FWRC1#USDINR#Month Wise Rates#0#FwdOutrightAsk15</stp>
        <tr r="L8" s="15"/>
      </tp>
      <tp>
        <v>77.954800000000006</v>
        <stp/>
        <stp>FWRC1#USDINR#Month Wise Rates#0#FwdOutrightAsk14</stp>
        <tr r="K8" s="15"/>
      </tp>
      <tp>
        <v>78.714200000000005</v>
        <stp/>
        <stp>FWRC1#USDINR#Month Wise Rates#0#FwdOutrightAsk17</stp>
        <tr r="N8" s="15"/>
      </tp>
      <tp>
        <v>78.5</v>
        <stp/>
        <stp>FWRC1#USDINR#Month Wise Rates#0#FwdOutrightAsk16</stp>
        <tr r="M8" s="15"/>
      </tp>
      <tp>
        <v>77.225700000000003</v>
        <stp/>
        <stp>FWRC1#USDINR#Month Wise Rates#0#FwdOutrightAsk11</stp>
        <tr r="H8" s="15"/>
      </tp>
      <tp>
        <v>76.990200000000002</v>
        <stp/>
        <stp>FWRC1#USDINR#Month Wise Rates#0#FwdOutrightAsk10</stp>
        <tr r="G8" s="15"/>
      </tp>
      <tp>
        <v>77.725099999999998</v>
        <stp/>
        <stp>FWRC1#USDINR#Month Wise Rates#0#FwdOutrightAsk13</stp>
        <tr r="J8" s="15"/>
      </tp>
      <tp>
        <v>77.466399999999993</v>
        <stp/>
        <stp>FWRC1#USDINR#Month Wise Rates#0#FwdOutrightAsk12</stp>
        <tr r="I8" s="15"/>
      </tp>
      <tp>
        <v>-0.2</v>
        <stp/>
        <stp>17#3#1#5949#EURINRCOMP#%Chg</stp>
        <tr r="D4" s="10"/>
      </tp>
      <tp t="s">
        <v/>
        <stp/>
        <stp>FWRC1#USDINR#Month Wise Rates#0#FwdOutrightBid2</stp>
        <tr r="C7" s="15"/>
      </tp>
      <tp>
        <v>76.232799999999997</v>
        <stp/>
        <stp>FWRC1#USDINR#Month Wise Rates#0#FwdOutrightBid7</stp>
        <tr r="D7" s="15"/>
      </tp>
      <tp>
        <v>76.697000000000003</v>
        <stp/>
        <stp>FWRC1#USDINR#Month Wise Rates#0#FwdOutrightBid9</stp>
        <tr r="F7" s="15"/>
      </tp>
      <tp>
        <v>76.454800000000006</v>
        <stp/>
        <stp>FWRC1#USDINR#Month Wise Rates#0#FwdOutrightBid8</stp>
        <tr r="E7" s="15"/>
      </tp>
      <tp>
        <v>106.6922</v>
        <stp/>
        <stp>FWRC1#USDJPY#Month Wise Rates#0#FwdOutrightBid9</stp>
        <tr r="F7" s="21"/>
      </tp>
      <tp>
        <v>106.7585</v>
        <stp/>
        <stp>FWRC1#USDJPY#Month Wise Rates#0#FwdOutrightBid8</stp>
        <tr r="E7" s="21"/>
      </tp>
      <tp>
        <v>106.7791</v>
        <stp/>
        <stp>FWRC1#USDJPY#Month Wise Rates#0#FwdOutrightBid7</stp>
        <tr r="D7" s="21"/>
      </tp>
      <tp>
        <v>106.86499999999999</v>
        <stp/>
        <stp>FWRC1#USDJPY#Month Wise Rates#0#FwdOutrightBid2</stp>
        <tr r="C7" s="21"/>
      </tp>
      <tp>
        <v>16.45</v>
        <stp/>
        <stp>FWRC1#GBPUSD#Month Wise Rates#0#BidPrice13</stp>
        <tr r="M10" s="22"/>
        <tr r="J4" s="20"/>
      </tp>
      <tp>
        <v>11.04</v>
        <stp/>
        <stp>FWRC1#GBPUSD#Month Wise Rates#0#BidPrice12</stp>
        <tr r="M9" s="22"/>
        <tr r="I4" s="20"/>
      </tp>
      <tp>
        <v>9.6300000000000008</v>
        <stp/>
        <stp>FWRC1#GBPUSD#Month Wise Rates#0#BidPrice11</stp>
        <tr r="H4" s="20"/>
        <tr r="M8" s="22"/>
      </tp>
      <tp>
        <v>8.1199999999999992</v>
        <stp/>
        <stp>FWRC1#GBPUSD#Month Wise Rates#0#BidPrice10</stp>
        <tr r="M7" s="22"/>
        <tr r="G4" s="20"/>
      </tp>
      <tp>
        <v>22.29</v>
        <stp/>
        <stp>FWRC1#GBPUSD#Month Wise Rates#0#BidPrice17</stp>
        <tr r="M14" s="22"/>
        <tr r="N4" s="20"/>
      </tp>
      <tp>
        <v>21.09</v>
        <stp/>
        <stp>FWRC1#GBPUSD#Month Wise Rates#0#BidPrice16</stp>
        <tr r="M13" s="22"/>
        <tr r="M4" s="20"/>
      </tp>
      <tp>
        <v>19.850000000000001</v>
        <stp/>
        <stp>FWRC1#GBPUSD#Month Wise Rates#0#BidPrice15</stp>
        <tr r="L4" s="20"/>
        <tr r="M12" s="22"/>
      </tp>
      <tp>
        <v>17.899999999999999</v>
        <stp/>
        <stp>FWRC1#GBPUSD#Month Wise Rates#0#BidPrice14</stp>
        <tr r="K4" s="20"/>
        <tr r="M11" s="22"/>
      </tp>
      <tp>
        <v>23.45</v>
        <stp/>
        <stp>FWRC1#GBPUSD#Month Wise Rates#0#BidPrice18</stp>
        <tr r="O4" s="20"/>
        <tr r="M15" s="22"/>
      </tp>
      <tp>
        <v>25.95</v>
        <stp/>
        <stp>FWRC1#GBPUSD#Month Wise Rates#0#AskPrice18</stp>
        <tr r="O5" s="20"/>
        <tr r="N15" s="22"/>
      </tp>
      <tp>
        <v>10.74</v>
        <stp/>
        <stp>FWRC1#GBPUSD#Month Wise Rates#0#AskPrice11</stp>
        <tr r="H5" s="20"/>
        <tr r="N8" s="22"/>
      </tp>
      <tp>
        <v>9.0299999999999994</v>
        <stp/>
        <stp>FWRC1#GBPUSD#Month Wise Rates#0#AskPrice10</stp>
        <tr r="N7" s="22"/>
        <tr r="G5" s="20"/>
      </tp>
      <tp>
        <v>17.96</v>
        <stp/>
        <stp>FWRC1#GBPUSD#Month Wise Rates#0#AskPrice13</stp>
        <tr r="J5" s="20"/>
        <tr r="N10" s="22"/>
      </tp>
      <tp>
        <v>12.34</v>
        <stp/>
        <stp>FWRC1#GBPUSD#Month Wise Rates#0#AskPrice12</stp>
        <tr r="N9" s="22"/>
        <tr r="I5" s="20"/>
      </tp>
      <tp>
        <v>22</v>
        <stp/>
        <stp>FWRC1#GBPUSD#Month Wise Rates#0#AskPrice15</stp>
        <tr r="N12" s="22"/>
        <tr r="L5" s="20"/>
      </tp>
      <tp>
        <v>19.61</v>
        <stp/>
        <stp>FWRC1#GBPUSD#Month Wise Rates#0#AskPrice14</stp>
        <tr r="K5" s="20"/>
        <tr r="N11" s="22"/>
      </tp>
      <tp>
        <v>24.58</v>
        <stp/>
        <stp>FWRC1#GBPUSD#Month Wise Rates#0#AskPrice17</stp>
        <tr r="N5" s="20"/>
        <tr r="N14" s="22"/>
      </tp>
      <tp>
        <v>23.2</v>
        <stp/>
        <stp>FWRC1#GBPUSD#Month Wise Rates#0#AskPrice16</stp>
        <tr r="N13" s="22"/>
        <tr r="M5" s="20"/>
      </tp>
      <tp>
        <v>301.24509999999998</v>
        <stp/>
        <stp>FWRC1#EURINR#Month Wise Rates#0#AskPrice15</stp>
        <tr r="F12" s="22"/>
      </tp>
      <tp>
        <v>269.6551</v>
        <stp/>
        <stp>FWRC1#EURINR#Month Wise Rates#0#AskPrice14</stp>
        <tr r="F11" s="22"/>
      </tp>
      <tp>
        <v>376.375</v>
        <stp/>
        <stp>FWRC1#EURINR#Month Wise Rates#0#AskPrice17</stp>
        <tr r="F14" s="22"/>
      </tp>
      <tp>
        <v>345.98500000000001</v>
        <stp/>
        <stp>FWRC1#EURINR#Month Wise Rates#0#AskPrice16</stp>
        <tr r="F13" s="22"/>
      </tp>
      <tp>
        <v>162.08279999999999</v>
        <stp/>
        <stp>FWRC1#EURINR#Month Wise Rates#0#AskPrice11</stp>
        <tr r="F8" s="22"/>
      </tp>
      <tp>
        <v>131.54920000000001</v>
        <stp/>
        <stp>FWRC1#EURINR#Month Wise Rates#0#AskPrice10</stp>
        <tr r="F7" s="22"/>
      </tp>
      <tp>
        <v>238.84110000000001</v>
        <stp/>
        <stp>FWRC1#EURINR#Month Wise Rates#0#AskPrice13</stp>
        <tr r="F10" s="22"/>
      </tp>
      <tp>
        <v>197.2259</v>
        <stp/>
        <stp>FWRC1#EURINR#Month Wise Rates#0#AskPrice12</stp>
        <tr r="F9" s="22"/>
      </tp>
      <tp>
        <v>406.22239999999999</v>
        <stp/>
        <stp>FWRC1#EURINR#Month Wise Rates#0#AskPrice18</stp>
        <tr r="F15" s="22"/>
      </tp>
      <tp>
        <v>401.65679999999998</v>
        <stp/>
        <stp>FWRC1#EURINR#Month Wise Rates#0#BidPrice18</stp>
        <tr r="E15" s="22"/>
      </tp>
      <tp>
        <v>369.77210000000002</v>
        <stp/>
        <stp>FWRC1#EURINR#Month Wise Rates#0#BidPrice17</stp>
        <tr r="E14" s="22"/>
      </tp>
      <tp>
        <v>339.78879999999998</v>
        <stp/>
        <stp>FWRC1#EURINR#Month Wise Rates#0#BidPrice16</stp>
        <tr r="E13" s="22"/>
      </tp>
      <tp>
        <v>297.02229999999997</v>
        <stp/>
        <stp>FWRC1#EURINR#Month Wise Rates#0#BidPrice15</stp>
        <tr r="E12" s="22"/>
      </tp>
      <tp>
        <v>265.67419999999998</v>
        <stp/>
        <stp>FWRC1#EURINR#Month Wise Rates#0#BidPrice14</stp>
        <tr r="E11" s="22"/>
      </tp>
      <tp>
        <v>233.85740000000001</v>
        <stp/>
        <stp>FWRC1#EURINR#Month Wise Rates#0#BidPrice13</stp>
        <tr r="E10" s="22"/>
      </tp>
      <tp>
        <v>194.24850000000001</v>
        <stp/>
        <stp>FWRC1#EURINR#Month Wise Rates#0#BidPrice12</stp>
        <tr r="E9" s="22"/>
      </tp>
      <tp>
        <v>159.4297</v>
        <stp/>
        <stp>FWRC1#EURINR#Month Wise Rates#0#BidPrice11</stp>
        <tr r="E8" s="22"/>
      </tp>
      <tp>
        <v>128.8425</v>
        <stp/>
        <stp>FWRC1#EURINR#Month Wise Rates#0#BidPrice10</stp>
        <tr r="E7" s="22"/>
      </tp>
      <tp>
        <v>80.072500000000005</v>
        <stp/>
        <stp>17#3#1#6056#CHFINRCOMP#Open</stp>
        <tr r="B6" s="23"/>
      </tp>
      <tp>
        <v>71.25</v>
        <stp/>
        <stp>17#3#1#5978#JPYINRCOMP#Open</stp>
        <tr r="B5" s="23"/>
        <tr r="E6" s="10"/>
      </tp>
      <tp t="s">
        <v>OCT-2020</v>
        <stp/>
        <stp>FWRC1#JPYINR#Month End Rates#0#S#Desc.8</stp>
        <tr r="H1" s="18"/>
      </tp>
      <tp t="s">
        <v>NOV-2020</v>
        <stp/>
        <stp>FWRC1#JPYINR#Month End Rates#0#S#Desc.9</stp>
        <tr r="I1" s="18"/>
      </tp>
      <tp t="s">
        <v>JUN-2020</v>
        <stp/>
        <stp>FWRC1#JPYINR#Month End Rates#0#S#Desc.4</stp>
        <tr r="D1" s="18"/>
      </tp>
      <tp t="s">
        <v>JUL-2020</v>
        <stp/>
        <stp>FWRC1#JPYINR#Month End Rates#0#S#Desc.5</stp>
        <tr r="E1" s="18"/>
      </tp>
      <tp t="s">
        <v>AUG-2020</v>
        <stp/>
        <stp>FWRC1#JPYINR#Month End Rates#0#S#Desc.6</stp>
        <tr r="F1" s="18"/>
      </tp>
      <tp t="s">
        <v>SEP-2020</v>
        <stp/>
        <stp>FWRC1#JPYINR#Month End Rates#0#S#Desc.7</stp>
        <tr r="G1" s="18"/>
      </tp>
      <tp t="s">
        <v>CASH/SPOT</v>
        <stp/>
        <stp>FWRC1#JPYINR#Month End Rates#0#S#Desc.2</stp>
        <tr r="C1" s="18"/>
      </tp>
      <tp>
        <v>25.75</v>
        <stp/>
        <stp>FWRC1#USDINR#Month End Rates#0#Close5</stp>
        <tr r="D19" s="23"/>
      </tp>
      <tp>
        <v>3.75</v>
        <stp/>
        <stp>FWRC1#USDINR#Month End Rates#0#Close4</stp>
        <tr r="C19" s="23"/>
      </tp>
      <tp>
        <v>72</v>
        <stp/>
        <stp>FWRC1#USDINR#Month End Rates#0#Close7</stp>
        <tr r="F19" s="23"/>
      </tp>
      <tp>
        <v>48</v>
        <stp/>
        <stp>FWRC1#USDINR#Month End Rates#0#Close6</stp>
        <tr r="E19" s="23"/>
      </tp>
      <tp>
        <v>76.025000000000006</v>
        <stp/>
        <stp>FWRC1#USDINR#Month End Rates#0#Close0</stp>
        <tr r="B19" s="23"/>
        <tr r="C19" s="23"/>
        <tr r="D19" s="23"/>
        <tr r="E19" s="23"/>
        <tr r="F19" s="23"/>
        <tr r="G19" s="23"/>
        <tr r="H19" s="23"/>
        <tr r="I19" s="23"/>
        <tr r="J19" s="23"/>
        <tr r="K19" s="23"/>
        <tr r="L19" s="23"/>
        <tr r="M19" s="23"/>
        <tr r="N19" s="23"/>
      </tp>
      <tp>
        <v>119.5</v>
        <stp/>
        <stp>FWRC1#USDINR#Month End Rates#0#Close9</stp>
        <tr r="H19" s="23"/>
      </tp>
      <tp>
        <v>96</v>
        <stp/>
        <stp>FWRC1#USDINR#Month End Rates#0#Close8</stp>
        <tr r="G19" s="23"/>
      </tp>
      <tp>
        <v>288.4194</v>
        <stp/>
        <stp>FWRC1#USDINR#Month Wise Rates#0#BidPrice18</stp>
        <tr r="C15" s="22"/>
        <tr r="O4" s="15"/>
      </tp>
      <tp>
        <v>265.9194</v>
        <stp/>
        <stp>FWRC1#USDINR#Month Wise Rates#0#BidPrice17</stp>
        <tr r="N4" s="15"/>
        <tr r="C14" s="22"/>
      </tp>
      <tp>
        <v>244.5</v>
        <stp/>
        <stp>FWRC1#USDINR#Month Wise Rates#0#BidPrice16</stp>
        <tr r="C13" s="22"/>
        <tr r="M4" s="15"/>
      </tp>
      <tp>
        <v>212.77269999999999</v>
        <stp/>
        <stp>FWRC1#USDINR#Month Wise Rates#0#BidPrice15</stp>
        <tr r="C12" s="22"/>
        <tr r="L4" s="15"/>
      </tp>
      <tp>
        <v>189.9821</v>
        <stp/>
        <stp>FWRC1#USDINR#Month Wise Rates#0#BidPrice14</stp>
        <tr r="K4" s="15"/>
        <tr r="C11" s="22"/>
      </tp>
      <tp>
        <v>167.0086</v>
        <stp/>
        <stp>FWRC1#USDINR#Month Wise Rates#0#BidPrice13</stp>
        <tr r="J4" s="15"/>
        <tr r="C10" s="22"/>
      </tp>
      <tp>
        <v>141.1397</v>
        <stp/>
        <stp>FWRC1#USDINR#Month Wise Rates#0#BidPrice12</stp>
        <tr r="C9" s="22"/>
        <tr r="I4" s="15"/>
      </tp>
      <tp>
        <v>117.069</v>
        <stp/>
        <stp>FWRC1#USDINR#Month Wise Rates#0#BidPrice11</stp>
        <tr r="C8" s="22"/>
        <tr r="H4" s="15"/>
      </tp>
      <tp>
        <v>93.517200000000003</v>
        <stp/>
        <stp>FWRC1#USDINR#Month Wise Rates#0#BidPrice10</stp>
        <tr r="G4" s="15"/>
        <tr r="C7" s="22"/>
      </tp>
      <tp>
        <v>214.77269999999999</v>
        <stp/>
        <stp>FWRC1#USDINR#Month Wise Rates#0#AskPrice15</stp>
        <tr r="L5" s="15"/>
        <tr r="D12" s="22"/>
      </tp>
      <tp>
        <v>191.9821</v>
        <stp/>
        <stp>FWRC1#USDINR#Month Wise Rates#0#AskPrice14</stp>
        <tr r="K5" s="15"/>
        <tr r="D11" s="22"/>
      </tp>
      <tp>
        <v>267.9194</v>
        <stp/>
        <stp>FWRC1#USDINR#Month Wise Rates#0#AskPrice17</stp>
        <tr r="N5" s="15"/>
        <tr r="D14" s="22"/>
      </tp>
      <tp>
        <v>246.5</v>
        <stp/>
        <stp>FWRC1#USDINR#Month Wise Rates#0#AskPrice16</stp>
        <tr r="D13" s="22"/>
        <tr r="M5" s="15"/>
      </tp>
      <tp>
        <v>119.069</v>
        <stp/>
        <stp>FWRC1#USDINR#Month Wise Rates#0#AskPrice11</stp>
        <tr r="H5" s="15"/>
        <tr r="D8" s="22"/>
      </tp>
      <tp>
        <v>95.517200000000003</v>
        <stp/>
        <stp>FWRC1#USDINR#Month Wise Rates#0#AskPrice10</stp>
        <tr r="G5" s="15"/>
        <tr r="D7" s="22"/>
      </tp>
      <tp>
        <v>169.0086</v>
        <stp/>
        <stp>FWRC1#USDINR#Month Wise Rates#0#AskPrice13</stp>
        <tr r="D10" s="22"/>
        <tr r="J5" s="15"/>
      </tp>
      <tp>
        <v>143.1397</v>
        <stp/>
        <stp>FWRC1#USDINR#Month Wise Rates#0#AskPrice12</stp>
        <tr r="D9" s="22"/>
        <tr r="I5" s="15"/>
      </tp>
      <tp>
        <v>290.4194</v>
        <stp/>
        <stp>FWRC1#USDINR#Month Wise Rates#0#AskPrice18</stp>
        <tr r="O5" s="15"/>
        <tr r="D15" s="22"/>
      </tp>
      <tp>
        <v>32147.7876</v>
        <stp/>
        <stp>FWRC1#JPYINR#Month Wise Rates#0#BidPrice18</stp>
        <tr r="I15" s="22"/>
      </tp>
      <tp>
        <v>29497.219300000001</v>
        <stp/>
        <stp>FWRC1#JPYINR#Month Wise Rates#0#BidPrice17</stp>
        <tr r="I14" s="22"/>
      </tp>
      <tp>
        <v>27239.978200000001</v>
        <stp/>
        <stp>FWRC1#JPYINR#Month Wise Rates#0#BidPrice16</stp>
        <tr r="I13" s="22"/>
      </tp>
      <tp>
        <v>23731.9853</v>
        <stp/>
        <stp>FWRC1#JPYINR#Month Wise Rates#0#BidPrice15</stp>
        <tr r="I12" s="22"/>
      </tp>
      <tp>
        <v>21205.906800000001</v>
        <stp/>
        <stp>FWRC1#JPYINR#Month Wise Rates#0#BidPrice14</stp>
        <tr r="I11" s="22"/>
      </tp>
      <tp>
        <v>18660.1976</v>
        <stp/>
        <stp>FWRC1#JPYINR#Month Wise Rates#0#BidPrice13</stp>
        <tr r="I10" s="22"/>
      </tp>
      <tp>
        <v>15245.2124</v>
        <stp/>
        <stp>FWRC1#JPYINR#Month Wise Rates#0#BidPrice12</stp>
        <tr r="I9" s="22"/>
      </tp>
      <tp>
        <v>12468.0206</v>
        <stp/>
        <stp>FWRC1#JPYINR#Month Wise Rates#0#BidPrice11</stp>
        <tr r="I8" s="22"/>
      </tp>
      <tp>
        <v>10069.1139</v>
        <stp/>
        <stp>FWRC1#JPYINR#Month Wise Rates#0#BidPrice10</stp>
        <tr r="I7" s="22"/>
      </tp>
      <tp>
        <v>24034.555499999999</v>
        <stp/>
        <stp>FWRC1#JPYINR#Month Wise Rates#0#AskPrice15</stp>
        <tr r="J12" s="22"/>
      </tp>
      <tp>
        <v>21539.194100000001</v>
        <stp/>
        <stp>FWRC1#JPYINR#Month Wise Rates#0#AskPrice14</stp>
        <tr r="J11" s="22"/>
      </tp>
      <tp>
        <v>29930.7968</v>
        <stp/>
        <stp>FWRC1#JPYINR#Month Wise Rates#0#AskPrice17</stp>
        <tr r="J14" s="22"/>
      </tp>
      <tp>
        <v>27544.836500000001</v>
        <stp/>
        <stp>FWRC1#JPYINR#Month Wise Rates#0#AskPrice16</stp>
        <tr r="J13" s="22"/>
      </tp>
      <tp>
        <v>12762.891600000001</v>
        <stp/>
        <stp>FWRC1#JPYINR#Month Wise Rates#0#AskPrice11</stp>
        <tr r="J8" s="22"/>
      </tp>
      <tp>
        <v>10362.446400000001</v>
        <stp/>
        <stp>FWRC1#JPYINR#Month Wise Rates#0#AskPrice10</stp>
        <tr r="J7" s="22"/>
      </tp>
      <tp>
        <v>18985.775900000001</v>
        <stp/>
        <stp>FWRC1#JPYINR#Month Wise Rates#0#AskPrice13</stp>
        <tr r="J10" s="22"/>
      </tp>
      <tp>
        <v>15522.7624</v>
        <stp/>
        <stp>FWRC1#JPYINR#Month Wise Rates#0#AskPrice12</stp>
        <tr r="J9" s="22"/>
      </tp>
      <tp>
        <v>32477.232100000001</v>
        <stp/>
        <stp>FWRC1#JPYINR#Month Wise Rates#0#AskPrice18</stp>
        <tr r="J15" s="22"/>
      </tp>
      <tp>
        <v>94.33</v>
        <stp/>
        <stp>17#3#1#6031#GBPINRCOMP#Open</stp>
        <tr r="B4" s="23"/>
        <tr r="E5" s="10"/>
      </tp>
      <tp>
        <v>52.327500000000001</v>
        <stp/>
        <stp>17#3#1#5903#AUDINRCOMP#Open</stp>
        <tr r="B8" s="23"/>
      </tp>
      <tp>
        <v>0.87439999999999996</v>
        <stp/>
        <stp>FWRC1#EURUSD#Month Wise Rates#0#Bid%18</stp>
        <tr r="O10" s="19"/>
      </tp>
      <tp>
        <v>0.84209999999999996</v>
        <stp/>
        <stp>FWRC1#EURUSD#Month Wise Rates#0#Bid%12</stp>
        <tr r="I10" s="19"/>
      </tp>
      <tp>
        <v>0.91</v>
        <stp/>
        <stp>FWRC1#EURUSD#Month Wise Rates#0#Bid%13</stp>
        <tr r="J10" s="19"/>
      </tp>
      <tp>
        <v>0.84409999999999996</v>
        <stp/>
        <stp>FWRC1#EURUSD#Month Wise Rates#0#Bid%10</stp>
        <tr r="G10" s="19"/>
      </tp>
      <tp>
        <v>0.83960000000000001</v>
        <stp/>
        <stp>FWRC1#EURUSD#Month Wise Rates#0#Bid%11</stp>
        <tr r="H10" s="19"/>
      </tp>
      <tp>
        <v>0.88990000000000002</v>
        <stp/>
        <stp>FWRC1#EURUSD#Month Wise Rates#0#Bid%16</stp>
        <tr r="M10" s="19"/>
      </tp>
      <tp>
        <v>0.88639999999999997</v>
        <stp/>
        <stp>FWRC1#EURUSD#Month Wise Rates#0#Bid%17</stp>
        <tr r="N10" s="19"/>
      </tp>
      <tp>
        <v>0.89910000000000001</v>
        <stp/>
        <stp>FWRC1#EURUSD#Month Wise Rates#0#Bid%14</stp>
        <tr r="K10" s="19"/>
      </tp>
      <tp>
        <v>0.89119999999999999</v>
        <stp/>
        <stp>FWRC1#EURUSD#Month Wise Rates#0#Bid%15</stp>
        <tr r="L10" s="19"/>
      </tp>
      <tp>
        <v>0.85819999999999996</v>
        <stp/>
        <stp>FWRC1#EURUSD#Month Wise Rates#0#Ask%10</stp>
        <tr r="G11" s="19"/>
      </tp>
      <tp>
        <v>0.85529999999999995</v>
        <stp/>
        <stp>FWRC1#EURUSD#Month Wise Rates#0#Ask%11</stp>
        <tr r="H11" s="19"/>
      </tp>
      <tp>
        <v>0.85619999999999996</v>
        <stp/>
        <stp>FWRC1#EURUSD#Month Wise Rates#0#Ask%12</stp>
        <tr r="I11" s="19"/>
      </tp>
      <tp>
        <v>0.96279999999999999</v>
        <stp/>
        <stp>FWRC1#EURUSD#Month Wise Rates#0#Ask%13</stp>
        <tr r="J11" s="19"/>
      </tp>
      <tp>
        <v>0.92820000000000003</v>
        <stp/>
        <stp>FWRC1#EURUSD#Month Wise Rates#0#Ask%14</stp>
        <tr r="K11" s="19"/>
      </tp>
      <tp>
        <v>0.92090000000000005</v>
        <stp/>
        <stp>FWRC1#EURUSD#Month Wise Rates#0#Ask%15</stp>
        <tr r="L11" s="19"/>
      </tp>
      <tp>
        <v>0.94289999999999996</v>
        <stp/>
        <stp>FWRC1#EURUSD#Month Wise Rates#0#Ask%16</stp>
        <tr r="M11" s="19"/>
      </tp>
      <tp>
        <v>0.93979999999999997</v>
        <stp/>
        <stp>FWRC1#EURUSD#Month Wise Rates#0#Ask%17</stp>
        <tr r="N11" s="19"/>
      </tp>
      <tp>
        <v>0.90010000000000001</v>
        <stp/>
        <stp>FWRC1#EURUSD#Month Wise Rates#0#Ask%18</stp>
        <tr r="O11" s="19"/>
      </tp>
      <tp>
        <v>56.072499999999998</v>
        <stp/>
        <stp>17#3#1#5921#CADINRCOMP#Open</stp>
        <tr r="B7" s="23"/>
      </tp>
      <tp>
        <v>54.604999999999997</v>
        <stp/>
        <stp>17#3#1#6041#SGDINRCOMP#High</stp>
        <tr r="C9" s="23"/>
      </tp>
      <tp>
        <v>94.552499999999995</v>
        <stp/>
        <stp>17#3#1#6031#GBPINRCOMP#Close</stp>
        <tr r="H5" s="10"/>
      </tp>
      <tp>
        <v>1.1278999999999999</v>
        <stp/>
        <stp>FWRC1#EURUSD#Month Wise Rates#0#FwdOutrightAsk8</stp>
        <tr r="E8" s="19"/>
      </tp>
      <tp>
        <v>1.1285000000000001</v>
        <stp/>
        <stp>FWRC1#EURUSD#Month Wise Rates#0#FwdOutrightAsk9</stp>
        <tr r="F8" s="19"/>
      </tp>
      <tp>
        <v>1.1269</v>
        <stp/>
        <stp>FWRC1#EURUSD#Month Wise Rates#0#FwdOutrightAsk7</stp>
        <tr r="D8" s="19"/>
      </tp>
      <tp>
        <v>1.1264000000000001</v>
        <stp/>
        <stp>FWRC1#EURUSD#Month Wise Rates#0#FwdOutrightAsk2</stp>
        <tr r="C8" s="19"/>
      </tp>
      <tp>
        <v>76.180000000000007</v>
        <stp/>
        <stp>17#1#1#6069#USDINRCOMP#High</stp>
        <tr r="C2" s="23"/>
        <tr r="F3" s="10"/>
      </tp>
      <tp>
        <v>85.28</v>
        <stp/>
        <stp>17#3#1#5949#EURINRCOMP#Open</stp>
        <tr r="B3" s="23"/>
        <tr r="E4" s="10"/>
      </tp>
      <tp>
        <v>60.36</v>
        <stp/>
        <stp>FWRC1#EURUSD#Month Wise Rates#0#Close13</stp>
        <tr r="I27" s="23"/>
      </tp>
      <tp>
        <v>47.54</v>
        <stp/>
        <stp>FWRC1#EURUSD#Month Wise Rates#0#Close12</stp>
        <tr r="H27" s="23"/>
      </tp>
      <tp>
        <v>39.630000000000003</v>
        <stp/>
        <stp>FWRC1#EURUSD#Month Wise Rates#0#Close11</stp>
        <tr r="G27" s="23"/>
      </tp>
      <tp>
        <v>32.29</v>
        <stp/>
        <stp>FWRC1#EURUSD#Month Wise Rates#0#Close10</stp>
        <tr r="F27" s="23"/>
      </tp>
      <tp>
        <v>91.34</v>
        <stp/>
        <stp>FWRC1#EURUSD#Month Wise Rates#0#Close17</stp>
        <tr r="M27" s="23"/>
      </tp>
      <tp>
        <v>84.01</v>
        <stp/>
        <stp>FWRC1#EURUSD#Month Wise Rates#0#Close16</stp>
        <tr r="L27" s="23"/>
      </tp>
      <tp>
        <v>75.06</v>
        <stp/>
        <stp>FWRC1#EURUSD#Month Wise Rates#0#Close15</stp>
        <tr r="K27" s="23"/>
      </tp>
      <tp>
        <v>67.959999999999994</v>
        <stp/>
        <stp>FWRC1#EURUSD#Month Wise Rates#0#Close14</stp>
        <tr r="J27" s="23"/>
      </tp>
      <tp>
        <v>98.46</v>
        <stp/>
        <stp>FWRC1#EURUSD#Month Wise Rates#0#Close18</stp>
        <tr r="N27" s="23"/>
      </tp>
      <tp t="s">
        <v>CASH/SPOT</v>
        <stp/>
        <stp>FWRC1#GBPINR#Month End Rates#0#S#Desc.2</stp>
        <tr r="C1" s="17"/>
      </tp>
      <tp t="s">
        <v>JUL-2020</v>
        <stp/>
        <stp>FWRC1#GBPINR#Month End Rates#0#S#Desc.5</stp>
        <tr r="E1" s="17"/>
      </tp>
      <tp t="s">
        <v>JUN-2020</v>
        <stp/>
        <stp>FWRC1#GBPINR#Month End Rates#0#S#Desc.4</stp>
        <tr r="D1" s="17"/>
      </tp>
      <tp t="s">
        <v>SEP-2020</v>
        <stp/>
        <stp>FWRC1#GBPINR#Month End Rates#0#S#Desc.7</stp>
        <tr r="G1" s="17"/>
      </tp>
      <tp t="s">
        <v>AUG-2020</v>
        <stp/>
        <stp>FWRC1#GBPINR#Month End Rates#0#S#Desc.6</stp>
        <tr r="F1" s="17"/>
      </tp>
      <tp t="s">
        <v>NOV-2020</v>
        <stp/>
        <stp>FWRC1#GBPINR#Month End Rates#0#S#Desc.9</stp>
        <tr r="I1" s="17"/>
      </tp>
      <tp t="s">
        <v>OCT-2020</v>
        <stp/>
        <stp>FWRC1#GBPINR#Month End Rates#0#S#Desc.8</stp>
        <tr r="H1" s="17"/>
      </tp>
      <tp>
        <v>1.2454000000000001</v>
        <stp/>
        <stp>FWRC1#GBPUSD#Month Wise Rates#0#FwdOutrightAsk8</stp>
        <tr r="E8" s="20"/>
      </tp>
      <tp>
        <v>1.2455000000000001</v>
        <stp/>
        <stp>FWRC1#GBPUSD#Month Wise Rates#0#FwdOutrightAsk9</stp>
        <tr r="F8" s="20"/>
      </tp>
      <tp>
        <v>1.2451000000000001</v>
        <stp/>
        <stp>FWRC1#GBPUSD#Month Wise Rates#0#FwdOutrightAsk7</stp>
        <tr r="D8" s="20"/>
      </tp>
      <tp>
        <v>1.2447999999999999</v>
        <stp/>
        <stp>FWRC1#GBPUSD#Month Wise Rates#0#FwdOutrightAsk2</stp>
        <tr r="C8" s="20"/>
      </tp>
      <tp>
        <v>-75.92</v>
        <stp/>
        <stp>FWRC1#USDJPY#Month Wise Rates#0#BidPrice18</stp>
        <tr r="O4" s="21"/>
        <tr r="O15" s="22"/>
      </tp>
      <tp>
        <v>-52.1</v>
        <stp/>
        <stp>FWRC1#USDJPY#Month Wise Rates#0#BidPrice14</stp>
        <tr r="K4" s="21"/>
        <tr r="O11" s="22"/>
      </tp>
      <tp>
        <v>-57.13</v>
        <stp/>
        <stp>FWRC1#USDJPY#Month Wise Rates#0#BidPrice15</stp>
        <tr r="O12" s="22"/>
        <tr r="L4" s="21"/>
      </tp>
      <tp>
        <v>-64.81</v>
        <stp/>
        <stp>FWRC1#USDJPY#Month Wise Rates#0#BidPrice16</stp>
        <tr r="O13" s="22"/>
        <tr r="M4" s="21"/>
      </tp>
      <tp>
        <v>-69.81</v>
        <stp/>
        <stp>FWRC1#USDJPY#Month Wise Rates#0#BidPrice17</stp>
        <tr r="N4" s="21"/>
        <tr r="O14" s="22"/>
      </tp>
      <tp>
        <v>-22.59</v>
        <stp/>
        <stp>FWRC1#USDJPY#Month Wise Rates#0#BidPrice10</stp>
        <tr r="G4" s="21"/>
        <tr r="O7" s="22"/>
      </tp>
      <tp>
        <v>-27.23</v>
        <stp/>
        <stp>FWRC1#USDJPY#Month Wise Rates#0#BidPrice11</stp>
        <tr r="H4" s="21"/>
        <tr r="O8" s="22"/>
      </tp>
      <tp>
        <v>-31.96</v>
        <stp/>
        <stp>FWRC1#USDJPY#Month Wise Rates#0#BidPrice12</stp>
        <tr r="O9" s="22"/>
        <tr r="I4" s="21"/>
      </tp>
      <tp>
        <v>-46.36</v>
        <stp/>
        <stp>FWRC1#USDJPY#Month Wise Rates#0#BidPrice13</stp>
        <tr r="J4" s="21"/>
        <tr r="O10" s="22"/>
      </tp>
      <tp>
        <v>-64.05</v>
        <stp/>
        <stp>FWRC1#USDJPY#Month Wise Rates#0#AskPrice16</stp>
        <tr r="M5" s="21"/>
        <tr r="P13" s="22"/>
      </tp>
      <tp>
        <v>-66.31</v>
        <stp/>
        <stp>FWRC1#USDJPY#Month Wise Rates#0#AskPrice17</stp>
        <tr r="P14" s="22"/>
        <tr r="N5" s="21"/>
      </tp>
      <tp>
        <v>-50.1</v>
        <stp/>
        <stp>FWRC1#USDJPY#Month Wise Rates#0#AskPrice14</stp>
        <tr r="P11" s="22"/>
        <tr r="K5" s="21"/>
      </tp>
      <tp>
        <v>-55.63</v>
        <stp/>
        <stp>FWRC1#USDJPY#Month Wise Rates#0#AskPrice15</stp>
        <tr r="P12" s="22"/>
        <tr r="L5" s="21"/>
      </tp>
      <tp>
        <v>-30.74</v>
        <stp/>
        <stp>FWRC1#USDJPY#Month Wise Rates#0#AskPrice12</stp>
        <tr r="I5" s="21"/>
        <tr r="P9" s="22"/>
      </tp>
      <tp>
        <v>-44.36</v>
        <stp/>
        <stp>FWRC1#USDJPY#Month Wise Rates#0#AskPrice13</stp>
        <tr r="J5" s="21"/>
        <tr r="P10" s="22"/>
      </tp>
      <tp>
        <v>-21.09</v>
        <stp/>
        <stp>FWRC1#USDJPY#Month Wise Rates#0#AskPrice10</stp>
        <tr r="P7" s="22"/>
        <tr r="G5" s="21"/>
      </tp>
      <tp>
        <v>-25.73</v>
        <stp/>
        <stp>FWRC1#USDJPY#Month Wise Rates#0#AskPrice11</stp>
        <tr r="P8" s="22"/>
        <tr r="H5" s="21"/>
      </tp>
      <tp>
        <v>-73.92</v>
        <stp/>
        <stp>FWRC1#USDJPY#Month Wise Rates#0#AskPrice18</stp>
        <tr r="O5" s="21"/>
        <tr r="P15" s="22"/>
      </tp>
      <tp>
        <v>9.6300000000000008</v>
        <stp/>
        <stp>FWRC1#GBPUSD#Month Wise Rates#0#Close11</stp>
        <tr r="G28" s="23"/>
      </tp>
      <tp>
        <v>8.1199999999999992</v>
        <stp/>
        <stp>FWRC1#GBPUSD#Month Wise Rates#0#Close10</stp>
        <tr r="F28" s="23"/>
      </tp>
      <tp>
        <v>16.45</v>
        <stp/>
        <stp>FWRC1#GBPUSD#Month Wise Rates#0#Close13</stp>
        <tr r="I28" s="23"/>
      </tp>
      <tp>
        <v>11.04</v>
        <stp/>
        <stp>FWRC1#GBPUSD#Month Wise Rates#0#Close12</stp>
        <tr r="H28" s="23"/>
      </tp>
      <tp>
        <v>19.850000000000001</v>
        <stp/>
        <stp>FWRC1#GBPUSD#Month Wise Rates#0#Close15</stp>
        <tr r="K28" s="23"/>
      </tp>
      <tp>
        <v>17.899999999999999</v>
        <stp/>
        <stp>FWRC1#GBPUSD#Month Wise Rates#0#Close14</stp>
        <tr r="J28" s="23"/>
      </tp>
      <tp>
        <v>22.29</v>
        <stp/>
        <stp>FWRC1#GBPUSD#Month Wise Rates#0#Close17</stp>
        <tr r="M28" s="23"/>
      </tp>
      <tp>
        <v>21.09</v>
        <stp/>
        <stp>FWRC1#GBPUSD#Month Wise Rates#0#Close16</stp>
        <tr r="L28" s="23"/>
      </tp>
      <tp>
        <v>23.45</v>
        <stp/>
        <stp>FWRC1#GBPUSD#Month Wise Rates#0#Close18</stp>
        <tr r="N28" s="23"/>
      </tp>
      <tp t="s">
        <v>31-May-2021</v>
        <stp/>
        <stp>FWRC1#USDINR#Month End Rates#0#S#MonthEndDate15</stp>
        <tr r="O2" s="14"/>
      </tp>
      <tp t="s">
        <v>30-Apr-2021</v>
        <stp/>
        <stp>FWRC1#USDINR#Month End Rates#0#S#MonthEndDate14</stp>
        <tr r="N2" s="14"/>
      </tp>
      <tp t="s">
        <v>29-Jan-2021</v>
        <stp/>
        <stp>FWRC1#USDINR#Month End Rates#0#S#MonthEndDate11</stp>
        <tr r="K2" s="14"/>
      </tp>
      <tp t="s">
        <v>31-Dec-2020</v>
        <stp/>
        <stp>FWRC1#USDINR#Month End Rates#0#S#MonthEndDate10</stp>
        <tr r="J2" s="14"/>
      </tp>
      <tp t="s">
        <v>31-Mar-2021</v>
        <stp/>
        <stp>FWRC1#USDINR#Month End Rates#0#S#MonthEndDate13</stp>
        <tr r="M2" s="14"/>
      </tp>
      <tp t="s">
        <v>26-Feb-2021</v>
        <stp/>
        <stp>FWRC1#USDINR#Month End Rates#0#S#MonthEndDate12</stp>
        <tr r="L2" s="14"/>
      </tp>
      <tp t="s">
        <v>CASH/SPOT</v>
        <stp/>
        <stp>FWRC1#EURINR#Month End Rates#0#S#Desc.2</stp>
        <tr r="C1" s="16"/>
      </tp>
      <tp t="s">
        <v>SEP-2020</v>
        <stp/>
        <stp>FWRC1#EURINR#Month End Rates#0#S#Desc.7</stp>
        <tr r="G1" s="16"/>
      </tp>
      <tp t="s">
        <v>AUG-2020</v>
        <stp/>
        <stp>FWRC1#EURINR#Month End Rates#0#S#Desc.6</stp>
        <tr r="F1" s="16"/>
      </tp>
      <tp t="s">
        <v>JUL-2020</v>
        <stp/>
        <stp>FWRC1#EURINR#Month End Rates#0#S#Desc.5</stp>
        <tr r="E1" s="16"/>
      </tp>
      <tp t="s">
        <v>JUN-2020</v>
        <stp/>
        <stp>FWRC1#EURINR#Month End Rates#0#S#Desc.4</stp>
        <tr r="D1" s="16"/>
      </tp>
      <tp t="s">
        <v>NOV-2020</v>
        <stp/>
        <stp>FWRC1#EURINR#Month End Rates#0#S#Desc.9</stp>
        <tr r="I1" s="16"/>
      </tp>
      <tp t="s">
        <v>OCT-2020</v>
        <stp/>
        <stp>FWRC1#EURINR#Month End Rates#0#S#Desc.8</stp>
        <tr r="H1" s="16"/>
      </tp>
      <tp>
        <v>52.37</v>
        <stp/>
        <stp>17#3#1#5903#AUDINRCOMP#High</stp>
        <tr r="C8" s="23"/>
      </tp>
      <tp>
        <v>-0.69169999999999998</v>
        <stp/>
        <stp>FWRC1#USDJPY#Month Wise Rates#0#Ask%18</stp>
        <tr r="O11" s="21"/>
      </tp>
      <tp>
        <v>-0.67810000000000004</v>
        <stp/>
        <stp>FWRC1#USDJPY#Month Wise Rates#0#Ask%17</stp>
        <tr r="N11" s="21"/>
      </tp>
      <tp>
        <v>-0.71489999999999998</v>
        <stp/>
        <stp>FWRC1#USDJPY#Month Wise Rates#0#Ask%16</stp>
        <tr r="M11" s="21"/>
      </tp>
      <tp>
        <v>-0.69599999999999995</v>
        <stp/>
        <stp>FWRC1#USDJPY#Month Wise Rates#0#Ask%15</stp>
        <tr r="L11" s="21"/>
      </tp>
      <tp>
        <v>-0.69840000000000002</v>
        <stp/>
        <stp>FWRC1#USDJPY#Month Wise Rates#0#Ask%14</stp>
        <tr r="K11" s="21"/>
      </tp>
      <tp>
        <v>-0.70469999999999999</v>
        <stp/>
        <stp>FWRC1#USDJPY#Month Wise Rates#0#Ask%13</stp>
        <tr r="J11" s="21"/>
      </tp>
      <tp>
        <v>-0.57379999999999998</v>
        <stp/>
        <stp>FWRC1#USDJPY#Month Wise Rates#0#Ask%12</stp>
        <tr r="I11" s="21"/>
      </tp>
      <tp>
        <v>-0.57440000000000002</v>
        <stp/>
        <stp>FWRC1#USDJPY#Month Wise Rates#0#Ask%11</stp>
        <tr r="H11" s="21"/>
      </tp>
      <tp>
        <v>-0.58089999999999997</v>
        <stp/>
        <stp>FWRC1#USDJPY#Month Wise Rates#0#Ask%10</stp>
        <tr r="G11" s="21"/>
      </tp>
      <tp>
        <v>-0.71450000000000002</v>
        <stp/>
        <stp>FWRC1#USDJPY#Month Wise Rates#0#Bid%15</stp>
        <tr r="L10" s="21"/>
      </tp>
      <tp>
        <v>-0.72629999999999995</v>
        <stp/>
        <stp>FWRC1#USDJPY#Month Wise Rates#0#Bid%14</stp>
        <tr r="K10" s="21"/>
      </tp>
      <tp>
        <v>-0.71389999999999998</v>
        <stp/>
        <stp>FWRC1#USDJPY#Month Wise Rates#0#Bid%17</stp>
        <tr r="N10" s="21"/>
      </tp>
      <tp>
        <v>-0.72340000000000004</v>
        <stp/>
        <stp>FWRC1#USDJPY#Month Wise Rates#0#Bid%16</stp>
        <tr r="M10" s="21"/>
      </tp>
      <tp>
        <v>-0.6079</v>
        <stp/>
        <stp>FWRC1#USDJPY#Month Wise Rates#0#Bid%11</stp>
        <tr r="H10" s="21"/>
      </tp>
      <tp>
        <v>-0.62219999999999998</v>
        <stp/>
        <stp>FWRC1#USDJPY#Month Wise Rates#0#Bid%10</stp>
        <tr r="G10" s="21"/>
      </tp>
      <tp>
        <v>-0.73650000000000004</v>
        <stp/>
        <stp>FWRC1#USDJPY#Month Wise Rates#0#Bid%13</stp>
        <tr r="J10" s="21"/>
      </tp>
      <tp>
        <v>-0.59650000000000003</v>
        <stp/>
        <stp>FWRC1#USDJPY#Month Wise Rates#0#Bid%12</stp>
        <tr r="I10" s="21"/>
      </tp>
      <tp>
        <v>-0.71020000000000005</v>
        <stp/>
        <stp>FWRC1#USDJPY#Month Wise Rates#0#Bid%18</stp>
        <tr r="O10" s="21"/>
      </tp>
      <tp>
        <v>54.59</v>
        <stp/>
        <stp>17#3#1#6041#SGDINRCOMP#Open</stp>
        <tr r="B9" s="23"/>
      </tp>
      <tp>
        <v>56.092500000000001</v>
        <stp/>
        <stp>17#3#1#5921#CADINRCOMP#High</stp>
        <tr r="C7" s="23"/>
      </tp>
      <tp>
        <v>37741.647599999997</v>
        <stp/>
        <stp>FWRC1#GBPINR#Month Wise Rates#0#BidPrice18</stp>
        <tr r="G15" s="22"/>
      </tp>
      <tp>
        <v>34875.579400000002</v>
        <stp/>
        <stp>FWRC1#GBPINR#Month Wise Rates#0#BidPrice17</stp>
        <tr r="G14" s="22"/>
      </tp>
      <tp>
        <v>32059.628499999999</v>
        <stp/>
        <stp>FWRC1#GBPINR#Month Wise Rates#0#BidPrice16</stp>
        <tr r="G13" s="22"/>
      </tp>
      <tp>
        <v>28017.256099999999</v>
        <stp/>
        <stp>FWRC1#GBPINR#Month Wise Rates#0#BidPrice15</stp>
        <tr r="G12" s="22"/>
      </tp>
      <tp>
        <v>25017.389599999999</v>
        <stp/>
        <stp>FWRC1#GBPINR#Month Wise Rates#0#BidPrice14</stp>
        <tr r="G11" s="22"/>
      </tp>
      <tp>
        <v>22046.0465</v>
        <stp/>
        <stp>FWRC1#GBPINR#Month Wise Rates#0#BidPrice13</stp>
        <tr r="G10" s="22"/>
      </tp>
      <tp>
        <v>18330.1175</v>
        <stp/>
        <stp>FWRC1#GBPINR#Month Wise Rates#0#BidPrice12</stp>
        <tr r="G9" s="22"/>
      </tp>
      <tp>
        <v>15028.357099999999</v>
        <stp/>
        <stp>FWRC1#GBPINR#Month Wise Rates#0#BidPrice11</stp>
        <tr r="G8" s="22"/>
      </tp>
      <tp>
        <v>12168.022800000001</v>
        <stp/>
        <stp>FWRC1#GBPINR#Month Wise Rates#0#BidPrice10</stp>
        <tr r="G7" s="22"/>
      </tp>
      <tp>
        <v>28445.194200000002</v>
        <stp/>
        <stp>FWRC1#GBPINR#Month Wise Rates#0#AskPrice15</stp>
        <tr r="H12" s="22"/>
      </tp>
      <tp>
        <v>25400.649700000002</v>
        <stp/>
        <stp>FWRC1#GBPINR#Month Wise Rates#0#AskPrice14</stp>
        <tr r="H11" s="22"/>
      </tp>
      <tp>
        <v>35221.067900000002</v>
        <stp/>
        <stp>FWRC1#GBPINR#Month Wise Rates#0#AskPrice17</stp>
        <tr r="H14" s="22"/>
      </tp>
      <tp>
        <v>32477.850999999999</v>
        <stp/>
        <stp>FWRC1#GBPINR#Month Wise Rates#0#AskPrice16</stp>
        <tr r="H13" s="22"/>
      </tp>
      <tp>
        <v>15364.249299999999</v>
        <stp/>
        <stp>FWRC1#GBPINR#Month Wise Rates#0#AskPrice11</stp>
        <tr r="H8" s="22"/>
      </tp>
      <tp>
        <v>12488.522999999999</v>
        <stp/>
        <stp>FWRC1#GBPINR#Month Wise Rates#0#AskPrice10</stp>
        <tr r="H7" s="22"/>
      </tp>
      <tp>
        <v>22413.239099999999</v>
        <stp/>
        <stp>FWRC1#GBPINR#Month Wise Rates#0#AskPrice13</stp>
        <tr r="H10" s="22"/>
      </tp>
      <tp>
        <v>18680.900699999998</v>
        <stp/>
        <stp>FWRC1#GBPINR#Month Wise Rates#0#AskPrice12</stp>
        <tr r="H9" s="22"/>
      </tp>
      <tp>
        <v>38194.93</v>
        <stp/>
        <stp>FWRC1#GBPINR#Month Wise Rates#0#AskPrice18</stp>
        <tr r="H15" s="22"/>
      </tp>
      <tp>
        <v>1.2451000000000001</v>
        <stp/>
        <stp>FWRC1#GBPUSD#Month Wise Rates#0#FwdOutrightBid8</stp>
        <tr r="E7" s="20"/>
      </tp>
      <tp>
        <v>1.2452000000000001</v>
        <stp/>
        <stp>FWRC1#GBPUSD#Month Wise Rates#0#FwdOutrightBid9</stp>
        <tr r="F7" s="20"/>
      </tp>
      <tp>
        <v>1.2450000000000001</v>
        <stp/>
        <stp>FWRC1#GBPUSD#Month Wise Rates#0#FwdOutrightBid7</stp>
        <tr r="D7" s="20"/>
      </tp>
      <tp>
        <v>1.2446999999999999</v>
        <stp/>
        <stp>FWRC1#GBPUSD#Month Wise Rates#0#FwdOutrightBid2</stp>
        <tr r="C7" s="20"/>
      </tp>
      <tp>
        <v>85.287499999999994</v>
        <stp/>
        <stp>FWRC1#EURINR#Month End Rates#0#Close0</stp>
        <tr r="B20" s="23"/>
        <tr r="C20" s="23"/>
        <tr r="D20" s="23"/>
        <tr r="E20" s="23"/>
        <tr r="F20" s="23"/>
        <tr r="G20" s="23"/>
        <tr r="H20" s="23"/>
        <tr r="I20" s="23"/>
        <tr r="J20" s="23"/>
        <tr r="K20" s="23"/>
        <tr r="L20" s="23"/>
        <tr r="M20" s="23"/>
        <tr r="N20" s="23"/>
      </tp>
      <tp>
        <v>100.78749999999999</v>
        <stp/>
        <stp>FWRC1#EURINR#Month End Rates#0#Close7</stp>
        <tr r="F20" s="23"/>
      </tp>
      <tp>
        <v>68.944999999999993</v>
        <stp/>
        <stp>FWRC1#EURINR#Month End Rates#0#Close6</stp>
        <tr r="E20" s="23"/>
      </tp>
      <tp>
        <v>35.935000000000002</v>
        <stp/>
        <stp>FWRC1#EURINR#Month End Rates#0#Close5</stp>
        <tr r="D20" s="23"/>
      </tp>
      <tp>
        <v>5.2949999999999999</v>
        <stp/>
        <stp>FWRC1#EURINR#Month End Rates#0#Close4</stp>
        <tr r="C20" s="23"/>
      </tp>
      <tp>
        <v>165.16249999999999</v>
        <stp/>
        <stp>FWRC1#EURINR#Month End Rates#0#Close9</stp>
        <tr r="H20" s="23"/>
      </tp>
      <tp>
        <v>132.51249999999999</v>
        <stp/>
        <stp>FWRC1#EURINR#Month End Rates#0#Close8</stp>
        <tr r="G20" s="23"/>
      </tp>
      <tp>
        <v>101.36</v>
        <stp/>
        <stp>FWRC1#EURUSD#Month Wise Rates#0#AskPrice18</stp>
        <tr r="O5" s="19"/>
        <tr r="L15" s="22"/>
      </tp>
      <tp>
        <v>40.369999999999997</v>
        <stp/>
        <stp>FWRC1#EURUSD#Month Wise Rates#0#AskPrice11</stp>
        <tr r="L8" s="22"/>
        <tr r="H5" s="19"/>
      </tp>
      <tp>
        <v>32.83</v>
        <stp/>
        <stp>FWRC1#EURUSD#Month Wise Rates#0#AskPrice10</stp>
        <tr r="G5" s="19"/>
        <tr r="L7" s="22"/>
      </tp>
      <tp>
        <v>63.86</v>
        <stp/>
        <stp>FWRC1#EURUSD#Month Wise Rates#0#AskPrice13</stp>
        <tr r="L10" s="22"/>
        <tr r="J5" s="19"/>
      </tp>
      <tp>
        <v>48.34</v>
        <stp/>
        <stp>FWRC1#EURUSD#Month Wise Rates#0#AskPrice12</stp>
        <tr r="L9" s="22"/>
        <tr r="I5" s="19"/>
      </tp>
      <tp>
        <v>77.56</v>
        <stp/>
        <stp>FWRC1#EURUSD#Month Wise Rates#0#AskPrice15</stp>
        <tr r="L12" s="22"/>
        <tr r="L5" s="19"/>
      </tp>
      <tp>
        <v>70.16</v>
        <stp/>
        <stp>FWRC1#EURUSD#Month Wise Rates#0#AskPrice14</stp>
        <tr r="L11" s="22"/>
        <tr r="K5" s="19"/>
      </tp>
      <tp>
        <v>96.84</v>
        <stp/>
        <stp>FWRC1#EURUSD#Month Wise Rates#0#AskPrice17</stp>
        <tr r="N5" s="19"/>
        <tr r="L14" s="22"/>
      </tp>
      <tp>
        <v>89.01</v>
        <stp/>
        <stp>FWRC1#EURUSD#Month Wise Rates#0#AskPrice16</stp>
        <tr r="M5" s="19"/>
        <tr r="L13" s="22"/>
      </tp>
      <tp>
        <v>60.36</v>
        <stp/>
        <stp>FWRC1#EURUSD#Month Wise Rates#0#BidPrice13</stp>
        <tr r="K10" s="22"/>
        <tr r="J4" s="19"/>
      </tp>
      <tp>
        <v>47.54</v>
        <stp/>
        <stp>FWRC1#EURUSD#Month Wise Rates#0#BidPrice12</stp>
        <tr r="I4" s="19"/>
        <tr r="K9" s="22"/>
      </tp>
      <tp>
        <v>39.630000000000003</v>
        <stp/>
        <stp>FWRC1#EURUSD#Month Wise Rates#0#BidPrice11</stp>
        <tr r="K8" s="22"/>
        <tr r="H4" s="19"/>
      </tp>
      <tp>
        <v>32.29</v>
        <stp/>
        <stp>FWRC1#EURUSD#Month Wise Rates#0#BidPrice10</stp>
        <tr r="K7" s="22"/>
        <tr r="G4" s="19"/>
      </tp>
      <tp>
        <v>91.34</v>
        <stp/>
        <stp>FWRC1#EURUSD#Month Wise Rates#0#BidPrice17</stp>
        <tr r="N4" s="19"/>
        <tr r="K14" s="22"/>
      </tp>
      <tp>
        <v>84.01</v>
        <stp/>
        <stp>FWRC1#EURUSD#Month Wise Rates#0#BidPrice16</stp>
        <tr r="K13" s="22"/>
        <tr r="M4" s="19"/>
      </tp>
      <tp>
        <v>75.06</v>
        <stp/>
        <stp>FWRC1#EURUSD#Month Wise Rates#0#BidPrice15</stp>
        <tr r="K12" s="22"/>
        <tr r="L4" s="19"/>
      </tp>
      <tp>
        <v>67.959999999999994</v>
        <stp/>
        <stp>FWRC1#EURUSD#Month Wise Rates#0#BidPrice14</stp>
        <tr r="K4" s="19"/>
        <tr r="K11" s="22"/>
      </tp>
      <tp>
        <v>98.46</v>
        <stp/>
        <stp>FWRC1#EURUSD#Month Wise Rates#0#BidPrice18</stp>
        <tr r="O4" s="19"/>
        <tr r="K15" s="22"/>
      </tp>
      <tp>
        <v>76.17</v>
        <stp/>
        <stp>17#1#1#6069#USDINRCOMP#Open</stp>
        <tr r="B2" s="23"/>
        <tr r="E3" s="10"/>
      </tp>
      <tp>
        <v>85.327500000000001</v>
        <stp/>
        <stp>17#3#1#5949#EURINRCOMP#High</stp>
        <tr r="C3" s="23"/>
        <tr r="F4" s="10"/>
      </tp>
      <tp>
        <v>1.1274999999999999</v>
        <stp/>
        <stp>FWRC1#EURUSD#Month Wise Rates#0#FwdOutrightBid8</stp>
        <tr r="E7" s="19"/>
      </tp>
      <tp>
        <v>1.1284000000000001</v>
        <stp/>
        <stp>FWRC1#EURUSD#Month Wise Rates#0#FwdOutrightBid9</stp>
        <tr r="F7" s="19"/>
      </tp>
      <tp>
        <v>1.1268</v>
        <stp/>
        <stp>FWRC1#EURUSD#Month Wise Rates#0#FwdOutrightBid7</stp>
        <tr r="D7" s="19"/>
      </tp>
      <tp>
        <v>1.1263000000000001</v>
        <stp/>
        <stp>FWRC1#EURUSD#Month Wise Rates#0#FwdOutrightBid2</stp>
        <tr r="C7" s="19"/>
      </tp>
      <tp>
        <v>94.462500000000006</v>
        <stp/>
        <stp>FWRC1#GBPINR#Month End Rates#0#Close0</stp>
        <tr r="B21" s="23"/>
        <tr r="C21" s="23"/>
        <tr r="D21" s="23"/>
        <tr r="E21" s="23"/>
        <tr r="F21" s="23"/>
        <tr r="G21" s="23"/>
        <tr r="H21" s="23"/>
        <tr r="I21" s="23"/>
        <tr r="J21" s="23"/>
        <tr r="K21" s="23"/>
        <tr r="L21" s="23"/>
        <tr r="M21" s="23"/>
        <tr r="N21" s="23"/>
      </tp>
      <tp>
        <v>3374.335</v>
        <stp/>
        <stp>FWRC1#GBPINR#Month End Rates#0#Close5</stp>
        <tr r="D21" s="23"/>
      </tp>
      <tp>
        <v>500.62</v>
        <stp/>
        <stp>FWRC1#GBPINR#Month End Rates#0#Close4</stp>
        <tr r="C21" s="23"/>
      </tp>
      <tp>
        <v>9518.5349999999999</v>
        <stp/>
        <stp>FWRC1#GBPINR#Month End Rates#0#Close7</stp>
        <tr r="F21" s="23"/>
      </tp>
      <tp>
        <v>6503.7025000000003</v>
        <stp/>
        <stp>FWRC1#GBPINR#Month End Rates#0#Close6</stp>
        <tr r="E21" s="23"/>
      </tp>
      <tp>
        <v>15502.6</v>
        <stp/>
        <stp>FWRC1#GBPINR#Month End Rates#0#Close9</stp>
        <tr r="H21" s="23"/>
      </tp>
      <tp>
        <v>12491.102500000001</v>
        <stp/>
        <stp>FWRC1#GBPINR#Month End Rates#0#Close8</stp>
        <tr r="G21" s="23"/>
      </tp>
      <tp t="s">
        <v>26-Feb-2021</v>
        <stp/>
        <stp>FWRC1#JPYINR#Month End Rates#0#S#PillarDate12</stp>
        <tr r="L2" s="18"/>
      </tp>
      <tp t="s">
        <v>31-Mar-2021</v>
        <stp/>
        <stp>FWRC1#JPYINR#Month End Rates#0#S#PillarDate13</stp>
        <tr r="M2" s="18"/>
      </tp>
      <tp t="s">
        <v>31-Dec-2020</v>
        <stp/>
        <stp>FWRC1#JPYINR#Month End Rates#0#S#PillarDate10</stp>
        <tr r="J2" s="18"/>
      </tp>
      <tp t="s">
        <v>29-Jan-2021</v>
        <stp/>
        <stp>FWRC1#JPYINR#Month End Rates#0#S#PillarDate11</stp>
        <tr r="K2" s="18"/>
      </tp>
      <tp t="s">
        <v>30-Apr-2021</v>
        <stp/>
        <stp>FWRC1#JPYINR#Month End Rates#0#S#PillarDate14</stp>
        <tr r="N2" s="18"/>
      </tp>
      <tp t="s">
        <v>31-May-2021</v>
        <stp/>
        <stp>FWRC1#JPYINR#Month End Rates#0#S#PillarDate15</stp>
        <tr r="O2" s="18"/>
      </tp>
      <tp>
        <v>76.19</v>
        <stp/>
        <stp>17#1#1#6069#USDINRCOMP#Close</stp>
        <tr r="H3" s="10"/>
      </tp>
      <tp>
        <v>39719.105100000001</v>
        <stp/>
        <stp>FWRC1#CHFINR#Month Wise Rates#0#Close18</stp>
        <tr r="N23" s="23"/>
      </tp>
      <tp>
        <v>12784.577600000001</v>
        <stp/>
        <stp>FWRC1#CHFINR#Month Wise Rates#0#Close10</stp>
        <tr r="F23" s="23"/>
      </tp>
      <tp>
        <v>15826.3457</v>
        <stp/>
        <stp>FWRC1#CHFINR#Month Wise Rates#0#Close11</stp>
        <tr r="G23" s="23"/>
      </tp>
      <tp>
        <v>19232.160500000002</v>
        <stp/>
        <stp>FWRC1#CHFINR#Month Wise Rates#0#Close12</stp>
        <tr r="H23" s="23"/>
      </tp>
      <tp>
        <v>23108.143199999999</v>
        <stp/>
        <stp>FWRC1#CHFINR#Month Wise Rates#0#Close13</stp>
        <tr r="I23" s="23"/>
      </tp>
      <tp>
        <v>26258.7284</v>
        <stp/>
        <stp>FWRC1#CHFINR#Month Wise Rates#0#Close14</stp>
        <tr r="J23" s="23"/>
      </tp>
      <tp>
        <v>29498.998100000001</v>
        <stp/>
        <stp>FWRC1#CHFINR#Month Wise Rates#0#Close15</stp>
        <tr r="K23" s="23"/>
      </tp>
      <tp>
        <v>33139.053</v>
        <stp/>
        <stp>FWRC1#CHFINR#Month Wise Rates#0#Close16</stp>
        <tr r="L23" s="23"/>
      </tp>
      <tp>
        <v>36782.914900000003</v>
        <stp/>
        <stp>FWRC1#CHFINR#Month Wise Rates#0#Close17</stp>
        <tr r="M23" s="23"/>
      </tp>
      <tp t="s">
        <v>31-May-2021</v>
        <stp/>
        <stp>FWRC1#EURINR#Month End Rates#0#S#MonthEndDate15</stp>
        <tr r="O2" s="16"/>
      </tp>
      <tp t="s">
        <v>30-Apr-2021</v>
        <stp/>
        <stp>FWRC1#EURINR#Month End Rates#0#S#MonthEndDate14</stp>
        <tr r="N2" s="16"/>
      </tp>
      <tp t="s">
        <v>29-Jan-2021</v>
        <stp/>
        <stp>FWRC1#EURINR#Month End Rates#0#S#MonthEndDate11</stp>
        <tr r="K2" s="16"/>
      </tp>
      <tp t="s">
        <v>31-Dec-2020</v>
        <stp/>
        <stp>FWRC1#EURINR#Month End Rates#0#S#MonthEndDate10</stp>
        <tr r="J2" s="16"/>
      </tp>
      <tp t="s">
        <v>31-Mar-2021</v>
        <stp/>
        <stp>FWRC1#EURINR#Month End Rates#0#S#MonthEndDate13</stp>
        <tr r="M2" s="16"/>
      </tp>
      <tp t="s">
        <v>26-Feb-2021</v>
        <stp/>
        <stp>FWRC1#EURINR#Month End Rates#0#S#MonthEndDate12</stp>
        <tr r="L2" s="16"/>
      </tp>
      <tp t="s">
        <v>CASH/SPOT</v>
        <stp/>
        <stp>FWRC1#USDINR#Month End Rates#0#S#Desc.2</stp>
        <tr r="C1" s="14"/>
      </tp>
      <tp t="s">
        <v>SEP-2020</v>
        <stp/>
        <stp>FWRC1#USDINR#Month End Rates#0#S#Desc.7</stp>
        <tr r="G1" s="14"/>
      </tp>
      <tp t="s">
        <v>AUG-2020</v>
        <stp/>
        <stp>FWRC1#USDINR#Month End Rates#0#S#Desc.6</stp>
        <tr r="F1" s="14"/>
      </tp>
      <tp t="s">
        <v>JUL-2020</v>
        <stp/>
        <stp>FWRC1#USDINR#Month End Rates#0#S#Desc.5</stp>
        <tr r="E1" s="14"/>
      </tp>
      <tp t="s">
        <v>JUN-2020</v>
        <stp/>
        <stp>FWRC1#USDINR#Month End Rates#0#S#Desc.4</stp>
        <tr r="D1" s="14"/>
      </tp>
      <tp t="s">
        <v>NOV-2020</v>
        <stp/>
        <stp>FWRC1#USDINR#Month End Rates#0#S#Desc.9</stp>
        <tr r="I1" s="14"/>
      </tp>
      <tp t="s">
        <v>OCT-2020</v>
        <stp/>
        <stp>FWRC1#USDINR#Month End Rates#0#S#Desc.8</stp>
        <tr r="H1" s="14"/>
      </tp>
      <tp>
        <v>3.8201000000000001</v>
        <stp/>
        <stp>FWRC1#USDINR#Month Wise Rates#0#Ask%18</stp>
        <tr r="O11" s="15"/>
      </tp>
      <tp>
        <v>3.7621000000000002</v>
        <stp/>
        <stp>FWRC1#USDINR#Month Wise Rates#0#Ask%14</stp>
        <tr r="K11" s="15"/>
      </tp>
      <tp>
        <v>3.7770999999999999</v>
        <stp/>
        <stp>FWRC1#USDINR#Month Wise Rates#0#Ask%15</stp>
        <tr r="L11" s="15"/>
      </tp>
      <tp>
        <v>3.8675000000000002</v>
        <stp/>
        <stp>FWRC1#USDINR#Month Wise Rates#0#Ask%16</stp>
        <tr r="M11" s="15"/>
      </tp>
      <tp>
        <v>3.8512</v>
        <stp/>
        <stp>FWRC1#USDINR#Month Wise Rates#0#Ask%17</stp>
        <tr r="N11" s="15"/>
      </tp>
      <tp>
        <v>3.6983000000000001</v>
        <stp/>
        <stp>FWRC1#USDINR#Month Wise Rates#0#Ask%10</stp>
        <tr r="G11" s="15"/>
      </tp>
      <tp>
        <v>3.7363</v>
        <stp/>
        <stp>FWRC1#USDINR#Month Wise Rates#0#Ask%11</stp>
        <tr r="H11" s="15"/>
      </tp>
      <tp>
        <v>3.7553000000000001</v>
        <stp/>
        <stp>FWRC1#USDINR#Month Wise Rates#0#Ask%12</stp>
        <tr r="I11" s="15"/>
      </tp>
      <tp>
        <v>3.774</v>
        <stp/>
        <stp>FWRC1#USDINR#Month Wise Rates#0#Ask%13</stp>
        <tr r="J11" s="15"/>
      </tp>
      <tp>
        <v>3.8355999999999999</v>
        <stp/>
        <stp>FWRC1#USDINR#Month Wise Rates#0#Bid%16</stp>
        <tr r="M10" s="15"/>
      </tp>
      <tp>
        <v>3.8218999999999999</v>
        <stp/>
        <stp>FWRC1#USDINR#Month Wise Rates#0#Bid%17</stp>
        <tr r="N10" s="15"/>
      </tp>
      <tp>
        <v>3.7223999999999999</v>
        <stp/>
        <stp>FWRC1#USDINR#Month Wise Rates#0#Bid%14</stp>
        <tr r="K10" s="15"/>
      </tp>
      <tp>
        <v>3.7414000000000001</v>
        <stp/>
        <stp>FWRC1#USDINR#Month Wise Rates#0#Bid%15</stp>
        <tr r="L10" s="15"/>
      </tp>
      <tp>
        <v>3.7023000000000001</v>
        <stp/>
        <stp>FWRC1#USDINR#Month Wise Rates#0#Bid%12</stp>
        <tr r="I10" s="15"/>
      </tp>
      <tp>
        <v>3.7288999999999999</v>
        <stp/>
        <stp>FWRC1#USDINR#Month Wise Rates#0#Bid%13</stp>
        <tr r="J10" s="15"/>
      </tp>
      <tp>
        <v>3.6202999999999999</v>
        <stp/>
        <stp>FWRC1#USDINR#Month Wise Rates#0#Bid%10</stp>
        <tr r="G10" s="15"/>
      </tp>
      <tp>
        <v>3.6730999999999998</v>
        <stp/>
        <stp>FWRC1#USDINR#Month Wise Rates#0#Bid%11</stp>
        <tr r="H10" s="15"/>
      </tp>
      <tp>
        <v>3.7932000000000001</v>
        <stp/>
        <stp>FWRC1#USDINR#Month Wise Rates#0#Bid%18</stp>
        <tr r="O10" s="15"/>
      </tp>
      <tp>
        <v>71.25</v>
        <stp/>
        <stp>17#3#1#5978#JPYINRCOMP#Close</stp>
        <tr r="H6" s="10"/>
      </tp>
      <tp>
        <v>10363.030000000001</v>
        <stp/>
        <stp>FWRC1#JPYINR#Month End Rates#0#Close8</stp>
        <tr r="G22" s="23"/>
      </tp>
      <tp>
        <v>12962.5075</v>
        <stp/>
        <stp>FWRC1#JPYINR#Month End Rates#0#Close9</stp>
        <tr r="H22" s="23"/>
      </tp>
      <tp>
        <v>71.084999999999994</v>
        <stp/>
        <stp>FWRC1#JPYINR#Month End Rates#0#Close0</stp>
        <tr r="B22" s="23"/>
        <tr r="C22" s="23"/>
        <tr r="D22" s="23"/>
        <tr r="E22" s="23"/>
        <tr r="F22" s="23"/>
        <tr r="G22" s="23"/>
        <tr r="H22" s="23"/>
        <tr r="I22" s="23"/>
        <tr r="J22" s="23"/>
        <tr r="K22" s="23"/>
        <tr r="L22" s="23"/>
        <tr r="M22" s="23"/>
        <tr r="N22" s="23"/>
      </tp>
      <tp>
        <v>423.76</v>
        <stp/>
        <stp>FWRC1#JPYINR#Month End Rates#0#Close4</stp>
        <tr r="C22" s="23"/>
      </tp>
      <tp>
        <v>2796.8449999999998</v>
        <stp/>
        <stp>FWRC1#JPYINR#Month End Rates#0#Close5</stp>
        <tr r="D22" s="23"/>
      </tp>
      <tp>
        <v>5389.4949999999999</v>
        <stp/>
        <stp>FWRC1#JPYINR#Month End Rates#0#Close6</stp>
        <tr r="E22" s="23"/>
      </tp>
      <tp>
        <v>7876.6450000000004</v>
        <stp/>
        <stp>FWRC1#JPYINR#Month End Rates#0#Close7</stp>
        <tr r="F22" s="23"/>
      </tp>
      <tp t="s">
        <v>31-Mar-2021</v>
        <stp/>
        <stp>FWRC1#GBPINR#Month End Rates#0#S#PillarDate13</stp>
        <tr r="M2" s="17"/>
      </tp>
      <tp t="s">
        <v>26-Feb-2021</v>
        <stp/>
        <stp>FWRC1#GBPINR#Month End Rates#0#S#PillarDate12</stp>
        <tr r="L2" s="17"/>
      </tp>
      <tp t="s">
        <v>29-Jan-2021</v>
        <stp/>
        <stp>FWRC1#GBPINR#Month End Rates#0#S#PillarDate11</stp>
        <tr r="K2" s="17"/>
      </tp>
      <tp t="s">
        <v>31-Dec-2020</v>
        <stp/>
        <stp>FWRC1#GBPINR#Month End Rates#0#S#PillarDate10</stp>
        <tr r="J2" s="17"/>
      </tp>
      <tp t="s">
        <v>31-May-2021</v>
        <stp/>
        <stp>FWRC1#GBPINR#Month End Rates#0#S#PillarDate15</stp>
        <tr r="O2" s="17"/>
      </tp>
      <tp t="s">
        <v>30-Apr-2021</v>
        <stp/>
        <stp>FWRC1#GBPINR#Month End Rates#0#S#PillarDate14</stp>
        <tr r="N2" s="17"/>
      </tp>
      <tp>
        <v>106.7257</v>
        <stp/>
        <stp>FWRC1#USDJPY#Month Wise Rates#0#FwdOutrightAsk9</stp>
        <tr r="F8" s="21"/>
      </tp>
      <tp>
        <v>106.76439999999999</v>
        <stp/>
        <stp>FWRC1#USDJPY#Month Wise Rates#0#FwdOutrightAsk8</stp>
        <tr r="E8" s="21"/>
      </tp>
      <tp>
        <v>106.8301</v>
        <stp/>
        <stp>FWRC1#USDJPY#Month Wise Rates#0#FwdOutrightAsk7</stp>
        <tr r="D8" s="21"/>
      </tp>
      <tp>
        <v>106.87179999999999</v>
        <stp/>
        <stp>FWRC1#USDJPY#Month Wise Rates#0#FwdOutrightAsk2</stp>
        <tr r="C8" s="21"/>
      </tp>
      <tp t="s">
        <v/>
        <stp/>
        <stp>FWRC1#USDINR#Month Wise Rates#0#FwdOutrightAsk2</stp>
        <tr r="C8" s="15"/>
      </tp>
      <tp>
        <v>76.262799999999999</v>
        <stp/>
        <stp>FWRC1#USDINR#Month Wise Rates#0#FwdOutrightAsk7</stp>
        <tr r="D8" s="15"/>
      </tp>
      <tp>
        <v>76.727000000000004</v>
        <stp/>
        <stp>FWRC1#USDINR#Month Wise Rates#0#FwdOutrightAsk9</stp>
        <tr r="F8" s="15"/>
      </tp>
      <tp>
        <v>76.484800000000007</v>
        <stp/>
        <stp>FWRC1#USDINR#Month Wise Rates#0#FwdOutrightAsk8</stp>
        <tr r="E8" s="15"/>
      </tp>
      <tp>
        <v>80.099999999999994</v>
        <stp/>
        <stp>17#3#1#6056#CHFINRCOMP#High</stp>
        <tr r="C6" s="23"/>
      </tp>
      <tp>
        <v>71.257499999999993</v>
        <stp/>
        <stp>17#3#1#5978#JPYINRCOMP#High</stp>
        <tr r="C5" s="23"/>
        <tr r="F6" s="10"/>
      </tp>
      <tp>
        <v>-22.59</v>
        <stp/>
        <stp>FWRC1#USDJPY#Month Wise Rates#0#Close10</stp>
        <tr r="F29" s="23"/>
      </tp>
      <tp>
        <v>-27.23</v>
        <stp/>
        <stp>FWRC1#USDJPY#Month Wise Rates#0#Close11</stp>
        <tr r="G29" s="23"/>
      </tp>
      <tp>
        <v>-31.96</v>
        <stp/>
        <stp>FWRC1#USDJPY#Month Wise Rates#0#Close12</stp>
        <tr r="H29" s="23"/>
      </tp>
      <tp>
        <v>-46.36</v>
        <stp/>
        <stp>FWRC1#USDJPY#Month Wise Rates#0#Close13</stp>
        <tr r="I29" s="23"/>
      </tp>
      <tp>
        <v>-52.1</v>
        <stp/>
        <stp>FWRC1#USDJPY#Month Wise Rates#0#Close14</stp>
        <tr r="J29" s="23"/>
      </tp>
      <tp>
        <v>-57.13</v>
        <stp/>
        <stp>FWRC1#USDJPY#Month Wise Rates#0#Close15</stp>
        <tr r="K29" s="23"/>
      </tp>
      <tp>
        <v>-64.81</v>
        <stp/>
        <stp>FWRC1#USDJPY#Month Wise Rates#0#Close16</stp>
        <tr r="L29" s="23"/>
      </tp>
      <tp>
        <v>-69.81</v>
        <stp/>
        <stp>FWRC1#USDJPY#Month Wise Rates#0#Close17</stp>
        <tr r="M29" s="23"/>
      </tp>
      <tp>
        <v>-75.92</v>
        <stp/>
        <stp>FWRC1#USDJPY#Month Wise Rates#0#Close18</stp>
        <tr r="N29" s="23"/>
      </tp>
      <tp>
        <v>21195.338599999999</v>
        <stp/>
        <stp>FWRC1#SGDINR#Month Wise Rates#0#Close18</stp>
        <tr r="N26" s="23"/>
      </tp>
      <tp>
        <v>7040.6526999999996</v>
        <stp/>
        <stp>FWRC1#SGDINR#Month Wise Rates#0#Close10</stp>
        <tr r="F26" s="23"/>
      </tp>
      <tp>
        <v>8653.9776000000002</v>
        <stp/>
        <stp>FWRC1#SGDINR#Month Wise Rates#0#Close11</stp>
        <tr r="G26" s="23"/>
      </tp>
      <tp>
        <v>10473.6672</v>
        <stp/>
        <stp>FWRC1#SGDINR#Month Wise Rates#0#Close12</stp>
        <tr r="H26" s="23"/>
      </tp>
      <tp>
        <v>12402.7377</v>
        <stp/>
        <stp>FWRC1#SGDINR#Month Wise Rates#0#Close13</stp>
        <tr r="I26" s="23"/>
      </tp>
      <tp>
        <v>14087.9157</v>
        <stp/>
        <stp>FWRC1#SGDINR#Month Wise Rates#0#Close14</stp>
        <tr r="J26" s="23"/>
      </tp>
      <tp>
        <v>15756.749</v>
        <stp/>
        <stp>FWRC1#SGDINR#Month Wise Rates#0#Close15</stp>
        <tr r="K26" s="23"/>
      </tp>
      <tp>
        <v>18040.245299999999</v>
        <stp/>
        <stp>FWRC1#SGDINR#Month Wise Rates#0#Close16</stp>
        <tr r="L26" s="23"/>
      </tp>
      <tp>
        <v>19582.209599999998</v>
        <stp/>
        <stp>FWRC1#SGDINR#Month Wise Rates#0#Close17</stp>
        <tr r="M26" s="23"/>
      </tp>
      <tp>
        <v>21283.477200000001</v>
        <stp/>
        <stp>FWRC1#CADINR#Month Wise Rates#0#Close18</stp>
        <tr r="N24" s="23"/>
      </tp>
      <tp>
        <v>19515.781599999998</v>
        <stp/>
        <stp>FWRC1#AUDINR#Month Wise Rates#0#Close18</stp>
        <tr r="N25" s="23"/>
      </tp>
      <tp>
        <v>9668.2713000000003</v>
        <stp/>
        <stp>FWRC1#AUDINR#Month Wise Rates#0#Close12</stp>
        <tr r="H25" s="23"/>
      </tp>
      <tp>
        <v>6933.5780999999997</v>
        <stp/>
        <stp>FWRC1#CADINR#Month Wise Rates#0#Close10</stp>
        <tr r="F24" s="23"/>
      </tp>
      <tp>
        <v>11453.3482</v>
        <stp/>
        <stp>FWRC1#AUDINR#Month Wise Rates#0#Close13</stp>
        <tr r="I25" s="23"/>
      </tp>
      <tp>
        <v>8552.1350999999995</v>
        <stp/>
        <stp>FWRC1#CADINR#Month Wise Rates#0#Close11</stp>
        <tr r="G24" s="23"/>
      </tp>
      <tp>
        <v>6430.9867000000004</v>
        <stp/>
        <stp>FWRC1#AUDINR#Month Wise Rates#0#Close10</stp>
        <tr r="F25" s="23"/>
      </tp>
      <tp>
        <v>10451.837</v>
        <stp/>
        <stp>FWRC1#CADINR#Month Wise Rates#0#Close12</stp>
        <tr r="H24" s="23"/>
      </tp>
      <tp>
        <v>7937.9964</v>
        <stp/>
        <stp>FWRC1#AUDINR#Month Wise Rates#0#Close11</stp>
        <tr r="G25" s="23"/>
      </tp>
      <tp>
        <v>12500.172500000001</v>
        <stp/>
        <stp>FWRC1#CADINR#Month Wise Rates#0#Close13</stp>
        <tr r="I24" s="23"/>
      </tp>
      <tp>
        <v>16624.640299999999</v>
        <stp/>
        <stp>FWRC1#AUDINR#Month Wise Rates#0#Close16</stp>
        <tr r="L25" s="23"/>
      </tp>
      <tp>
        <v>14068.7232</v>
        <stp/>
        <stp>FWRC1#CADINR#Month Wise Rates#0#Close14</stp>
        <tr r="J24" s="23"/>
      </tp>
      <tp>
        <v>18050.834599999998</v>
        <stp/>
        <stp>FWRC1#AUDINR#Month Wise Rates#0#Close17</stp>
        <tr r="M25" s="23"/>
      </tp>
      <tp>
        <v>15915.485199999999</v>
        <stp/>
        <stp>FWRC1#CADINR#Month Wise Rates#0#Close15</stp>
        <tr r="K24" s="23"/>
      </tp>
      <tp>
        <v>12970.966700000001</v>
        <stp/>
        <stp>FWRC1#AUDINR#Month Wise Rates#0#Close14</stp>
        <tr r="J25" s="23"/>
      </tp>
      <tp>
        <v>18140.214</v>
        <stp/>
        <stp>FWRC1#CADINR#Month Wise Rates#0#Close16</stp>
        <tr r="L24" s="23"/>
      </tp>
      <tp>
        <v>14515.489100000001</v>
        <stp/>
        <stp>FWRC1#AUDINR#Month Wise Rates#0#Close15</stp>
        <tr r="K25" s="23"/>
      </tp>
      <tp>
        <v>19814.818500000001</v>
        <stp/>
        <stp>FWRC1#CADINR#Month Wise Rates#0#Close17</stp>
        <tr r="M24" s="23"/>
      </tp>
      <tp>
        <v>-3.9</v>
        <stp/>
        <stp>FWRC1#USDCAD#Month Wise Rates#0#Close11</stp>
        <tr r="G31" s="23"/>
      </tp>
      <tp>
        <v>-108.87</v>
        <stp/>
        <stp>FWRC1#USDCHF#Month Wise Rates#0#Close18</stp>
        <tr r="N30" s="23"/>
      </tp>
      <tp>
        <v>-3.78</v>
        <stp/>
        <stp>FWRC1#USDCAD#Month Wise Rates#0#Close10</stp>
        <tr r="F31" s="23"/>
      </tp>
      <tp>
        <v>-6.83</v>
        <stp/>
        <stp>FWRC1#USDCAD#Month Wise Rates#0#Close13</stp>
        <tr r="I31" s="23"/>
      </tp>
      <tp>
        <v>-4.0599999999999996</v>
        <stp/>
        <stp>FWRC1#USDCAD#Month Wise Rates#0#Close12</stp>
        <tr r="H31" s="23"/>
      </tp>
      <tp>
        <v>-6.08</v>
        <stp/>
        <stp>FWRC1#USDCAD#Month Wise Rates#0#Close15</stp>
        <tr r="K31" s="23"/>
      </tp>
      <tp>
        <v>-6.18</v>
        <stp/>
        <stp>FWRC1#USDCAD#Month Wise Rates#0#Close14</stp>
        <tr r="J31" s="23"/>
      </tp>
      <tp>
        <v>-13.41</v>
        <stp/>
        <stp>FWRC1#USDCAD#Month Wise Rates#0#Close17</stp>
        <tr r="M31" s="23"/>
      </tp>
      <tp>
        <v>-6.01</v>
        <stp/>
        <stp>FWRC1#USDCAD#Month Wise Rates#0#Close16</stp>
        <tr r="L31" s="23"/>
      </tp>
      <tp>
        <v>-35.619999999999997</v>
        <stp/>
        <stp>FWRC1#USDCHF#Month Wise Rates#0#Close10</stp>
        <tr r="F30" s="23"/>
      </tp>
      <tp>
        <v>-4.47</v>
        <stp/>
        <stp>FWRC1#USDCAD#Month Wise Rates#0#Close18</stp>
        <tr r="N31" s="23"/>
      </tp>
      <tp>
        <v>-43.597000000000001</v>
        <stp/>
        <stp>FWRC1#USDCHF#Month Wise Rates#0#Close11</stp>
        <tr r="G30" s="23"/>
      </tp>
      <tp>
        <v>-52.15</v>
        <stp/>
        <stp>FWRC1#USDCHF#Month Wise Rates#0#Close12</stp>
        <tr r="H30" s="23"/>
      </tp>
      <tp>
        <v>-65.84</v>
        <stp/>
        <stp>FWRC1#USDCHF#Month Wise Rates#0#Close13</stp>
        <tr r="I30" s="23"/>
      </tp>
      <tp>
        <v>-75.47</v>
        <stp/>
        <stp>FWRC1#USDCHF#Month Wise Rates#0#Close14</stp>
        <tr r="J30" s="23"/>
      </tp>
      <tp>
        <v>-83.27</v>
        <stp/>
        <stp>FWRC1#USDCHF#Month Wise Rates#0#Close15</stp>
        <tr r="K30" s="23"/>
      </tp>
      <tp>
        <v>-91.77</v>
        <stp/>
        <stp>FWRC1#USDCHF#Month Wise Rates#0#Close16</stp>
        <tr r="L30" s="23"/>
      </tp>
      <tp>
        <v>-98.44</v>
        <stp/>
        <stp>FWRC1#USDCHF#Month Wise Rates#0#Close17</stp>
        <tr r="M30" s="23"/>
      </tp>
      <tp>
        <v>-3.17</v>
        <stp/>
        <stp>FWRC1#AUDUSD#Month Wise Rates#0#Close17</stp>
        <tr r="M32" s="23"/>
      </tp>
      <tp>
        <v>-2.64</v>
        <stp/>
        <stp>FWRC1#AUDUSD#Month Wise Rates#0#Close16</stp>
        <tr r="L32" s="23"/>
      </tp>
      <tp>
        <v>-1.71</v>
        <stp/>
        <stp>FWRC1#AUDUSD#Month Wise Rates#0#Close15</stp>
        <tr r="K32" s="23"/>
      </tp>
      <tp>
        <v>-1.145</v>
        <stp/>
        <stp>FWRC1#AUDUSD#Month Wise Rates#0#Close14</stp>
        <tr r="J32" s="23"/>
      </tp>
      <tp>
        <v>-0.71</v>
        <stp/>
        <stp>FWRC1#AUDUSD#Month Wise Rates#0#Close13</stp>
        <tr r="I32" s="23"/>
      </tp>
      <tp>
        <v>-0.09</v>
        <stp/>
        <stp>FWRC1#AUDUSD#Month Wise Rates#0#Close12</stp>
        <tr r="H32" s="23"/>
      </tp>
      <tp>
        <v>0.28999999999999998</v>
        <stp/>
        <stp>FWRC1#AUDUSD#Month Wise Rates#0#Close11</stp>
        <tr r="G32" s="23"/>
      </tp>
      <tp>
        <v>0.62</v>
        <stp/>
        <stp>FWRC1#AUDUSD#Month Wise Rates#0#Close10</stp>
        <tr r="F32" s="23"/>
      </tp>
      <tp>
        <v>-4.41</v>
        <stp/>
        <stp>FWRC1#AUDUSD#Month Wise Rates#0#Close18</stp>
        <tr r="N32" s="23"/>
      </tp>
      <tp>
        <v>85.462500000000006</v>
        <stp/>
        <stp>17#3#1#5949#EURINRCOMP#Close</stp>
        <tr r="H4" s="10"/>
      </tp>
      <tp>
        <v>0.21340000000000001</v>
        <stp/>
        <stp>FWRC1#GBPUSD#Month Wise Rates#0#Ask%10</stp>
        <tr r="G11" s="20"/>
      </tp>
      <tp>
        <v>0.2059</v>
        <stp/>
        <stp>FWRC1#GBPUSD#Month Wise Rates#0#Ask%11</stp>
        <tr r="H11" s="20"/>
      </tp>
      <tp>
        <v>0.19769999999999999</v>
        <stp/>
        <stp>FWRC1#GBPUSD#Month Wise Rates#0#Ask%12</stp>
        <tr r="I11" s="20"/>
      </tp>
      <tp>
        <v>0.245</v>
        <stp/>
        <stp>FWRC1#GBPUSD#Month Wise Rates#0#Ask%13</stp>
        <tr r="J11" s="20"/>
      </tp>
      <tp>
        <v>0.23469999999999999</v>
        <stp/>
        <stp>FWRC1#GBPUSD#Month Wise Rates#0#Ask%14</stp>
        <tr r="K11" s="20"/>
      </tp>
      <tp>
        <v>0.23630000000000001</v>
        <stp/>
        <stp>FWRC1#GBPUSD#Month Wise Rates#0#Ask%15</stp>
        <tr r="L11" s="20"/>
      </tp>
      <tp>
        <v>0.2223</v>
        <stp/>
        <stp>FWRC1#GBPUSD#Month Wise Rates#0#Ask%16</stp>
        <tr r="M11" s="20"/>
      </tp>
      <tp>
        <v>0.21579999999999999</v>
        <stp/>
        <stp>FWRC1#GBPUSD#Month Wise Rates#0#Ask%17</stp>
        <tr r="N11" s="20"/>
      </tp>
      <tp>
        <v>0.20849999999999999</v>
        <stp/>
        <stp>FWRC1#GBPUSD#Month Wise Rates#0#Ask%18</stp>
        <tr r="O11" s="20"/>
      </tp>
      <tp>
        <v>0.18840000000000001</v>
        <stp/>
        <stp>FWRC1#GBPUSD#Month Wise Rates#0#Bid%18</stp>
        <tr r="O10" s="20"/>
      </tp>
      <tp>
        <v>0.1769</v>
        <stp/>
        <stp>FWRC1#GBPUSD#Month Wise Rates#0#Bid%12</stp>
        <tr r="I10" s="20"/>
      </tp>
      <tp>
        <v>0.2243</v>
        <stp/>
        <stp>FWRC1#GBPUSD#Month Wise Rates#0#Bid%13</stp>
        <tr r="J10" s="20"/>
      </tp>
      <tp>
        <v>0.19189999999999999</v>
        <stp/>
        <stp>FWRC1#GBPUSD#Month Wise Rates#0#Bid%10</stp>
        <tr r="G10" s="20"/>
      </tp>
      <tp>
        <v>0.1845</v>
        <stp/>
        <stp>FWRC1#GBPUSD#Month Wise Rates#0#Bid%11</stp>
        <tr r="H10" s="20"/>
      </tp>
      <tp>
        <v>0.2021</v>
        <stp/>
        <stp>FWRC1#GBPUSD#Month Wise Rates#0#Bid%16</stp>
        <tr r="M10" s="20"/>
      </tp>
      <tp>
        <v>0.19570000000000001</v>
        <stp/>
        <stp>FWRC1#GBPUSD#Month Wise Rates#0#Bid%17</stp>
        <tr r="N10" s="20"/>
      </tp>
      <tp>
        <v>0.2142</v>
        <stp/>
        <stp>FWRC1#GBPUSD#Month Wise Rates#0#Bid%14</stp>
        <tr r="K10" s="20"/>
      </tp>
      <tp>
        <v>0.2132</v>
        <stp/>
        <stp>FWRC1#GBPUSD#Month Wise Rates#0#Bid%15</stp>
        <tr r="L10" s="20"/>
      </tp>
      <tp>
        <v>94.48</v>
        <stp/>
        <stp>17#3#1#6031#GBPINRCOMP#High</stp>
        <tr r="C4" s="23"/>
        <tr r="F5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ColWidth="8.85546875" defaultRowHeight="15"/>
  <cols>
    <col min="1" max="1" width="12" bestFit="1" customWidth="1"/>
    <col min="4" max="4" width="9.5703125" bestFit="1" customWidth="1"/>
    <col min="8" max="8" width="8.7109375" bestFit="1" customWidth="1"/>
  </cols>
  <sheetData>
    <row r="1" spans="1:7">
      <c r="A1" s="107" t="s">
        <v>13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</row>
    <row r="2" spans="1:7">
      <c r="A2" s="107" t="s">
        <v>51</v>
      </c>
      <c r="B2" s="105">
        <f t="array" ref="B2">RTD("tickerplantrtdserver",,"FWRC1#USDINR#Month End Rates#0#BidPrice0")</f>
        <v>76.025000000000006</v>
      </c>
      <c r="C2" s="106">
        <f t="array" ref="C2">RTD("tickerplantrtdserver",,"FWRC1#USDINR#Month End Rates#0#BidPrice2")</f>
        <v>1</v>
      </c>
      <c r="D2" s="105">
        <f t="array" ref="D2">RTD("tickerplantrtdserver",,"FWRC1#USDINR#Month End Rates#0#FwdOutrightBid1")</f>
        <v>76.004999999999995</v>
      </c>
      <c r="E2" s="106">
        <f t="array" ref="E2">RTD("tickerplantrtdserver",,"FWRC1#USDINR#Month End Rates#0#BidPrice3")</f>
        <v>0.5</v>
      </c>
      <c r="F2" s="105">
        <f t="array" ref="F2">RTD("tickerplantrtdserver",,"FWRC1#USDINR#Month End Rates#0#FwdOutrightBid3")</f>
        <v>76.015000000000001</v>
      </c>
    </row>
    <row r="3" spans="1:7" ht="15.75" customHeight="1">
      <c r="A3" s="107" t="s">
        <v>52</v>
      </c>
      <c r="B3" s="105">
        <f t="array" ref="B3">RTD("tickerplantrtdserver",,"FWRC1#USDINR#Month End Rates#0#AskPrice0")</f>
        <v>76.034999999999997</v>
      </c>
      <c r="C3" s="106">
        <f t="array" ref="C3">RTD("tickerplantrtdserver",,"FWRC1#USDINR#Month End Rates#0#AskPrice2")</f>
        <v>2</v>
      </c>
      <c r="D3" s="105">
        <f t="array" ref="D3">RTD("tickerplantrtdserver",,"FWRC1#USDINR#Month End Rates#0#FwdOutrightAsk1")</f>
        <v>76.025000000000006</v>
      </c>
      <c r="E3" s="106">
        <f t="array" ref="E3">RTD("tickerplantrtdserver",,"FWRC1#USDINR#Month End Rates#0#AskPrice3")</f>
        <v>1</v>
      </c>
      <c r="F3" s="105">
        <f t="array" ref="F3">RTD("tickerplantrtdserver",,"FWRC1#USDINR#Month End Rates#0#FwdOutrightAsk3")</f>
        <v>76.03</v>
      </c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</cols>
  <sheetData>
    <row r="1" spans="1:7">
      <c r="A1" s="107" t="s">
        <v>12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f t="array" ref="B2">RTD("tickerplantrtdserver",,"FWRC1#EURINR#Month End Rates#0#BidPrice0")</f>
        <v>85.287499999999994</v>
      </c>
      <c r="C2" s="106">
        <f t="array" ref="C2">RTD("tickerplantrtdserver",,"FWRC1#EURINR#Month End Rates#0#BidPrice2")</f>
        <v>1.4076</v>
      </c>
      <c r="D2" s="105">
        <f t="array" ref="D2">RTD("tickerplantrtdserver",,"FWRC1#EURINR#Month End Rates#0#FwdOutrightBid1")</f>
        <v>85.261399999999995</v>
      </c>
      <c r="E2" s="106">
        <f t="array" ref="E2">RTD("tickerplantrtdserver",,"FWRC1#EURINR#Month End Rates#0#BidPrice3")</f>
        <v>0.69769999999999999</v>
      </c>
      <c r="F2" s="105">
        <f t="array" ref="F2">RTD("tickerplantrtdserver",,"FWRC1#EURINR#Month End Rates#0#FwdOutrightBid3")</f>
        <v>85.274299999999997</v>
      </c>
      <c r="G2" s="2"/>
    </row>
    <row r="3" spans="1:7" ht="15.75" customHeight="1">
      <c r="A3" s="107" t="s">
        <v>52</v>
      </c>
      <c r="B3" s="105">
        <f t="array" ref="B3">RTD("tickerplantrtdserver",,"FWRC1#EURINR#Month End Rates#0#AskPrice0")</f>
        <v>85.3</v>
      </c>
      <c r="C3" s="106">
        <f t="array" ref="C3">RTD("tickerplantrtdserver",,"FWRC1#EURINR#Month End Rates#0#AskPrice2")</f>
        <v>2.6132</v>
      </c>
      <c r="D3" s="105">
        <f t="array" ref="D3">RTD("tickerplantrtdserver",,"FWRC1#EURINR#Month End Rates#0#FwdOutrightAsk1")</f>
        <v>85.285899999999998</v>
      </c>
      <c r="E3" s="106">
        <f t="array" ref="E3">RTD("tickerplantrtdserver",,"FWRC1#EURINR#Month End Rates#0#AskPrice3")</f>
        <v>1.3194999999999999</v>
      </c>
      <c r="F3" s="105">
        <f t="array" ref="F3">RTD("tickerplantrtdserver",,"FWRC1#EURINR#Month End Rates#0#FwdOutrightAsk3")</f>
        <v>85.293000000000006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</cols>
  <sheetData>
    <row r="1" spans="1:7">
      <c r="A1" s="107" t="s">
        <v>11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f t="array" ref="B2">RTD("tickerplantrtdserver",,"FWRC1#GBPINR#Month End Rates#0#BidPrice0")</f>
        <v>94.462500000000006</v>
      </c>
      <c r="C2" s="106">
        <f>RTD("tickerplantrtdserver",,"FWRC1#GBPINR#Month End Rates#0#BidPrice2")/100</f>
        <v>1.2721980000000002</v>
      </c>
      <c r="D2" s="104">
        <f t="array" ref="D2">RTD("tickerplantrtdserver",,"FWRC1#GBPINR#Month End Rates#0#FwdOutrightBid1")</f>
        <v>94.436400000000006</v>
      </c>
      <c r="E2" s="106">
        <f>RTD("tickerplantrtdserver",,"FWRC1#GBPINR#Month End Rates#0#BidPrice3")/100</f>
        <v>0.63633899999999999</v>
      </c>
      <c r="F2" s="105">
        <f t="array" ref="F2">RTD("tickerplantrtdserver",,"FWRC1#GBPINR#Month End Rates#0#FwdOutrightBid3")</f>
        <v>94.4495</v>
      </c>
      <c r="G2" s="2"/>
    </row>
    <row r="3" spans="1:7" ht="15.75" customHeight="1">
      <c r="A3" s="107" t="s">
        <v>52</v>
      </c>
      <c r="B3" s="105">
        <f t="array" ref="B3">RTD("tickerplantrtdserver",,"FWRC1#GBPINR#Month End Rates#0#AskPrice0")</f>
        <v>94.512500000000003</v>
      </c>
      <c r="C3" s="106">
        <f>RTD("tickerplantrtdserver",,"FWRC1#GBPINR#Month End Rates#0#AskPrice2")/100</f>
        <v>2.6131630000000001</v>
      </c>
      <c r="D3" s="104">
        <f t="array" ref="D3">RTD("tickerplantrtdserver",,"FWRC1#GBPINR#Month End Rates#0#FwdOutrightAsk1")</f>
        <v>94.499799999999993</v>
      </c>
      <c r="E3" s="106">
        <f>RTD("tickerplantrtdserver",,"FWRC1#GBPINR#Month End Rates#0#AskPrice3")/100</f>
        <v>1.30332</v>
      </c>
      <c r="F3" s="105">
        <f t="array" ref="F3">RTD("tickerplantrtdserver",,"FWRC1#GBPINR#Month End Rates#0#FwdOutrightAsk3")</f>
        <v>94.506100000000004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8.85546875" defaultRowHeight="15"/>
  <cols>
    <col min="1" max="1" width="12" bestFit="1" customWidth="1"/>
    <col min="8" max="8" width="8.7109375" bestFit="1" customWidth="1"/>
  </cols>
  <sheetData>
    <row r="1" spans="1:7">
      <c r="A1" s="107" t="s">
        <v>10</v>
      </c>
      <c r="B1" s="107" t="s">
        <v>32</v>
      </c>
      <c r="C1" s="107" t="s">
        <v>31</v>
      </c>
      <c r="D1" s="107" t="s">
        <v>30</v>
      </c>
      <c r="E1" s="107" t="s">
        <v>29</v>
      </c>
      <c r="F1" s="107" t="s">
        <v>28</v>
      </c>
      <c r="G1" s="2"/>
    </row>
    <row r="2" spans="1:7" ht="15.95" customHeight="1">
      <c r="A2" s="107" t="s">
        <v>51</v>
      </c>
      <c r="B2" s="105">
        <f t="array" ref="B2">RTD("tickerplantrtdserver",,"FWRC1#JPYINR#Month End Rates#0#BidPrice0")</f>
        <v>71.084999999999994</v>
      </c>
      <c r="C2" s="106">
        <f>RTD("tickerplantrtdserver",,"FWRC1#JPYINR#Month End Rates#0#BidPrice2")/100</f>
        <v>1.054592</v>
      </c>
      <c r="D2" s="105">
        <f t="array" ref="D2">RTD("tickerplantrtdserver",,"FWRC1#JPYINR#Month End Rates#0#FwdOutrightBid1")</f>
        <v>71.063800000000001</v>
      </c>
      <c r="E2" s="106">
        <f>RTD("tickerplantrtdserver",,"FWRC1#JPYINR#Month End Rates#0#BidPrice3")/100</f>
        <v>0.51397799999999993</v>
      </c>
      <c r="F2" s="105">
        <f t="array" ref="F2">RTD("tickerplantrtdserver",,"FWRC1#JPYINR#Month End Rates#0#FwdOutrightBid3")</f>
        <v>71.074600000000004</v>
      </c>
      <c r="G2" s="2"/>
    </row>
    <row r="3" spans="1:7" ht="15.75" customHeight="1">
      <c r="A3" s="107" t="s">
        <v>52</v>
      </c>
      <c r="B3" s="105">
        <f t="array" ref="B3">RTD("tickerplantrtdserver",,"FWRC1#JPYINR#Month End Rates#0#AskPrice0")</f>
        <v>71.12</v>
      </c>
      <c r="C3" s="106">
        <f>RTD("tickerplantrtdserver",,"FWRC1#JPYINR#Month End Rates#0#AskPrice2")/100</f>
        <v>2.116727</v>
      </c>
      <c r="D3" s="105">
        <f t="array" ref="D3">RTD("tickerplantrtdserver",,"FWRC1#JPYINR#Month End Rates#0#FwdOutrightAsk1")</f>
        <v>71.109499999999997</v>
      </c>
      <c r="E3" s="106">
        <f>RTD("tickerplantrtdserver",,"FWRC1#JPYINR#Month End Rates#0#AskPrice3")/100</f>
        <v>1.035031</v>
      </c>
      <c r="F3" s="105">
        <f t="array" ref="F3">RTD("tickerplantrtdserver",,"FWRC1#JPYINR#Month End Rates#0#FwdOutrightAsk3")</f>
        <v>71.114900000000006</v>
      </c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3"/>
  <sheetViews>
    <sheetView workbookViewId="0"/>
  </sheetViews>
  <sheetFormatPr defaultColWidth="8.85546875" defaultRowHeight="15"/>
  <cols>
    <col min="8" max="16" width="9.7109375" style="2" customWidth="1"/>
    <col min="17" max="17" width="8.7109375" bestFit="1" customWidth="1"/>
  </cols>
  <sheetData>
    <row r="1" spans="1:9">
      <c r="A1" s="24"/>
      <c r="B1" s="19" t="s">
        <v>36</v>
      </c>
      <c r="C1" s="19" t="s">
        <v>37</v>
      </c>
      <c r="D1" s="19" t="s">
        <v>35</v>
      </c>
      <c r="E1" s="19" t="s">
        <v>38</v>
      </c>
      <c r="F1" s="19" t="s">
        <v>39</v>
      </c>
      <c r="G1" s="19" t="s">
        <v>34</v>
      </c>
      <c r="H1" s="22" t="s">
        <v>40</v>
      </c>
      <c r="I1" s="18" t="s">
        <v>33</v>
      </c>
    </row>
    <row r="2" spans="1:9" ht="15.75" customHeight="1">
      <c r="A2" s="25" t="s">
        <v>27</v>
      </c>
      <c r="B2" s="42">
        <f>RTD("tickerplantrtdserver",,"47#5#1#5629#USD1M.LIBOR#LTP")</f>
        <v>0.19012999999999999</v>
      </c>
      <c r="C2" s="42">
        <f>RTD("tickerplantrtdserver",,"47#5#1#5629#USD2M.LIBOR#LTP")</f>
        <v>0.26700000000000002</v>
      </c>
      <c r="D2" s="42">
        <f>RTD("tickerplantrtdserver",,"47#5#1#5629#USD3M.LIBOR#LTP")</f>
        <v>0.30513000000000001</v>
      </c>
      <c r="E2" s="42">
        <f>RTD("tickerplantrtdserver",,"47#5#1#5629#USD4M.LIBOR#LTP")</f>
        <v>0.31709999999999999</v>
      </c>
      <c r="F2" s="42">
        <f>RTD("tickerplantrtdserver",,"47#5#1#5629#USD5M.LIBOR#LTP")</f>
        <v>0.36725999999999998</v>
      </c>
      <c r="G2" s="42">
        <f>RTD("tickerplantrtdserver",,"47#5#1#5629#USD6M.LIBOR#LTP")</f>
        <v>0.41449999999999998</v>
      </c>
      <c r="H2" s="44">
        <f>RTD("tickerplantrtdserver",,"47#5#1#5629#USD9M.LIBOR#LTP")</f>
        <v>0.55079999999999996</v>
      </c>
      <c r="I2" s="45">
        <f>RTD("tickerplantrtdserver",,"47#5#1#5629#USD1Y.LIBOR#LTP")</f>
        <v>0.57574999999999998</v>
      </c>
    </row>
    <row r="3" spans="1:9">
      <c r="A3" s="25" t="s">
        <v>25</v>
      </c>
      <c r="B3" s="42">
        <f>RTD("tickerplantrtdserver",,"47#5#1#5629#EUR1M.LIBOR#LTP")</f>
        <v>-0.48742999999999997</v>
      </c>
      <c r="C3" s="42">
        <f>RTD("tickerplantrtdserver",,"47#5#1#5629#EUR2M.LIBOR#LTP")</f>
        <v>-0.41843000000000002</v>
      </c>
      <c r="D3" s="42">
        <f>RTD("tickerplantrtdserver",,"47#5#1#5629#EUR3M.LIBOR#LTP")</f>
        <v>-0.41456999999999999</v>
      </c>
      <c r="E3" s="42">
        <f>RTD("tickerplantrtdserver",,"47#5#1#5629#EUR4M.LIBOR#LTP")</f>
        <v>0.14713999999999999</v>
      </c>
      <c r="F3" s="42">
        <f>RTD("tickerplantrtdserver",,"47#5#1#5629#EUR5M.LIBOR#LTP")</f>
        <v>0.17357</v>
      </c>
      <c r="G3" s="42">
        <f>RTD("tickerplantrtdserver",,"47#5#1#5629#EUR6M.LIBOR#LTP")</f>
        <v>-0.30029</v>
      </c>
      <c r="H3" s="44">
        <f>RTD("tickerplantrtdserver",,"47#5#1#5629#EUR9M.LIBOR#LTP")</f>
        <v>0.29357</v>
      </c>
      <c r="I3" s="45">
        <f>RTD("tickerplantrtdserver",,"47#5#1#5629#EUR1Y.LIBOR#LTP")</f>
        <v>-0.18956999999999999</v>
      </c>
    </row>
    <row r="4" spans="1:9">
      <c r="A4" s="25" t="s">
        <v>23</v>
      </c>
      <c r="B4" s="42">
        <f>RTD("tickerplantrtdserver",,"47#5#1#5629#GBP1M.LIBOR#LTP")</f>
        <v>0.10263</v>
      </c>
      <c r="C4" s="42">
        <f>RTD("tickerplantrtdserver",,"47#5#1#5629#GBP2M.LIBOR#LTP")</f>
        <v>0.14149999999999999</v>
      </c>
      <c r="D4" s="42">
        <f>RTD("tickerplantrtdserver",,"47#5#1#5629#GBP3M.LIBOR#LTP")</f>
        <v>0.16538</v>
      </c>
      <c r="E4" s="42">
        <f>RTD("tickerplantrtdserver",,"47#5#1#5629#GBP4M.LIBOR#LTP")</f>
        <v>0.53</v>
      </c>
      <c r="F4" s="42">
        <f>RTD("tickerplantrtdserver",,"47#5#1#5629#GBP5M.LIBOR#LTP")</f>
        <v>0.56188000000000005</v>
      </c>
      <c r="G4" s="42">
        <f>RTD("tickerplantrtdserver",,"47#5#1#5629#GBP6M.LIBOR#LTP")</f>
        <v>0.314</v>
      </c>
      <c r="H4" s="44">
        <f>RTD("tickerplantrtdserver",,"47#5#1#5629#GBP9M.LIBOR#LTP")</f>
        <v>0.73624999999999996</v>
      </c>
      <c r="I4" s="45">
        <f>RTD("tickerplantrtdserver",,"47#5#1#5629#GBP1Y.LIBOR#LTP")</f>
        <v>0.50024999999999997</v>
      </c>
    </row>
    <row r="5" spans="1:9" ht="15.75" thickBot="1">
      <c r="A5" s="26" t="s">
        <v>22</v>
      </c>
      <c r="B5" s="16">
        <f>RTD("tickerplantrtdserver",,"47#5#1#5629#JPY1M.LIBOR#LTP")</f>
        <v>-8.6169999999999997E-2</v>
      </c>
      <c r="C5" s="16">
        <f>RTD("tickerplantrtdserver",,"47#5#1#5629#JPY2M.LIBOR#LTP")</f>
        <v>-5.6669999999999998E-2</v>
      </c>
      <c r="D5" s="16">
        <f>RTD("tickerplantrtdserver",,"47#5#1#5629#JPY3M.LIBOR#LTP")</f>
        <v>-4.7500000000000001E-2</v>
      </c>
      <c r="E5" s="16">
        <f>RTD("tickerplantrtdserver",,"47#5#1#5629#JPY2M.LIBOR#LTP")</f>
        <v>-5.6669999999999998E-2</v>
      </c>
      <c r="F5" s="16">
        <f>RTD("tickerplantrtdserver",,"47#5#1#5629#JPY5M.LIBOR#LTP")</f>
        <v>0.21571000000000001</v>
      </c>
      <c r="G5" s="16">
        <f>RTD("tickerplantrtdserver",,"47#5#1#5629#JPY6M.LIBOR#LTP")</f>
        <v>-8.8299999999999993E-3</v>
      </c>
      <c r="H5" s="46">
        <f>RTD("tickerplantrtdserver",,"47#5#1#5629#JPY9M.LIBOR#LTP")</f>
        <v>0.35428999999999999</v>
      </c>
      <c r="I5" s="47">
        <f>RTD("tickerplantrtdserver",,"47#5#1#5629#JPY1Y.LIBOR#LTP")</f>
        <v>0.11383</v>
      </c>
    </row>
    <row r="10" spans="1:9" s="14" customFormat="1"/>
    <row r="11" spans="1:9" s="14" customFormat="1" ht="15.75" customHeight="1"/>
    <row r="12" spans="1:9" s="14" customFormat="1"/>
    <row r="22" spans="17:29" s="2" customFormat="1"/>
    <row r="23" spans="17:29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7:29"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7:29"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30" spans="17:29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7:29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7:29"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7:29"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7:29"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7:29"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7:29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7:29"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7:29"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7:29"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7:29"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"/>
    </row>
    <row r="41" spans="17:29">
      <c r="Q41" s="14"/>
      <c r="R41" s="20"/>
      <c r="S41" s="20"/>
      <c r="T41" s="20"/>
      <c r="U41" s="20"/>
      <c r="V41" s="20"/>
      <c r="W41" s="20"/>
      <c r="X41" s="20"/>
      <c r="Y41" s="20"/>
      <c r="Z41" s="20"/>
      <c r="AA41" s="14"/>
      <c r="AB41" s="14"/>
    </row>
    <row r="42" spans="17:29">
      <c r="Q42" s="14"/>
      <c r="R42" s="20"/>
      <c r="S42" s="20"/>
      <c r="T42" s="20"/>
      <c r="U42" s="20"/>
      <c r="V42" s="20"/>
      <c r="W42" s="20"/>
      <c r="X42" s="20"/>
      <c r="Y42" s="20"/>
      <c r="Z42" s="20"/>
      <c r="AA42" s="14"/>
      <c r="AB42" s="14"/>
    </row>
    <row r="43" spans="17:29">
      <c r="R43" s="2"/>
      <c r="S43" s="2"/>
      <c r="T43" s="2"/>
      <c r="U43" s="2"/>
      <c r="V43" s="2"/>
      <c r="W43" s="2"/>
      <c r="X43" s="2"/>
      <c r="Y43" s="2"/>
      <c r="Z4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B3" sqref="B3"/>
    </sheetView>
  </sheetViews>
  <sheetFormatPr defaultColWidth="8.85546875" defaultRowHeight="15"/>
  <cols>
    <col min="1" max="1" width="12.7109375" bestFit="1" customWidth="1"/>
    <col min="8" max="8" width="9.7109375" bestFit="1" customWidth="1"/>
    <col min="9" max="9" width="9" customWidth="1"/>
    <col min="10" max="10" width="8.7109375" customWidth="1"/>
    <col min="11" max="11" width="7.7109375" bestFit="1" customWidth="1"/>
  </cols>
  <sheetData>
    <row r="1" spans="1:12" s="14" customFormat="1">
      <c r="A1" s="110" t="s">
        <v>41</v>
      </c>
      <c r="B1" s="120" t="s">
        <v>49</v>
      </c>
      <c r="C1" s="120" t="s">
        <v>50</v>
      </c>
      <c r="D1" s="120" t="s">
        <v>21</v>
      </c>
      <c r="E1" s="120" t="s">
        <v>20</v>
      </c>
      <c r="F1" s="120" t="s">
        <v>19</v>
      </c>
      <c r="G1" s="120" t="s">
        <v>18</v>
      </c>
      <c r="H1" s="120" t="s">
        <v>17</v>
      </c>
      <c r="I1" s="120" t="s">
        <v>16</v>
      </c>
      <c r="J1" s="122" t="s">
        <v>15</v>
      </c>
    </row>
    <row r="2" spans="1:12" s="14" customFormat="1" ht="15.75" customHeight="1">
      <c r="A2" s="111"/>
      <c r="B2" s="121"/>
      <c r="C2" s="121"/>
      <c r="D2" s="121"/>
      <c r="E2" s="121"/>
      <c r="F2" s="121"/>
      <c r="G2" s="121"/>
      <c r="H2" s="121"/>
      <c r="I2" s="121"/>
      <c r="J2" s="123"/>
      <c r="K2" s="30"/>
    </row>
    <row r="3" spans="1:12" s="14" customFormat="1">
      <c r="A3" s="7" t="s">
        <v>13</v>
      </c>
      <c r="B3" s="5">
        <f>RTD("tickerplantrtdserver",,"17#1#1#6069#USDINRCOMP#Bid")</f>
        <v>76.025000000000006</v>
      </c>
      <c r="C3" s="5">
        <f>RTD("tickerplantrtdserver",,"17#1#1#6069#USDINRCOMP#Ask")</f>
        <v>76.034999999999997</v>
      </c>
      <c r="D3" s="17">
        <f>RTD("tickerplantrtdserver",,"17#1#1#6069#USDINRCOMP#%Chg")</f>
        <v>-0.22</v>
      </c>
      <c r="E3" s="5">
        <f>RTD("tickerplantrtdserver",,"17#1#1#6069#USDINRCOMP#Open")</f>
        <v>76.17</v>
      </c>
      <c r="F3" s="5">
        <f>RTD("tickerplantrtdserver",,"17#1#1#6069#USDINRCOMP#High")</f>
        <v>76.180000000000007</v>
      </c>
      <c r="G3" s="5">
        <f>RTD("tickerplantrtdserver",,"17#1#1#6069#USDINRCOMP#Low")</f>
        <v>75.989999999999995</v>
      </c>
      <c r="H3" s="9">
        <f>RTD("tickerplantrtdserver",,"17#1#1#6069#USDINRCOMP#Close")</f>
        <v>76.19</v>
      </c>
      <c r="I3" s="9">
        <f>RTD("tickerplantrtdserver",,"17#1#1#6069#USDINRCOMP#52WkHigh")</f>
        <v>76.905000000000001</v>
      </c>
      <c r="J3" s="48">
        <f>RTD("tickerplantrtdserver",,"17#1#1#6069#USDINRCOMP#52WkLow")</f>
        <v>68.290000000000006</v>
      </c>
      <c r="K3" s="15"/>
    </row>
    <row r="4" spans="1:12" s="14" customFormat="1">
      <c r="A4" s="7" t="s">
        <v>12</v>
      </c>
      <c r="B4" s="5">
        <f>RTD("tickerplantrtdserver",,"17#3#1#5949#EURINRCOMP#Bid")</f>
        <v>85.287499999999994</v>
      </c>
      <c r="C4" s="5">
        <f>RTD("tickerplantrtdserver",,"17#3#1#5949#EURINRCOMP#Ask")</f>
        <v>85.3</v>
      </c>
      <c r="D4" s="17">
        <f>RTD("tickerplantrtdserver",,"17#3#1#5949#EURINRCOMP#%Chg")</f>
        <v>-0.2</v>
      </c>
      <c r="E4" s="5">
        <f>RTD("tickerplantrtdserver",,"17#3#1#5949#EURINRCOMP#Open")</f>
        <v>85.28</v>
      </c>
      <c r="F4" s="5">
        <f>RTD("tickerplantrtdserver",,"17#3#1#5949#EURINRCOMP#High")</f>
        <v>85.327500000000001</v>
      </c>
      <c r="G4" s="9">
        <f>RTD("tickerplantrtdserver",,"17#3#1#5949#EURINRCOMP#Low")</f>
        <v>85.067499999999995</v>
      </c>
      <c r="H4" s="9">
        <f>RTD("tickerplantrtdserver",,"17#3#1#5949#EURINRCOMP#Close")</f>
        <v>85.462500000000006</v>
      </c>
      <c r="I4" s="9">
        <f>RTD("tickerplantrtdserver",,"17#3#1#5949#EURINRCOMP#52WkHigh")</f>
        <v>0</v>
      </c>
      <c r="J4" s="27">
        <f>RTD("tickerplantrtdserver",,"17#3#1#5949#EURINRCOMP#52WkHigh")</f>
        <v>0</v>
      </c>
      <c r="K4" s="20"/>
    </row>
    <row r="5" spans="1:12" s="14" customFormat="1">
      <c r="A5" s="7" t="s">
        <v>11</v>
      </c>
      <c r="B5" s="5">
        <f>RTD("tickerplantrtdserver",,"17#3#1#6031#GBPINRCOMP#Bid")</f>
        <v>94.462500000000006</v>
      </c>
      <c r="C5" s="5">
        <f>RTD("tickerplantrtdserver",,"17#3#1#6031#GBPINRCOMP#Ask")</f>
        <v>94.512500000000003</v>
      </c>
      <c r="D5" s="17">
        <f>RTD("tickerplantrtdserver",,"17#3#1#6031#GBPINRCOMP#%Chg")</f>
        <v>-0.1</v>
      </c>
      <c r="E5" s="5">
        <f>RTD("tickerplantrtdserver",,"17#3#1#6031#GBPINRCOMP#Open")</f>
        <v>94.33</v>
      </c>
      <c r="F5" s="5">
        <f>RTD("tickerplantrtdserver",,"17#3#1#6031#GBPINRCOMP#High")</f>
        <v>94.48</v>
      </c>
      <c r="G5" s="9">
        <f>RTD("tickerplantrtdserver",,"17#3#1#6031#GBPINRCOMP#Low")</f>
        <v>94.097499999999997</v>
      </c>
      <c r="H5" s="5">
        <f>RTD("tickerplantrtdserver",,"17#3#1#6031#GBPINRCOMP#Close")</f>
        <v>94.552499999999995</v>
      </c>
      <c r="I5" s="5">
        <f>RTD("tickerplantrtdserver",,"17#3#1#6031#GBPINRCOMP#52WkHigh")</f>
        <v>0</v>
      </c>
      <c r="J5" s="27">
        <f>RTD("tickerplantrtdserver",,"17#3#1#6031#GBPINRCOMP#52WkLow")</f>
        <v>0</v>
      </c>
      <c r="K5" s="20"/>
    </row>
    <row r="6" spans="1:12" s="14" customFormat="1">
      <c r="A6" s="28" t="s">
        <v>10</v>
      </c>
      <c r="B6" s="5">
        <f>RTD("tickerplantrtdserver",,"17#3#1#5978#JPYINRCOMP#Bid")</f>
        <v>71.084999999999994</v>
      </c>
      <c r="C6" s="5">
        <f>RTD("tickerplantrtdserver",,"17#3#1#5978#JPYINRCOMP#Ask")</f>
        <v>71.12</v>
      </c>
      <c r="D6" s="4">
        <f>RTD("tickerplantrtdserver",,"17#3#1#5978#JPYINRCOMP#%Chg")</f>
        <v>-0.23</v>
      </c>
      <c r="E6" s="5">
        <f>RTD("tickerplantrtdserver",,"17#3#1#5978#JPYINRCOMP#Open")</f>
        <v>71.25</v>
      </c>
      <c r="F6" s="5">
        <f>RTD("tickerplantrtdserver",,"17#3#1#5978#JPYINRCOMP#High")</f>
        <v>71.257499999999993</v>
      </c>
      <c r="G6" s="49">
        <f>RTD("tickerplantrtdserver",,"17#3#1#5978#JPYINRCOMP#Low")</f>
        <v>71.002499999999998</v>
      </c>
      <c r="H6" s="5">
        <f>RTD("tickerplantrtdserver",,"17#3#1#5978#JPYINRCOMP#Close")</f>
        <v>71.25</v>
      </c>
      <c r="I6" s="5">
        <f>RTD("tickerplantrtdserver",,"17#3#1#5978#JPYINRCOMP#52WkHigh")</f>
        <v>0</v>
      </c>
      <c r="J6" s="27">
        <f>RTD("tickerplantrtdserver",,"17#3#1#5978#JPYINRCOMP#52WkLow")</f>
        <v>0</v>
      </c>
      <c r="K6" s="20"/>
    </row>
    <row r="7" spans="1:12" s="14" customFormat="1">
      <c r="A7" s="28" t="s">
        <v>9</v>
      </c>
      <c r="B7" s="5">
        <f>RTD("tickerplantrtdserver",,"12#2#1#5949#SEURUSD#Bid")</f>
        <v>1.1258999999999999</v>
      </c>
      <c r="C7" s="5">
        <f>RTD("tickerplantrtdserver",,"12#2#1#5949#SEURUSD#Ask")</f>
        <v>1.1263000000000001</v>
      </c>
      <c r="D7" s="17">
        <f>RTD("tickerplantrtdserver",,"12#2#1#5949#SEURUSD#%Chg")</f>
        <v>0.74</v>
      </c>
      <c r="E7" s="5">
        <f>RTD("tickerplantrtdserver",,"12#2#1#5949#SEURUSD#Open")</f>
        <v>1.1175999999999999</v>
      </c>
      <c r="F7" s="5">
        <f>RTD("tickerplantrtdserver",,"12#2#1#5949#SEURUSD#High")</f>
        <v>1.1269899999999999</v>
      </c>
      <c r="G7" s="49">
        <f>RTD("tickerplantrtdserver",,"12#2#1#5949#SEURUSD#Low")</f>
        <v>1.1167</v>
      </c>
      <c r="H7" s="5">
        <f>RTD("tickerplantrtdserver",,"12#2#1#5949#SEURUSD#Close")</f>
        <v>1.1175999999999999</v>
      </c>
      <c r="I7" s="5">
        <f>RTD("tickerplantrtdserver",,"12#2#1#5949#SEURUSD#52WkHigh")</f>
        <v>1.1496</v>
      </c>
      <c r="J7" s="27">
        <f>RTD("tickerplantrtdserver",,"12#2#1#5949#SEURUSD#52WkLow")</f>
        <v>1.0634999999999999</v>
      </c>
      <c r="K7" s="20"/>
    </row>
    <row r="8" spans="1:12" s="14" customFormat="1">
      <c r="A8" s="28" t="s">
        <v>8</v>
      </c>
      <c r="B8" s="5">
        <f>RTD("tickerplantrtdserver",,"12#2#1#6031#SGBPUSD#Bid")</f>
        <v>1.2447999999999999</v>
      </c>
      <c r="C8" s="5">
        <f>RTD("tickerplantrtdserver",,"12#2#1#6031#SGBPUSD#Ask")</f>
        <v>1.2453000000000001</v>
      </c>
      <c r="D8" s="17">
        <f>RTD("tickerplantrtdserver",,"12#2#1#6031#SGBPUSD#%Chg")</f>
        <v>0.81</v>
      </c>
      <c r="E8" s="5">
        <f>RTD("tickerplantrtdserver",,"12#2#1#6031#SGBPUSD#Open")</f>
        <v>1.2348399999999999</v>
      </c>
      <c r="F8" s="5">
        <f>RTD("tickerplantrtdserver",,"12#2#1#6031#SGBPUSD#High")</f>
        <v>1.2456400000000001</v>
      </c>
      <c r="G8" s="49">
        <f>RTD("tickerplantrtdserver",,"12#2#1#6031#SGBPUSD#Low")</f>
        <v>1.2333000000000001</v>
      </c>
      <c r="H8" s="5">
        <f>RTD("tickerplantrtdserver",,"12#2#1#6031#SGBPUSD#Close")</f>
        <v>1.2348399999999999</v>
      </c>
      <c r="I8" s="5">
        <f>RTD("tickerplantrtdserver",,"12#2#1#6031#SGBPUSD#52WkHigh")</f>
        <v>1.3514900000000001</v>
      </c>
      <c r="J8" s="27">
        <f>RTD("tickerplantrtdserver",,"12#2#1#6031#SGBPUSD#52WkLow")</f>
        <v>1.1407799999999999</v>
      </c>
    </row>
    <row r="9" spans="1:12" ht="15.75" thickBot="1">
      <c r="A9" s="6" t="s">
        <v>7</v>
      </c>
      <c r="B9" s="50">
        <f>RTD("tickerplantrtdserver",,"12#2#1#6069#SUSDJPY#Bid")</f>
        <v>106.855</v>
      </c>
      <c r="C9" s="50">
        <f>RTD("tickerplantrtdserver",,"12#2#1#6069#SUSDJPY#Ask")</f>
        <v>106.869</v>
      </c>
      <c r="D9" s="50">
        <f>RTD("tickerplantrtdserver",,"12#2#1#6069#SUSDJPY#%Chg")</f>
        <v>-0.01</v>
      </c>
      <c r="E9" s="50">
        <f>RTD("tickerplantrtdserver",,"12#2#1#6069#SUSDJPY#Open")</f>
        <v>106.86499999999999</v>
      </c>
      <c r="F9" s="50">
        <f>RTD("tickerplantrtdserver",,"12#2#1#6069#SUSDJPY#High")</f>
        <v>107.011</v>
      </c>
      <c r="G9" s="51">
        <f>RTD("tickerplantrtdserver",,"12#2#1#6069#SUSDJPY#Low")</f>
        <v>106.727</v>
      </c>
      <c r="H9" s="50">
        <f>RTD("tickerplantrtdserver",,"12#2#1#6069#SUSDJPY#Close")</f>
        <v>106.86499999999999</v>
      </c>
      <c r="I9" s="50">
        <f>RTD("tickerplantrtdserver",,"12#2#1#6069#SUSDJPY#52WkHigh")</f>
        <v>112.22799999999999</v>
      </c>
      <c r="J9" s="52">
        <f>RTD("tickerplantrtdserver",,"12#2#1#6069#SUSDJPY#52WkLow")</f>
        <v>101.178</v>
      </c>
    </row>
    <row r="10" spans="1:12" ht="15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4" customFormat="1"/>
    <row r="12" spans="1:12" s="14" customFormat="1" ht="15.75" customHeight="1"/>
    <row r="13" spans="1:12" s="14" customFormat="1" ht="15.75" customHeight="1"/>
    <row r="14" spans="1:12" ht="15.75" customHeight="1"/>
  </sheetData>
  <mergeCells count="10">
    <mergeCell ref="I1:I2"/>
    <mergeCell ref="J1:J2"/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" sqref="B2"/>
    </sheetView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20" s="35" customFormat="1" ht="15.75" thickBot="1">
      <c r="A1" s="12" t="s">
        <v>14</v>
      </c>
      <c r="B1" s="11" t="s">
        <v>1</v>
      </c>
      <c r="C1" s="10" t="s">
        <v>0</v>
      </c>
    </row>
    <row r="2" spans="1:20" s="35" customFormat="1" ht="15.75" customHeight="1">
      <c r="A2" s="8" t="s">
        <v>13</v>
      </c>
      <c r="B2" s="53">
        <f>RTD("tickerplantrtdserver",,"35#1#1#6069#FUTCUR#N1#0#XX#Bid")</f>
        <v>76.064999999999998</v>
      </c>
      <c r="C2" s="54">
        <f>RTD("tickerplantrtdserver",,"35#1#1#6069#FUTCUR#N1#0#XX#Ask")</f>
        <v>76.069999999999993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20" s="35" customFormat="1">
      <c r="A3" s="7" t="s">
        <v>12</v>
      </c>
      <c r="B3" s="5">
        <f>RTD("tickerplantrtdserver",,"35#1#1#5949#FUTCUR#N1#0#XX#Bid")</f>
        <v>85.224999999999994</v>
      </c>
      <c r="C3" s="27">
        <f>RTD("tickerplantrtdserver",,"35#1#1#5949#FUTCUR#N1#0#XX#Ask")</f>
        <v>85.23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20" s="35" customFormat="1">
      <c r="A4" s="7" t="s">
        <v>11</v>
      </c>
      <c r="B4" s="5">
        <f>RTD("tickerplantrtdserver",,"35#1#1#6031#FUTCUR#N1#0#XX#Bid")</f>
        <v>94.21</v>
      </c>
      <c r="C4" s="27">
        <f>RTD("tickerplantrtdserver",,"35#1#1#6031#FUTCUR#N1#0#XX#Ask")</f>
        <v>94.224999999999994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20" s="35" customFormat="1" ht="15.75" thickBot="1">
      <c r="A5" s="6" t="s">
        <v>10</v>
      </c>
      <c r="B5" s="29">
        <f>RTD("tickerplantrtdserver",,"35#1#1#5978#FUTCUR#N1#0#XX#Bid")</f>
        <v>71.112499999999997</v>
      </c>
      <c r="C5" s="43">
        <f>RTD("tickerplantrtdserver",,"35#1#1#5978#FUTCUR#N1#0#XX#Ask")</f>
        <v>71.127499999999998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20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20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20" s="35" customFormat="1">
      <c r="A8" s="36"/>
      <c r="B8" s="36"/>
      <c r="C8" s="36"/>
      <c r="D8" s="36"/>
      <c r="E8" s="36"/>
      <c r="F8" s="36"/>
      <c r="G8" s="36"/>
      <c r="K8" s="36"/>
      <c r="L8" s="36"/>
      <c r="P8" s="36"/>
      <c r="Q8" s="36"/>
    </row>
    <row r="9" spans="1:20">
      <c r="A9" s="20"/>
      <c r="B9" s="20"/>
      <c r="C9" s="20"/>
      <c r="D9" s="20"/>
      <c r="E9" s="20"/>
      <c r="F9" s="20"/>
      <c r="G9" s="20"/>
      <c r="K9" s="58"/>
      <c r="L9" s="58"/>
      <c r="M9" s="14"/>
      <c r="N9" s="14"/>
      <c r="O9" s="14"/>
      <c r="P9" s="58"/>
      <c r="Q9" s="58"/>
      <c r="R9" s="14"/>
      <c r="S9" s="14"/>
      <c r="T9" s="14"/>
    </row>
    <row r="10" spans="1:20">
      <c r="A10" s="20"/>
      <c r="B10" s="31"/>
      <c r="C10" s="31"/>
      <c r="D10" s="20"/>
      <c r="E10" s="20"/>
      <c r="F10" s="20"/>
      <c r="G10" s="20"/>
      <c r="K10" s="58"/>
      <c r="L10" s="58"/>
      <c r="M10" s="14"/>
      <c r="N10" s="14"/>
      <c r="O10" s="14"/>
      <c r="P10" s="58"/>
      <c r="Q10" s="58"/>
      <c r="R10" s="14"/>
      <c r="S10" s="14"/>
      <c r="T10" s="14"/>
    </row>
    <row r="11" spans="1:20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32"/>
      <c r="K13" s="21"/>
      <c r="L13" s="21"/>
      <c r="M13" s="32"/>
      <c r="N13" s="32"/>
      <c r="O13" s="32"/>
      <c r="P13" s="21"/>
      <c r="Q13" s="21"/>
      <c r="R13" s="32"/>
      <c r="S13" s="32"/>
      <c r="T13" s="32"/>
    </row>
    <row r="14" spans="1:20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21"/>
      <c r="K14" s="33"/>
      <c r="L14" s="34"/>
      <c r="M14" s="34"/>
      <c r="N14" s="34"/>
      <c r="O14" s="21"/>
      <c r="P14" s="33"/>
      <c r="Q14" s="34"/>
      <c r="R14" s="34"/>
      <c r="S14" s="34"/>
      <c r="T14" s="21"/>
    </row>
    <row r="15" spans="1:20">
      <c r="A15" s="13"/>
      <c r="B15" s="21"/>
      <c r="C15" s="21"/>
      <c r="D15" s="20"/>
      <c r="E15" s="20"/>
      <c r="G15" s="13"/>
      <c r="H15" s="20"/>
      <c r="I15" s="20"/>
      <c r="J15" s="20"/>
      <c r="K15" s="14"/>
      <c r="L15" s="13"/>
      <c r="M15" s="58"/>
      <c r="N15" s="58"/>
      <c r="O15" s="58"/>
      <c r="P15" s="14"/>
      <c r="Q15" s="13"/>
      <c r="R15" s="58"/>
      <c r="S15" s="58"/>
      <c r="T15" s="58"/>
    </row>
    <row r="16" spans="1:20">
      <c r="A16" s="15"/>
      <c r="B16" s="21"/>
      <c r="C16" s="21"/>
      <c r="D16" s="20"/>
      <c r="E16" s="20"/>
      <c r="G16" s="15"/>
      <c r="H16" s="20"/>
      <c r="I16" s="20"/>
      <c r="J16" s="20"/>
      <c r="K16" s="14"/>
      <c r="L16" s="15"/>
      <c r="M16" s="58"/>
      <c r="N16" s="58"/>
      <c r="O16" s="58"/>
      <c r="P16" s="14"/>
      <c r="Q16" s="15"/>
      <c r="R16" s="58"/>
      <c r="S16" s="58"/>
      <c r="T16" s="58"/>
    </row>
    <row r="17" spans="1:20">
      <c r="A17" s="15"/>
      <c r="B17" s="21"/>
      <c r="C17" s="21"/>
      <c r="D17" s="20"/>
      <c r="E17" s="20"/>
      <c r="G17" s="15"/>
      <c r="H17" s="20"/>
      <c r="I17" s="20"/>
      <c r="J17" s="20"/>
      <c r="K17" s="14"/>
      <c r="L17" s="15"/>
      <c r="M17" s="58"/>
      <c r="N17" s="58"/>
      <c r="O17" s="58"/>
      <c r="P17" s="14"/>
      <c r="Q17" s="15"/>
      <c r="R17" s="58"/>
      <c r="S17" s="58"/>
      <c r="T17" s="58"/>
    </row>
    <row r="18" spans="1:20">
      <c r="A18" s="15"/>
      <c r="B18" s="21"/>
      <c r="C18" s="21"/>
      <c r="D18" s="20"/>
      <c r="E18" s="20"/>
      <c r="G18" s="15"/>
      <c r="H18" s="20"/>
      <c r="I18" s="20"/>
      <c r="J18" s="20"/>
      <c r="K18" s="14"/>
      <c r="L18" s="15"/>
      <c r="M18" s="58"/>
      <c r="N18" s="58"/>
      <c r="O18" s="58"/>
      <c r="P18" s="14"/>
      <c r="Q18" s="15"/>
      <c r="R18" s="58"/>
      <c r="S18" s="58"/>
      <c r="T18" s="58"/>
    </row>
    <row r="19" spans="1:20">
      <c r="A19" s="15"/>
      <c r="B19" s="21"/>
      <c r="C19" s="21"/>
      <c r="D19" s="20"/>
      <c r="E19" s="20"/>
      <c r="G19" s="15"/>
      <c r="H19" s="20"/>
      <c r="I19" s="20"/>
      <c r="J19" s="20"/>
      <c r="K19" s="14"/>
      <c r="L19" s="15"/>
      <c r="M19" s="58"/>
      <c r="N19" s="58"/>
      <c r="O19" s="58"/>
      <c r="P19" s="14"/>
      <c r="Q19" s="15"/>
      <c r="R19" s="58"/>
      <c r="S19" s="58"/>
      <c r="T19" s="58"/>
    </row>
    <row r="20" spans="1:20"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31" spans="1:20">
      <c r="P31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>
      <selection activeCell="C3" sqref="C3"/>
    </sheetView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42578125" bestFit="1" customWidth="1"/>
    <col min="15" max="15" width="7.85546875" bestFit="1" customWidth="1"/>
  </cols>
  <sheetData>
    <row r="1" spans="1:19" s="35" customFormat="1" ht="15.75" thickBot="1">
      <c r="A1" s="12" t="s">
        <v>14</v>
      </c>
      <c r="B1" s="11" t="s">
        <v>1</v>
      </c>
      <c r="C1" s="10" t="s">
        <v>0</v>
      </c>
    </row>
    <row r="2" spans="1:19" s="35" customFormat="1" ht="15.75" customHeight="1">
      <c r="A2" s="8" t="s">
        <v>13</v>
      </c>
      <c r="B2" s="53">
        <f>RTD("tickerplantrtdserver",,"35#1#1#6069#FUTCUR#N2#0#XX#Bid")</f>
        <v>76.28</v>
      </c>
      <c r="C2" s="54">
        <f>RTD("tickerplantrtdserver",,"35#1#1#6069#FUTCUR#N2#0#XX#Ask")</f>
        <v>76.287499999999994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>
      <c r="A3" s="7" t="s">
        <v>12</v>
      </c>
      <c r="B3" s="5">
        <f>RTD("tickerplantrtdserver",,"35#1#1#5949#FUTCUR#N2#0#XX#Bid")</f>
        <v>85.502499999999998</v>
      </c>
      <c r="C3" s="27">
        <f>RTD("tickerplantrtdserver",,"35#1#1#5949#FUTCUR#N2#0#XX#Ask")</f>
        <v>85.525000000000006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>
      <c r="A4" s="7" t="s">
        <v>11</v>
      </c>
      <c r="B4" s="5">
        <f>RTD("tickerplantrtdserver",,"35#1#1#6031#FUTCUR#N2#0#XX#Bid")</f>
        <v>94.5</v>
      </c>
      <c r="C4" s="27">
        <f>RTD("tickerplantrtdserver",,"35#1#1#6031#FUTCUR#N2#0#XX#Ask")</f>
        <v>94.52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>
      <c r="A5" s="6" t="s">
        <v>10</v>
      </c>
      <c r="B5" s="29">
        <f>RTD("tickerplantrtdserver",,"35#1#1#5978#FUTCUR#N2#0#XX#Bid")</f>
        <v>71.349999999999994</v>
      </c>
      <c r="C5" s="43">
        <f>RTD("tickerplantrtdserver",,"35#1#1#5978#FUTCUR#N2#0#XX#Ask")</f>
        <v>71.357500000000002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>
      <c r="A8" s="36"/>
      <c r="B8" s="36"/>
      <c r="C8" s="36"/>
      <c r="D8" s="36"/>
      <c r="E8" s="36"/>
      <c r="F8" s="36"/>
      <c r="G8" s="36"/>
      <c r="J8" s="36"/>
      <c r="M8" s="36"/>
      <c r="P8" s="36"/>
      <c r="S8" s="36"/>
    </row>
    <row r="9" spans="1:19">
      <c r="A9" s="20"/>
      <c r="B9" s="20"/>
      <c r="C9" s="20"/>
      <c r="D9" s="20"/>
      <c r="E9" s="20"/>
      <c r="F9" s="20"/>
      <c r="G9" s="20"/>
      <c r="J9" s="58"/>
      <c r="K9" s="14"/>
      <c r="L9" s="14"/>
      <c r="M9" s="58"/>
      <c r="N9" s="14"/>
      <c r="O9" s="14"/>
      <c r="P9" s="58"/>
      <c r="Q9" s="14"/>
      <c r="R9" s="14"/>
      <c r="S9" s="58"/>
    </row>
    <row r="10" spans="1:19">
      <c r="A10" s="20"/>
      <c r="B10" s="31"/>
      <c r="C10" s="31"/>
      <c r="D10" s="20"/>
      <c r="E10" s="20"/>
      <c r="F10" s="20"/>
      <c r="G10" s="20"/>
      <c r="J10" s="58"/>
      <c r="K10" s="14"/>
      <c r="L10" s="14"/>
      <c r="M10" s="58"/>
      <c r="N10" s="14"/>
      <c r="O10" s="14"/>
      <c r="P10" s="58"/>
      <c r="Q10" s="14"/>
      <c r="R10" s="14"/>
      <c r="S10" s="58"/>
    </row>
    <row r="11" spans="1:19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32"/>
      <c r="L13" s="32"/>
      <c r="M13" s="21"/>
      <c r="N13" s="32"/>
      <c r="O13" s="32"/>
      <c r="P13" s="21"/>
      <c r="Q13" s="32"/>
      <c r="R13" s="32"/>
      <c r="S13" s="21"/>
    </row>
    <row r="14" spans="1:19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1:19">
      <c r="A15" s="13"/>
      <c r="B15" s="21"/>
      <c r="C15" s="21"/>
      <c r="D15" s="20"/>
      <c r="E15" s="20"/>
      <c r="G15" s="13"/>
      <c r="H15" s="20"/>
      <c r="I15" s="20"/>
      <c r="J15" s="13"/>
      <c r="K15" s="58"/>
      <c r="L15" s="58"/>
      <c r="M15" s="13"/>
      <c r="N15" s="58"/>
      <c r="O15" s="58"/>
      <c r="P15" s="13"/>
      <c r="Q15" s="58"/>
      <c r="R15" s="58"/>
      <c r="S15" s="13"/>
    </row>
    <row r="16" spans="1:19">
      <c r="A16" s="15"/>
      <c r="B16" s="21"/>
      <c r="C16" s="21"/>
      <c r="D16" s="20"/>
      <c r="E16" s="20"/>
      <c r="G16" s="15"/>
      <c r="H16" s="20"/>
      <c r="I16" s="20"/>
      <c r="J16" s="15"/>
      <c r="K16" s="58"/>
      <c r="L16" s="58"/>
      <c r="M16" s="15"/>
      <c r="N16" s="58"/>
      <c r="O16" s="58"/>
      <c r="P16" s="15"/>
      <c r="Q16" s="58"/>
      <c r="R16" s="58"/>
      <c r="S16" s="15"/>
    </row>
    <row r="17" spans="1:19">
      <c r="A17" s="15"/>
      <c r="B17" s="21"/>
      <c r="C17" s="21"/>
      <c r="D17" s="20"/>
      <c r="E17" s="20"/>
      <c r="G17" s="15"/>
      <c r="H17" s="20"/>
      <c r="I17" s="20"/>
      <c r="J17" s="15"/>
      <c r="K17" s="58"/>
      <c r="L17" s="58"/>
      <c r="M17" s="15"/>
      <c r="N17" s="58"/>
      <c r="O17" s="58"/>
      <c r="P17" s="15"/>
      <c r="Q17" s="58"/>
      <c r="R17" s="58"/>
      <c r="S17" s="15"/>
    </row>
    <row r="18" spans="1:19">
      <c r="A18" s="15"/>
      <c r="B18" s="21"/>
      <c r="C18" s="21"/>
      <c r="D18" s="20"/>
      <c r="E18" s="20"/>
      <c r="G18" s="15"/>
      <c r="H18" s="20"/>
      <c r="I18" s="20"/>
      <c r="J18" s="15"/>
      <c r="K18" s="58"/>
      <c r="L18" s="58"/>
      <c r="M18" s="15"/>
      <c r="N18" s="58"/>
      <c r="O18" s="58"/>
      <c r="P18" s="15"/>
      <c r="Q18" s="58"/>
      <c r="R18" s="58"/>
      <c r="S18" s="15"/>
    </row>
    <row r="19" spans="1:19">
      <c r="A19" s="15"/>
      <c r="B19" s="21"/>
      <c r="C19" s="21"/>
      <c r="D19" s="20"/>
      <c r="E19" s="20"/>
      <c r="G19" s="15"/>
      <c r="H19" s="20"/>
      <c r="I19" s="20"/>
      <c r="J19" s="15"/>
      <c r="K19" s="58"/>
      <c r="L19" s="58"/>
      <c r="M19" s="15"/>
      <c r="N19" s="58"/>
      <c r="O19" s="58"/>
      <c r="P19" s="15"/>
      <c r="Q19" s="58"/>
      <c r="R19" s="58"/>
      <c r="S19" s="15"/>
    </row>
    <row r="20" spans="1:19"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K23" s="14"/>
      <c r="L23" s="14"/>
      <c r="M23" s="14"/>
      <c r="N23" s="14"/>
      <c r="O23" s="14"/>
      <c r="P23" s="14"/>
      <c r="Q23" s="14"/>
      <c r="R23" s="14"/>
      <c r="S23" s="14"/>
    </row>
    <row r="24" spans="1:19">
      <c r="K24" s="14"/>
      <c r="L24" s="14"/>
      <c r="M24" s="14"/>
      <c r="N24" s="14"/>
      <c r="O24" s="14"/>
      <c r="P24" s="14"/>
      <c r="Q24" s="14"/>
      <c r="R24" s="14"/>
      <c r="S24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selection activeCell="E13" sqref="E13"/>
    </sheetView>
  </sheetViews>
  <sheetFormatPr defaultColWidth="8.85546875" defaultRowHeight="15"/>
  <cols>
    <col min="1" max="7" width="9.140625" style="14"/>
    <col min="8" max="8" width="9.7109375" style="14" bestFit="1" customWidth="1"/>
    <col min="9" max="9" width="9" style="14" customWidth="1"/>
    <col min="10" max="10" width="8.7109375" style="14" customWidth="1"/>
    <col min="11" max="11" width="7.7109375" bestFit="1" customWidth="1"/>
    <col min="12" max="12" width="8.85546875" bestFit="1" customWidth="1"/>
    <col min="13" max="14" width="8.28515625" bestFit="1" customWidth="1"/>
    <col min="15" max="15" width="7.85546875" bestFit="1" customWidth="1"/>
  </cols>
  <sheetData>
    <row r="1" spans="1:19" s="35" customFormat="1" ht="15.75" thickBot="1">
      <c r="A1" s="12" t="s">
        <v>14</v>
      </c>
      <c r="B1" s="11" t="s">
        <v>1</v>
      </c>
      <c r="C1" s="10" t="s">
        <v>0</v>
      </c>
    </row>
    <row r="2" spans="1:19" s="35" customFormat="1" ht="15.75" customHeight="1">
      <c r="A2" s="8" t="s">
        <v>13</v>
      </c>
      <c r="B2" s="53">
        <f>RTD("tickerplantrtdserver",,"35#1#1#6069#FUTCUR#N3#0#XX#Bid")</f>
        <v>76.510000000000005</v>
      </c>
      <c r="C2" s="54">
        <f>RTD("tickerplantrtdserver",,"35#1#1#6069#FUTCUR#N3#0#XX#Ask")</f>
        <v>76.52</v>
      </c>
      <c r="D2" s="36"/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</row>
    <row r="3" spans="1:19" s="35" customFormat="1">
      <c r="A3" s="7" t="s">
        <v>12</v>
      </c>
      <c r="B3" s="5">
        <f>RTD("tickerplantrtdserver",,"35#1#1#5949#FUTCUR#N3#0#XX#Bid")</f>
        <v>85.73</v>
      </c>
      <c r="C3" s="27">
        <f>RTD("tickerplantrtdserver",,"35#1#1#5949#FUTCUR#N3#0#XX#Ask")</f>
        <v>85.754999999999995</v>
      </c>
      <c r="D3" s="37"/>
      <c r="E3" s="37"/>
      <c r="F3" s="37"/>
      <c r="G3" s="36"/>
      <c r="H3" s="36"/>
      <c r="I3" s="38"/>
      <c r="J3" s="38"/>
      <c r="K3" s="38"/>
      <c r="L3" s="38"/>
      <c r="M3" s="38"/>
      <c r="N3" s="38"/>
      <c r="O3" s="38"/>
    </row>
    <row r="4" spans="1:19" s="35" customFormat="1">
      <c r="A4" s="7" t="s">
        <v>11</v>
      </c>
      <c r="B4" s="5">
        <f>RTD("tickerplantrtdserver",,"35#1#1#6031#FUTCUR#N3#0#XX#Bid")</f>
        <v>94.75</v>
      </c>
      <c r="C4" s="27">
        <f>RTD("tickerplantrtdserver",,"35#1#1#6031#FUTCUR#N3#0#XX#Ask")</f>
        <v>94.8</v>
      </c>
      <c r="D4" s="37"/>
      <c r="E4" s="37"/>
      <c r="F4" s="37"/>
      <c r="G4" s="36"/>
      <c r="H4" s="36"/>
      <c r="I4" s="36"/>
      <c r="J4" s="36"/>
      <c r="K4" s="36"/>
      <c r="L4" s="36"/>
      <c r="M4" s="36"/>
      <c r="N4" s="36"/>
      <c r="O4" s="36"/>
    </row>
    <row r="5" spans="1:19" s="35" customFormat="1" ht="15.75" thickBot="1">
      <c r="A5" s="6" t="s">
        <v>10</v>
      </c>
      <c r="B5" s="29">
        <f>RTD("tickerplantrtdserver",,"35#1#1#5978#FUTCUR#N3#0#XX#Bid")</f>
        <v>71.52</v>
      </c>
      <c r="C5" s="43">
        <f>RTD("tickerplantrtdserver",,"35#1#1#5978#FUTCUR#N3#0#XX#Ask")</f>
        <v>71.594999999999999</v>
      </c>
      <c r="D5" s="39"/>
      <c r="E5" s="36"/>
      <c r="F5" s="39"/>
      <c r="G5" s="36"/>
      <c r="H5" s="36"/>
      <c r="I5" s="36"/>
      <c r="J5" s="36"/>
      <c r="K5" s="36"/>
      <c r="L5" s="36"/>
      <c r="M5" s="36"/>
      <c r="N5" s="36"/>
      <c r="O5" s="36"/>
    </row>
    <row r="6" spans="1:19" s="35" customFormat="1">
      <c r="A6" s="37"/>
      <c r="B6" s="36"/>
      <c r="C6" s="40"/>
      <c r="D6" s="39"/>
      <c r="E6" s="36"/>
      <c r="F6" s="39"/>
      <c r="G6" s="36"/>
      <c r="H6" s="36"/>
      <c r="I6" s="36"/>
      <c r="J6" s="36"/>
      <c r="K6" s="36"/>
      <c r="L6" s="36"/>
      <c r="M6" s="36"/>
      <c r="N6" s="36"/>
      <c r="O6" s="36"/>
    </row>
    <row r="7" spans="1:19" s="35" customFormat="1">
      <c r="A7" s="36"/>
      <c r="B7" s="36"/>
      <c r="C7" s="36"/>
      <c r="D7" s="36"/>
      <c r="E7" s="36"/>
      <c r="F7" s="36"/>
      <c r="G7" s="36"/>
      <c r="H7" s="36"/>
      <c r="I7" s="41"/>
      <c r="J7" s="41"/>
      <c r="K7" s="36"/>
      <c r="L7" s="36"/>
      <c r="M7" s="36"/>
      <c r="N7" s="36"/>
      <c r="O7" s="36"/>
    </row>
    <row r="8" spans="1:19" s="35" customFormat="1">
      <c r="A8" s="36"/>
      <c r="B8" s="36"/>
      <c r="C8" s="36"/>
      <c r="D8" s="36"/>
      <c r="E8" s="36"/>
      <c r="F8" s="36"/>
      <c r="G8" s="36"/>
      <c r="M8" s="36"/>
    </row>
    <row r="9" spans="1:19">
      <c r="A9" s="20"/>
      <c r="B9" s="20"/>
      <c r="C9" s="20"/>
      <c r="D9" s="20"/>
      <c r="E9" s="20"/>
      <c r="F9" s="20"/>
      <c r="G9" s="20"/>
      <c r="M9" s="2"/>
    </row>
    <row r="10" spans="1:19">
      <c r="A10" s="20"/>
      <c r="B10" s="31"/>
      <c r="C10" s="31"/>
      <c r="D10" s="20"/>
      <c r="E10" s="20"/>
      <c r="F10" s="20"/>
      <c r="G10" s="20"/>
      <c r="J10" s="58"/>
      <c r="K10" s="58"/>
      <c r="L10" s="14"/>
      <c r="M10" s="14"/>
      <c r="N10" s="58"/>
      <c r="O10" s="58"/>
      <c r="P10" s="14"/>
      <c r="Q10" s="14"/>
      <c r="R10" s="58"/>
      <c r="S10" s="58"/>
    </row>
    <row r="11" spans="1:19" s="14" customForma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s="14" customFormat="1" ht="15.95" customHeight="1">
      <c r="A13" s="13"/>
      <c r="B13" s="21"/>
      <c r="C13" s="21"/>
      <c r="D13" s="20"/>
      <c r="E13" s="21"/>
      <c r="F13" s="21"/>
      <c r="G13" s="21"/>
      <c r="H13" s="32"/>
      <c r="I13" s="32"/>
      <c r="J13" s="21"/>
      <c r="K13" s="21"/>
      <c r="L13" s="32"/>
      <c r="M13" s="32"/>
      <c r="N13" s="21"/>
      <c r="O13" s="21"/>
      <c r="P13" s="32"/>
      <c r="Q13" s="32"/>
      <c r="R13" s="21"/>
      <c r="S13" s="21"/>
    </row>
    <row r="14" spans="1:19" ht="15.75" customHeight="1">
      <c r="A14" s="13"/>
      <c r="B14" s="21"/>
      <c r="C14" s="21"/>
      <c r="D14" s="20"/>
      <c r="E14" s="21"/>
      <c r="F14" s="33"/>
      <c r="G14" s="34"/>
      <c r="H14" s="34"/>
      <c r="I14" s="34"/>
      <c r="J14" s="33"/>
      <c r="K14" s="34"/>
      <c r="L14" s="34"/>
      <c r="M14" s="34"/>
      <c r="N14" s="33"/>
      <c r="O14" s="34"/>
      <c r="P14" s="34"/>
      <c r="Q14" s="34"/>
      <c r="R14" s="33"/>
      <c r="S14" s="34"/>
    </row>
    <row r="15" spans="1:19">
      <c r="A15" s="13"/>
      <c r="B15" s="21"/>
      <c r="C15" s="21"/>
      <c r="D15" s="20"/>
      <c r="E15" s="20"/>
      <c r="G15" s="13"/>
      <c r="H15" s="20"/>
      <c r="I15" s="20"/>
      <c r="K15" s="13"/>
      <c r="L15" s="58"/>
      <c r="M15" s="58"/>
      <c r="N15" s="14"/>
      <c r="O15" s="13"/>
      <c r="P15" s="58"/>
      <c r="Q15" s="58"/>
      <c r="R15" s="14"/>
      <c r="S15" s="13"/>
    </row>
    <row r="16" spans="1:19">
      <c r="A16" s="15"/>
      <c r="B16" s="21"/>
      <c r="C16" s="21"/>
      <c r="D16" s="20"/>
      <c r="E16" s="20"/>
      <c r="G16" s="15"/>
      <c r="H16" s="20"/>
      <c r="I16" s="20"/>
      <c r="K16" s="15"/>
      <c r="L16" s="58"/>
      <c r="M16" s="58"/>
      <c r="N16" s="14"/>
      <c r="O16" s="15"/>
      <c r="P16" s="58"/>
      <c r="Q16" s="58"/>
      <c r="R16" s="14"/>
      <c r="S16" s="15"/>
    </row>
    <row r="17" spans="1:19">
      <c r="A17" s="15"/>
      <c r="B17" s="21"/>
      <c r="C17" s="21"/>
      <c r="D17" s="20"/>
      <c r="E17" s="20"/>
      <c r="G17" s="15"/>
      <c r="H17" s="20"/>
      <c r="I17" s="20"/>
      <c r="K17" s="15"/>
      <c r="L17" s="58"/>
      <c r="M17" s="58"/>
      <c r="N17" s="14"/>
      <c r="O17" s="15"/>
      <c r="P17" s="58"/>
      <c r="Q17" s="58"/>
      <c r="R17" s="14"/>
      <c r="S17" s="15"/>
    </row>
    <row r="18" spans="1:19">
      <c r="A18" s="15"/>
      <c r="B18" s="21"/>
      <c r="C18" s="21"/>
      <c r="D18" s="20"/>
      <c r="E18" s="20"/>
      <c r="G18" s="15"/>
      <c r="H18" s="20"/>
      <c r="I18" s="20"/>
      <c r="K18" s="15"/>
      <c r="L18" s="58"/>
      <c r="M18" s="58"/>
      <c r="N18" s="14"/>
      <c r="O18" s="15"/>
      <c r="P18" s="58"/>
      <c r="Q18" s="58"/>
      <c r="R18" s="14"/>
      <c r="S18" s="15"/>
    </row>
    <row r="19" spans="1:19">
      <c r="A19" s="15"/>
      <c r="B19" s="21"/>
      <c r="C19" s="21"/>
      <c r="D19" s="20"/>
      <c r="E19" s="20"/>
      <c r="G19" s="15"/>
      <c r="H19" s="20"/>
      <c r="I19" s="20"/>
      <c r="K19" s="15"/>
      <c r="L19" s="58"/>
      <c r="M19" s="58"/>
      <c r="N19" s="14"/>
      <c r="O19" s="15"/>
      <c r="P19" s="58"/>
      <c r="Q19" s="58"/>
      <c r="R19" s="14"/>
      <c r="S19" s="15"/>
    </row>
    <row r="20" spans="1:19">
      <c r="K20" s="14"/>
      <c r="L20" s="14"/>
      <c r="M20" s="14"/>
      <c r="N20" s="14"/>
      <c r="O20" s="14"/>
      <c r="P20" s="14"/>
      <c r="Q20" s="14"/>
      <c r="R20" s="14"/>
      <c r="S20" s="14"/>
    </row>
    <row r="21" spans="1:19">
      <c r="K21" s="14"/>
      <c r="L21" s="14"/>
      <c r="M21" s="14"/>
      <c r="N21" s="14"/>
      <c r="O21" s="14"/>
      <c r="P21" s="14"/>
      <c r="Q21" s="14"/>
      <c r="R21" s="14"/>
      <c r="S21" s="14"/>
    </row>
    <row r="22" spans="1:19">
      <c r="K22" s="14"/>
      <c r="L22" s="14"/>
      <c r="M22" s="14"/>
      <c r="N22" s="14"/>
      <c r="O22" s="14"/>
      <c r="P22" s="14"/>
      <c r="Q22" s="14"/>
      <c r="R22" s="14"/>
      <c r="S22" s="14"/>
    </row>
    <row r="23" spans="1:19">
      <c r="K23" s="14"/>
      <c r="L23" s="14"/>
      <c r="M23" s="14"/>
      <c r="N23" s="14"/>
      <c r="O23" s="14"/>
      <c r="P23" s="14"/>
      <c r="Q23" s="14"/>
      <c r="R23" s="14"/>
      <c r="S2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RowHeight="15"/>
  <cols>
    <col min="1" max="1" width="13.85546875" bestFit="1" customWidth="1"/>
    <col min="2" max="2" width="4.28515625" customWidth="1"/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62" t="str">
        <f>RTD("tickerplantrtdserver",,"FWRC1#USDINR#Month End Rates#0#S#Desc.2")</f>
        <v>CASH/SPOT</v>
      </c>
      <c r="D1" s="62" t="str">
        <f>RTD("tickerplantrtdserver",,"FWRC1#USDINR#Month End Rates#0#S#Desc.4")</f>
        <v>JUN-2020</v>
      </c>
      <c r="E1" s="62" t="str">
        <f>RTD("tickerplantrtdserver",,"FWRC1#USDINR#Month End Rates#0#S#Desc.5")</f>
        <v>JUL-2020</v>
      </c>
      <c r="F1" s="62" t="str">
        <f>RTD("tickerplantrtdserver",,"FWRC1#USDINR#Month End Rates#0#S#Desc.6")</f>
        <v>AUG-2020</v>
      </c>
      <c r="G1" s="62" t="str">
        <f>RTD("tickerplantrtdserver",,"FWRC1#USDINR#Month End Rates#0#S#Desc.7")</f>
        <v>SEP-2020</v>
      </c>
      <c r="H1" s="62" t="str">
        <f>RTD("tickerplantrtdserver",,"FWRC1#USDINR#Month End Rates#0#S#Desc.8")</f>
        <v>OCT-2020</v>
      </c>
      <c r="I1" s="62" t="str">
        <f>RTD("tickerplantrtdserver",,"FWRC1#USDINR#Month End Rates#0#S#Desc.9")</f>
        <v>NOV-2020</v>
      </c>
      <c r="J1" s="62" t="str">
        <f>RTD("tickerplantrtdserver",,"FWRC1#USDINR#Month End Rates#0#S#Desc.10")</f>
        <v>DEC-2020</v>
      </c>
      <c r="K1" s="62" t="str">
        <f>RTD("tickerplantrtdserver",,"FWRC1#USDINR#Month End Rates#0#S#Desc.11")</f>
        <v>JAN-2021</v>
      </c>
      <c r="L1" s="62" t="str">
        <f>RTD("tickerplantrtdserver",,"FWRC1#USDINR#Month End Rates#0#S#Desc.12")</f>
        <v>FEB-2021</v>
      </c>
      <c r="M1" s="62" t="str">
        <f>RTD("tickerplantrtdserver",,"FWRC1#USDINR#Month End Rates#0#S#Desc.13")</f>
        <v>MAR-2021</v>
      </c>
      <c r="N1" s="62" t="str">
        <f>RTD("tickerplantrtdserver",,"FWRC1#USDINR#Month End Rates#0#S#Desc.14")</f>
        <v>APR-2021</v>
      </c>
      <c r="O1" s="63" t="str">
        <f>RTD("tickerplantrtdserver",,"FWRC1#USDINR#Month End Rates#0#S#Desc.15")</f>
        <v>MAY-2021</v>
      </c>
    </row>
    <row r="2" spans="1:18" s="14" customFormat="1" ht="15.75" customHeight="1">
      <c r="A2" s="112" t="s">
        <v>5</v>
      </c>
      <c r="B2" s="113"/>
      <c r="C2" s="108" t="str">
        <f>RTD("tickerplantrtdserver",,"FWRC1#USDINR#Month End Rates#0#S#MonthEndDate2")</f>
        <v>24-Jun-2020</v>
      </c>
      <c r="D2" s="108" t="str">
        <f>RTD("tickerplantrtdserver",,"FWRC1#USDINR#Month End Rates#0#S#MonthEndDate4")</f>
        <v>30-Jun-2020</v>
      </c>
      <c r="E2" s="108" t="str">
        <f t="array" ref="E2">RTD("tickerplantrtdserver",,"FWRC1#USDINR#Month End Rates#0#S#MonthEndDate5")</f>
        <v>31-Jul-2020</v>
      </c>
      <c r="F2" s="108" t="str">
        <f t="array" ref="F2">RTD("tickerplantrtdserver",,"FWRC1#USDINR#Month End Rates#0#S#MonthEndDate6")</f>
        <v>31-Aug-2020</v>
      </c>
      <c r="G2" s="108" t="str">
        <f t="array" ref="G2">RTD("tickerplantrtdserver",,"FWRC1#USDINR#Month End Rates#0#S#MonthEndDate7")</f>
        <v>30-Sep-2020</v>
      </c>
      <c r="H2" s="108" t="str">
        <f t="array" ref="H2">RTD("tickerplantrtdserver",,"FWRC1#USDINR#Month End Rates#0#S#MonthEndDate8")</f>
        <v>29-Oct-2020</v>
      </c>
      <c r="I2" s="108" t="str">
        <f t="array" ref="I2">RTD("tickerplantrtdserver",,"FWRC1#USDINR#Month End Rates#0#S#MonthEndDate9")</f>
        <v>27-Nov-2020</v>
      </c>
      <c r="J2" s="108" t="str">
        <f t="array" ref="J2">RTD("tickerplantrtdserver",,"FWRC1#USDINR#Month End Rates#0#S#MonthEndDate10")</f>
        <v>31-Dec-2020</v>
      </c>
      <c r="K2" s="108" t="str">
        <f t="array" ref="K2">RTD("tickerplantrtdserver",,"FWRC1#USDINR#Month End Rates#0#S#MonthEndDate11")</f>
        <v>29-Jan-2021</v>
      </c>
      <c r="L2" s="108" t="str">
        <f t="array" ref="L2">RTD("tickerplantrtdserver",,"FWRC1#USDINR#Month End Rates#0#S#MonthEndDate12")</f>
        <v>26-Feb-2021</v>
      </c>
      <c r="M2" s="108" t="str">
        <f t="array" ref="M2">RTD("tickerplantrtdserver",,"FWRC1#USDINR#Month End Rates#0#S#MonthEndDate13")</f>
        <v>31-Mar-2021</v>
      </c>
      <c r="N2" s="108" t="str">
        <f t="array" ref="N2">RTD("tickerplantrtdserver",,"FWRC1#USDINR#Month End Rates#0#S#MonthEndDate14")</f>
        <v>30-Apr-2021</v>
      </c>
      <c r="O2" s="109" t="str">
        <f>RTD("tickerplantrtdserver",,"FWRC1#USDINR#Month End Rates#0#S#MonthEndDate15")</f>
        <v>31-May-2021</v>
      </c>
      <c r="P2" s="30"/>
    </row>
    <row r="3" spans="1:18" s="14" customFormat="1">
      <c r="A3" s="124" t="s">
        <v>4</v>
      </c>
      <c r="B3" s="125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  <c r="P3" s="15"/>
    </row>
    <row r="4" spans="1:18" s="14" customFormat="1">
      <c r="A4" s="112" t="s">
        <v>47</v>
      </c>
      <c r="B4" s="113"/>
      <c r="C4" s="65">
        <f t="array" ref="C4">RTD("tickerplantrtdserver",,"FWRC1#USDINR#Month End Rates#0#BidPrice2")</f>
        <v>1</v>
      </c>
      <c r="D4" s="65">
        <f t="array" ref="D4">RTD("tickerplantrtdserver",,"FWRC1#USDINR#Month End Rates#0#BidPrice4")</f>
        <v>3.75</v>
      </c>
      <c r="E4" s="65">
        <f t="array" ref="E4">RTD("tickerplantrtdserver",,"FWRC1#USDINR#Month End Rates#0#BidPrice5")</f>
        <v>25.75</v>
      </c>
      <c r="F4" s="65">
        <f t="array" ref="F4">RTD("tickerplantrtdserver",,"FWRC1#USDINR#Month End Rates#0#BidPrice6")</f>
        <v>48</v>
      </c>
      <c r="G4" s="65">
        <f t="array" ref="G4">RTD("tickerplantrtdserver",,"FWRC1#USDINR#Month End Rates#0#BidPrice7")</f>
        <v>72</v>
      </c>
      <c r="H4" s="65">
        <f t="array" ref="H4">RTD("tickerplantrtdserver",,"FWRC1#USDINR#Month End Rates#0#BidPrice8")</f>
        <v>96</v>
      </c>
      <c r="I4" s="65">
        <f t="array" ref="I4">RTD("tickerplantrtdserver",,"FWRC1#USDINR#Month End Rates#0#BidPrice9")</f>
        <v>119.5</v>
      </c>
      <c r="J4" s="65">
        <f t="array" ref="J4">RTD("tickerplantrtdserver",,"FWRC1#USDINR#Month End Rates#0#BidPrice10")</f>
        <v>146.75</v>
      </c>
      <c r="K4" s="65">
        <f t="array" ref="K4">RTD("tickerplantrtdserver",,"FWRC1#USDINR#Month End Rates#0#BidPrice11")</f>
        <v>170.25</v>
      </c>
      <c r="L4" s="65">
        <f t="array" ref="L4">RTD("tickerplantrtdserver",,"FWRC1#USDINR#Month End Rates#0#BidPrice12")</f>
        <v>191.5</v>
      </c>
      <c r="M4" s="65">
        <f t="array" ref="M4">RTD("tickerplantrtdserver",,"FWRC1#USDINR#Month End Rates#0#BidPrice13")</f>
        <v>218.5</v>
      </c>
      <c r="N4" s="65">
        <f t="array" ref="N4">RTD("tickerplantrtdserver",,"FWRC1#USDINR#Month End Rates#0#BidPrice14")</f>
        <v>248.5</v>
      </c>
      <c r="O4" s="67">
        <f t="array" ref="O4">RTD("tickerplantrtdserver",,"FWRC1#USDINR#Month End Rates#0#BidPrice15")</f>
        <v>271</v>
      </c>
      <c r="P4" s="20"/>
    </row>
    <row r="5" spans="1:18" s="14" customFormat="1">
      <c r="A5" s="112" t="s">
        <v>48</v>
      </c>
      <c r="B5" s="113"/>
      <c r="C5" s="65">
        <f t="array" ref="C5">RTD("tickerplantrtdserver",,"FWRC1#USDINR#Month End Rates#0#BidPrice2")</f>
        <v>1</v>
      </c>
      <c r="D5" s="65">
        <f t="array" ref="D5">RTD("tickerplantrtdserver",,"FWRC1#USDINR#Month End Rates#0#BidPrice4")</f>
        <v>3.75</v>
      </c>
      <c r="E5" s="65">
        <f t="array" ref="E5">RTD("tickerplantrtdserver",,"FWRC1#USDINR#Month End Rates#0#AskPrice5")</f>
        <v>27.75</v>
      </c>
      <c r="F5" s="65">
        <f t="array" ref="F5">RTD("tickerplantrtdserver",,"FWRC1#USDINR#Month End Rates#0#AskPrice6")</f>
        <v>50</v>
      </c>
      <c r="G5" s="65">
        <f t="array" ref="G5">RTD("tickerplantrtdserver",,"FWRC1#USDINR#Month End Rates#0#AskPrice7")</f>
        <v>74</v>
      </c>
      <c r="H5" s="65">
        <f t="array" ref="H5">RTD("tickerplantrtdserver",,"FWRC1#USDINR#Month End Rates#0#AskPrice8")</f>
        <v>98</v>
      </c>
      <c r="I5" s="65">
        <f t="array" ref="I5">RTD("tickerplantrtdserver",,"FWRC1#USDINR#Month End Rates#0#AskPrice9")</f>
        <v>121.5</v>
      </c>
      <c r="J5" s="65">
        <f t="array" ref="J5">RTD("tickerplantrtdserver",,"FWRC1#USDINR#Month End Rates#0#AskPrice10")</f>
        <v>148.75</v>
      </c>
      <c r="K5" s="65">
        <f t="array" ref="K5">RTD("tickerplantrtdserver",,"FWRC1#USDINR#Month End Rates#0#AskPrice11")</f>
        <v>172.25</v>
      </c>
      <c r="L5" s="65">
        <f t="array" ref="L5">RTD("tickerplantrtdserver",,"FWRC1#USDINR#Month End Rates#0#AskPrice12")</f>
        <v>193.5</v>
      </c>
      <c r="M5" s="65">
        <f t="array" ref="M5">RTD("tickerplantrtdserver",,"FWRC1#USDINR#Month End Rates#0#AskPrice13")</f>
        <v>220.5</v>
      </c>
      <c r="N5" s="65">
        <f t="array" ref="N5">RTD("tickerplantrtdserver",,"FWRC1#USDINR#Month End Rates#0#AskPrice14")</f>
        <v>250.5</v>
      </c>
      <c r="O5" s="67">
        <f t="array" ref="O5">RTD("tickerplantrtdserver",,"FWRC1#USDINR#Month End Rates#0#AskPrice15")</f>
        <v>273</v>
      </c>
      <c r="P5" s="20"/>
    </row>
    <row r="6" spans="1:18" s="14" customFormat="1">
      <c r="A6" s="124" t="s">
        <v>3</v>
      </c>
      <c r="B6" s="125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  <c r="P6" s="20"/>
    </row>
    <row r="7" spans="1:18" s="14" customFormat="1">
      <c r="A7" s="112" t="s">
        <v>47</v>
      </c>
      <c r="B7" s="113"/>
      <c r="C7" s="64">
        <f t="array" ref="C7">RTD("tickerplantrtdserver",,"FWRC1#USDINR#Month End Rates#0#FwdOutrightBid1")</f>
        <v>76.004999999999995</v>
      </c>
      <c r="D7" s="64">
        <f>RTD("tickerplantrtdserver",,"FWRC1#USDINR#Month End Rates#0#FwdOutrightBid4")</f>
        <v>76.0625</v>
      </c>
      <c r="E7" s="64">
        <f t="array" ref="E7">RTD("tickerplantrtdserver",,"FWRC1#USDINR#Month End Rates#0#FwdOutrightBid5")</f>
        <v>76.282499999999999</v>
      </c>
      <c r="F7" s="64">
        <f t="array" ref="F7">RTD("tickerplantrtdserver",,"FWRC1#USDINR#Month End Rates#0#FwdOutrightBid6")</f>
        <v>76.504999999999995</v>
      </c>
      <c r="G7" s="64">
        <f t="array" ref="G7">RTD("tickerplantrtdserver",,"FWRC1#USDINR#Month End Rates#0#FwdOutrightBid7")</f>
        <v>76.745000000000005</v>
      </c>
      <c r="H7" s="64">
        <f t="array" ref="H7">RTD("tickerplantrtdserver",,"FWRC1#USDINR#Month End Rates#0#FwdOutrightBid8")</f>
        <v>76.984999999999999</v>
      </c>
      <c r="I7" s="64">
        <f t="array" ref="I7">RTD("tickerplantrtdserver",,"FWRC1#USDINR#Month End Rates#0#FwdOutrightBid9")</f>
        <v>77.22</v>
      </c>
      <c r="J7" s="64">
        <f t="array" ref="J7">RTD("tickerplantrtdserver",,"FWRC1#USDINR#Month End Rates#0#FwdOutrightBid10")</f>
        <v>77.492500000000007</v>
      </c>
      <c r="K7" s="64">
        <f t="array" ref="K7">RTD("tickerplantrtdserver",,"FWRC1#USDINR#Month End Rates#0#FwdOutrightBid11")</f>
        <v>77.727500000000006</v>
      </c>
      <c r="L7" s="64">
        <f t="array" ref="L7">RTD("tickerplantrtdserver",,"FWRC1#USDINR#Month End Rates#0#FwdOutrightBid12")</f>
        <v>77.94</v>
      </c>
      <c r="M7" s="64">
        <f t="array" ref="M7">RTD("tickerplantrtdserver",,"FWRC1#USDINR#Month End Rates#0#FwdOutrightBid13")</f>
        <v>78.209999999999994</v>
      </c>
      <c r="N7" s="64">
        <f t="array" ref="N7">RTD("tickerplantrtdserver",,"FWRC1#USDINR#Month End Rates#0#FwdOutrightBid14")</f>
        <v>78.510000000000005</v>
      </c>
      <c r="O7" s="68">
        <f t="array" ref="O7">RTD("tickerplantrtdserver",,"FWRC1#USDINR#Month End Rates#0#FwdOutrightBid15")</f>
        <v>78.734999999999999</v>
      </c>
      <c r="P7" s="20"/>
    </row>
    <row r="8" spans="1:18" s="14" customFormat="1">
      <c r="A8" s="112" t="s">
        <v>48</v>
      </c>
      <c r="B8" s="113"/>
      <c r="C8" s="64">
        <f t="array" ref="C8">RTD("tickerplantrtdserver",,"FWRC1#USDINR#Month End Rates#0#FwdOutrightAsk1")</f>
        <v>76.025000000000006</v>
      </c>
      <c r="D8" s="64">
        <f t="array" ref="D8">RTD("tickerplantrtdserver",,"FWRC1#USDINR#Month End Rates#0#FwdOutrightAsk4")</f>
        <v>76.092500000000001</v>
      </c>
      <c r="E8" s="64">
        <f t="array" ref="E8">RTD("tickerplantrtdserver",,"FWRC1#USDINR#Month End Rates#0#FwdOutrightAsk5")</f>
        <v>76.3125</v>
      </c>
      <c r="F8" s="64">
        <f t="array" ref="F8">RTD("tickerplantrtdserver",,"FWRC1#USDINR#Month End Rates#0#FwdOutrightAsk6")</f>
        <v>76.534999999999997</v>
      </c>
      <c r="G8" s="64">
        <f t="array" ref="G8">RTD("tickerplantrtdserver",,"FWRC1#USDINR#Month End Rates#0#FwdOutrightAsk7")</f>
        <v>76.775000000000006</v>
      </c>
      <c r="H8" s="64">
        <f t="array" ref="H8">RTD("tickerplantrtdserver",,"FWRC1#USDINR#Month End Rates#0#FwdOutrightAsk8")</f>
        <v>77.015000000000001</v>
      </c>
      <c r="I8" s="64">
        <f t="array" ref="I8">RTD("tickerplantrtdserver",,"FWRC1#USDINR#Month End Rates#0#FwdOutrightAsk9")</f>
        <v>77.25</v>
      </c>
      <c r="J8" s="64">
        <f t="array" ref="J8">RTD("tickerplantrtdserver",,"FWRC1#USDINR#Month End Rates#0#FwdOutrightAsk10")</f>
        <v>77.522499999999994</v>
      </c>
      <c r="K8" s="64">
        <f t="array" ref="K8">RTD("tickerplantrtdserver",,"FWRC1#USDINR#Month End Rates#0#FwdOutrightAsk11")</f>
        <v>77.757499999999993</v>
      </c>
      <c r="L8" s="64">
        <f t="array" ref="L8">RTD("tickerplantrtdserver",,"FWRC1#USDINR#Month End Rates#0#FwdOutrightAsk12")</f>
        <v>77.97</v>
      </c>
      <c r="M8" s="64">
        <f t="array" ref="M8">RTD("tickerplantrtdserver",,"FWRC1#USDINR#Month End Rates#0#FwdOutrightAsk13")</f>
        <v>78.239999999999995</v>
      </c>
      <c r="N8" s="64">
        <f t="array" ref="N8">RTD("tickerplantrtdserver",,"FWRC1#USDINR#Month End Rates#0#FwdOutrightAsk14")</f>
        <v>78.540000000000006</v>
      </c>
      <c r="O8" s="68">
        <f t="array" ref="O8">RTD("tickerplantrtdserver",,"FWRC1#USDINR#Month End Rates#0#FwdOutrightAsk15")</f>
        <v>78.765000000000001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6">
        <f t="array" ref="C10">RTD("tickerplantrtdserver",,"FWRC1#USDINR#Month End Rates#0#Bid%2")</f>
        <v>2.4001999999999999</v>
      </c>
      <c r="D10" s="66">
        <f t="array" ref="D10">RTD("tickerplantrtdserver",,"FWRC1#USDINR#Month End Rates#0#Bid%4")</f>
        <v>3.0003000000000002</v>
      </c>
      <c r="E10" s="65">
        <f t="array" ref="E10">RTD("tickerplantrtdserver",,"FWRC1#USDINR#Month End Rates#0#Bid%5")</f>
        <v>3.3408000000000002</v>
      </c>
      <c r="F10" s="65">
        <f t="array" ref="F10">RTD("tickerplantrtdserver",,"FWRC1#USDINR#Month End Rates#0#Bid%6")</f>
        <v>3.3885000000000001</v>
      </c>
      <c r="G10" s="65">
        <f t="array" ref="G10">RTD("tickerplantrtdserver",,"FWRC1#USDINR#Month End Rates#0#Bid%7")</f>
        <v>3.5268000000000002</v>
      </c>
      <c r="H10" s="65">
        <f t="array" ref="H10">RTD("tickerplantrtdserver",,"FWRC1#USDINR#Month End Rates#0#Bid%8")</f>
        <v>3.6286999999999998</v>
      </c>
      <c r="I10" s="65">
        <f t="array" ref="I10">RTD("tickerplantrtdserver",,"FWRC1#USDINR#Month End Rates#0#Bid%9")</f>
        <v>3.6772</v>
      </c>
      <c r="J10" s="65">
        <f t="array" ref="J10">RTD("tickerplantrtdserver",,"FWRC1#USDINR#Month End Rates#0#Bid%10")</f>
        <v>3.7077</v>
      </c>
      <c r="K10" s="65">
        <f t="array" ref="K10">RTD("tickerplantrtdserver",,"FWRC1#USDINR#Month End Rates#0#Bid%11")</f>
        <v>3.7317999999999998</v>
      </c>
      <c r="L10" s="65">
        <f t="array" ref="L10">RTD("tickerplantrtdserver",,"FWRC1#USDINR#Month End Rates#0#Bid%12")</f>
        <v>3.7218</v>
      </c>
      <c r="M10" s="65">
        <f t="array" ref="M10">RTD("tickerplantrtdserver",,"FWRC1#USDINR#Month End Rates#0#Bid%13")</f>
        <v>3.746</v>
      </c>
      <c r="N10" s="65">
        <f t="array" ref="N10">RTD("tickerplantrtdserver",,"FWRC1#USDINR#Month End Rates#0#Bid%14")</f>
        <v>3.8481000000000001</v>
      </c>
      <c r="O10" s="67">
        <f t="array" ref="O10">RTD("tickerplantrtdserver",,"FWRC1#USDINR#Month End Rates#0#Bid%15")</f>
        <v>3.8149999999999999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RTD("tickerplantrtdserver",,"FWRC1#USDINR#Month End Rates#0#Ask%2")</f>
        <v>4.8010999999999999</v>
      </c>
      <c r="D11" s="69">
        <f t="array" ref="D11">RTD("tickerplantrtdserver",,"FWRC1#USDINR#Month End Rates#0#Ask%4")</f>
        <v>4.601</v>
      </c>
      <c r="E11" s="69">
        <f t="array" ref="E11">RTD("tickerplantrtdserver",,"FWRC1#USDINR#Month End Rates#0#Ask%5")</f>
        <v>3.6008</v>
      </c>
      <c r="F11" s="69">
        <f t="array" ref="F11">RTD("tickerplantrtdserver",,"FWRC1#USDINR#Month End Rates#0#Ask%6")</f>
        <v>3.5301999999999998</v>
      </c>
      <c r="G11" s="69">
        <f t="array" ref="G11">RTD("tickerplantrtdserver",,"FWRC1#USDINR#Month End Rates#0#Ask%7")</f>
        <v>3.6253000000000002</v>
      </c>
      <c r="H11" s="69">
        <f t="array" ref="H11">RTD("tickerplantrtdserver",,"FWRC1#USDINR#Month End Rates#0#Ask%8")</f>
        <v>3.7046999999999999</v>
      </c>
      <c r="I11" s="69">
        <f t="array" ref="I11">RTD("tickerplantrtdserver",,"FWRC1#USDINR#Month End Rates#0#Ask%9")</f>
        <v>3.7393000000000001</v>
      </c>
      <c r="J11" s="69">
        <f t="array" ref="J11">RTD("tickerplantrtdserver",,"FWRC1#USDINR#Month End Rates#0#Ask%10")</f>
        <v>3.7587000000000002</v>
      </c>
      <c r="K11" s="69">
        <f t="array" ref="K11">RTD("tickerplantrtdserver",,"FWRC1#USDINR#Month End Rates#0#Ask%11")</f>
        <v>3.7761999999999998</v>
      </c>
      <c r="L11" s="69">
        <f t="array" ref="L11">RTD("tickerplantrtdserver",,"FWRC1#USDINR#Month End Rates#0#Ask%12")</f>
        <v>3.7610999999999999</v>
      </c>
      <c r="M11" s="69">
        <f t="array" ref="M11">RTD("tickerplantrtdserver",,"FWRC1#USDINR#Month End Rates#0#Ask%13")</f>
        <v>3.7808000000000002</v>
      </c>
      <c r="N11" s="69">
        <f t="array" ref="N11">RTD("tickerplantrtdserver",,"FWRC1#USDINR#Month End Rates#0#Ask%14")</f>
        <v>3.8795999999999999</v>
      </c>
      <c r="O11" s="70">
        <f t="array" ref="O11">RTD("tickerplantrtdserver",,"FWRC1#USDINR#Month End Rates#0#Ask%15")</f>
        <v>3.8437000000000001</v>
      </c>
    </row>
    <row r="12" spans="1:18" s="14" customFormat="1" ht="15.75" customHeight="1"/>
    <row r="13" spans="1:18" s="14" customFormat="1">
      <c r="Q13" s="23"/>
      <c r="R13" s="23"/>
    </row>
    <row r="14" spans="1:18" s="14" customFormat="1">
      <c r="P14" s="31"/>
      <c r="Q14" s="31"/>
      <c r="R14" s="31"/>
    </row>
    <row r="15" spans="1:18" s="14" customFormat="1">
      <c r="P15" s="15"/>
      <c r="Q15" s="15"/>
      <c r="R15" s="15"/>
    </row>
    <row r="16" spans="1:18" s="14" customFormat="1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s="14" customForma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6" s="2" customForma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>
      <c r="A36" s="1"/>
      <c r="B36" s="1"/>
    </row>
  </sheetData>
  <mergeCells count="12">
    <mergeCell ref="A10:B10"/>
    <mergeCell ref="A11:B11"/>
    <mergeCell ref="A8:B8"/>
    <mergeCell ref="A9:B9"/>
    <mergeCell ref="C9:O9"/>
    <mergeCell ref="A1:B1"/>
    <mergeCell ref="A7:B7"/>
    <mergeCell ref="A5:B5"/>
    <mergeCell ref="A4:B4"/>
    <mergeCell ref="A2:B2"/>
    <mergeCell ref="A6:B6"/>
    <mergeCell ref="A3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selection activeCell="C5" sqref="C5"/>
    </sheetView>
  </sheetViews>
  <sheetFormatPr defaultColWidth="8.85546875"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3" t="str">
        <f t="array" ref="C1">RTD("tickerplantrtdserver",,"FWRC1#USDINR#Month Wise Rates#0#S#Desc.2")</f>
        <v>TN</v>
      </c>
      <c r="D1" s="73" t="str">
        <f t="array" ref="D1">RTD("tickerplantrtdserver",,"FWRC1#USDINR#Month Wise Rates#0#S#Desc.7")</f>
        <v>1M</v>
      </c>
      <c r="E1" s="73" t="str">
        <f t="array" ref="E1">RTD("tickerplantrtdserver",,"FWRC1#USDINR#Month Wise Rates#0#S#Desc.8")</f>
        <v>2M</v>
      </c>
      <c r="F1" s="73" t="str">
        <f t="array" ref="F1">RTD("tickerplantrtdserver",,"FWRC1#USDINR#Month Wise Rates#0#S#Desc.9")</f>
        <v>3M</v>
      </c>
      <c r="G1" s="73" t="str">
        <f t="array" ref="G1">RTD("tickerplantrtdserver",,"FWRC1#USDINR#Month Wise Rates#0#S#Desc.10")</f>
        <v>4M</v>
      </c>
      <c r="H1" s="73" t="str">
        <f t="array" ref="H1">RTD("tickerplantrtdserver",,"FWRC1#USDINR#Month Wise Rates#0#S#Desc.11")</f>
        <v>5M</v>
      </c>
      <c r="I1" s="73" t="str">
        <f t="array" ref="I1">RTD("tickerplantrtdserver",,"FWRC1#USDINR#Month Wise Rates#0#S#Desc.12")</f>
        <v>6M</v>
      </c>
      <c r="J1" s="73" t="str">
        <f t="array" ref="J1">RTD("tickerplantrtdserver",,"FWRC1#USDINR#Month Wise Rates#0#S#Desc.13")</f>
        <v>7M</v>
      </c>
      <c r="K1" s="73" t="str">
        <f t="array" ref="K1">RTD("tickerplantrtdserver",,"FWRC1#USDINR#Month Wise Rates#0#S#Desc.14")</f>
        <v>8M</v>
      </c>
      <c r="L1" s="73" t="str">
        <f t="array" ref="L1">RTD("tickerplantrtdserver",,"FWRC1#USDINR#Month Wise Rates#0#S#Desc.15")</f>
        <v>9M</v>
      </c>
      <c r="M1" s="73" t="str">
        <f t="array" ref="M1">RTD("tickerplantrtdserver",,"FWRC1#USDINR#Month Wise Rates#0#S#Desc.16")</f>
        <v>10M</v>
      </c>
      <c r="N1" s="73" t="str">
        <f t="array" ref="N1">RTD("tickerplantrtdserver",,"FWRC1#USDINR#Month Wise Rates#0#S#Desc.17")</f>
        <v>11M</v>
      </c>
      <c r="O1" s="74" t="str">
        <f t="array" ref="O1">RTD("tickerplantrtdserver",,"FWRC1#USDINR#Month Wise Rates#0#S#Desc.18")</f>
        <v>12M</v>
      </c>
    </row>
    <row r="2" spans="1:18" s="14" customFormat="1" ht="15.75" customHeight="1">
      <c r="A2" s="112" t="s">
        <v>5</v>
      </c>
      <c r="B2" s="113"/>
      <c r="C2" s="72" t="str">
        <f t="array" ref="C2">RTD("tickerplantrtdserver",,"FWRC1#USDINR#Month Wise Rates#0#S#PillarDate2")</f>
        <v>24-Jun-2020</v>
      </c>
      <c r="D2" s="71" t="str">
        <f t="array" ref="D2">RTD("tickerplantrtdserver",,"FWRC1#USDINR#Month Wise Rates#0#S#PillarDate7")</f>
        <v>24-Jul-2020</v>
      </c>
      <c r="E2" s="71" t="str">
        <f t="array" ref="E2">RTD("tickerplantrtdserver",,"FWRC1#USDINR#Month Wise Rates#0#S#PillarDate8")</f>
        <v>24-Aug-2020</v>
      </c>
      <c r="F2" s="71" t="str">
        <f t="array" ref="F2">RTD("tickerplantrtdserver",,"FWRC1#USDINR#Month Wise Rates#0#S#PillarDate9")</f>
        <v>24-Sep-2020</v>
      </c>
      <c r="G2" s="71" t="str">
        <f t="array" ref="G2">RTD("tickerplantrtdserver",,"FWRC1#USDINR#Month Wise Rates#0#S#PillarDate10")</f>
        <v>26-Oct-2020</v>
      </c>
      <c r="H2" s="71" t="str">
        <f t="array" ref="H2">RTD("tickerplantrtdserver",,"FWRC1#USDINR#Month Wise Rates#0#S#PillarDate11")</f>
        <v>24-Nov-2020</v>
      </c>
      <c r="I2" s="71" t="str">
        <f t="array" ref="I2">RTD("tickerplantrtdserver",,"FWRC1#USDINR#Month Wise Rates#0#S#PillarDate12")</f>
        <v>24-Dec-2020</v>
      </c>
      <c r="J2" s="71" t="str">
        <f t="array" ref="J2">RTD("tickerplantrtdserver",,"FWRC1#USDINR#Month Wise Rates#0#S#PillarDate13")</f>
        <v>25-Jan-2021</v>
      </c>
      <c r="K2" s="71" t="str">
        <f t="array" ref="K2">RTD("tickerplantrtdserver",,"FWRC1#USDINR#Month Wise Rates#0#S#PillarDate14")</f>
        <v>24-Feb-2021</v>
      </c>
      <c r="L2" s="71" t="str">
        <f t="array" ref="L2">RTD("tickerplantrtdserver",,"FWRC1#USDINR#Month Wise Rates#0#S#PillarDate15")</f>
        <v>24-Mar-2021</v>
      </c>
      <c r="M2" s="71" t="str">
        <f t="array" ref="M2">RTD("tickerplantrtdserver",,"FWRC1#USDINR#Month Wise Rates#0#S#PillarDate16")</f>
        <v>26-Apr-2021</v>
      </c>
      <c r="N2" s="71" t="str">
        <f t="array" ref="N2">RTD("tickerplantrtdserver",,"FWRC1#USDINR#Month Wise Rates#0#S#PillarDate17")</f>
        <v>24-May-2021</v>
      </c>
      <c r="O2" s="75" t="str">
        <f t="array" ref="O2">RTD("tickerplantrtdserver",,"FWRC1#USDINR#Month Wise Rates#0#S#PillarDate18")</f>
        <v>24-Jun-2021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 t="str">
        <f>RTD("tickerplantrtdserver",,"FWRC1#USDINR#Month Wise Rates#0#BidPrice2")</f>
        <v/>
      </c>
      <c r="D4" s="65">
        <f t="array" ref="D4">RTD("tickerplantrtdserver",,"FWRC1#USDINR#Month Wise Rates#0#BidPrice7")</f>
        <v>20.782299999999999</v>
      </c>
      <c r="E4" s="65">
        <f t="array" ref="E4">RTD("tickerplantrtdserver",,"FWRC1#USDINR#Month Wise Rates#0#BidPrice8")</f>
        <v>42.9758</v>
      </c>
      <c r="F4" s="65">
        <f t="array" ref="F4">RTD("tickerplantrtdserver",,"FWRC1#USDINR#Month Wise Rates#0#BidPrice9")</f>
        <v>67.2</v>
      </c>
      <c r="G4" s="65">
        <f t="array" ref="G4">RTD("tickerplantrtdserver",,"FWRC1#USDINR#Month Wise Rates#0#BidPrice10")</f>
        <v>93.517200000000003</v>
      </c>
      <c r="H4" s="65">
        <f t="array" ref="H4">RTD("tickerplantrtdserver",,"FWRC1#USDINR#Month Wise Rates#0#BidPrice11")</f>
        <v>117.069</v>
      </c>
      <c r="I4" s="65">
        <f t="array" ref="I4">RTD("tickerplantrtdserver",,"FWRC1#USDINR#Month Wise Rates#0#BidPrice12")</f>
        <v>141.1397</v>
      </c>
      <c r="J4" s="65">
        <f t="array" ref="J4">RTD("tickerplantrtdserver",,"FWRC1#USDINR#Month Wise Rates#0#BidPrice13")</f>
        <v>167.0086</v>
      </c>
      <c r="K4" s="65">
        <f t="array" ref="K4">RTD("tickerplantrtdserver",,"FWRC1#USDINR#Month Wise Rates#0#BidPrice14")</f>
        <v>189.9821</v>
      </c>
      <c r="L4" s="65">
        <f t="array" ref="L4">RTD("tickerplantrtdserver",,"FWRC1#USDINR#Month Wise Rates#0#BidPrice15")</f>
        <v>212.77269999999999</v>
      </c>
      <c r="M4" s="65">
        <f t="array" ref="M4">RTD("tickerplantrtdserver",,"FWRC1#USDINR#Month Wise Rates#0#BidPrice16")</f>
        <v>244.5</v>
      </c>
      <c r="N4" s="65">
        <f t="array" ref="N4">RTD("tickerplantrtdserver",,"FWRC1#USDINR#Month Wise Rates#0#BidPrice17")</f>
        <v>265.9194</v>
      </c>
      <c r="O4" s="67">
        <f t="array" ref="O4">RTD("tickerplantrtdserver",,"FWRC1#USDINR#Month Wise Rates#0#BidPrice18")</f>
        <v>288.4194</v>
      </c>
      <c r="P4" s="20"/>
    </row>
    <row r="5" spans="1:18" s="14" customFormat="1">
      <c r="A5" s="112" t="s">
        <v>48</v>
      </c>
      <c r="B5" s="113"/>
      <c r="C5" s="65" t="str">
        <f t="array" ref="C5">RTD("tickerplantrtdserver",,"FWRC1#USDINR#Month Wise Rates#0#AskPrice2")</f>
        <v/>
      </c>
      <c r="D5" s="65">
        <f t="array" ref="D5">RTD("tickerplantrtdserver",,"FWRC1#USDINR#Month Wise Rates#0#AskPrice7")</f>
        <v>22.782299999999999</v>
      </c>
      <c r="E5" s="65">
        <f t="array" ref="E5">RTD("tickerplantrtdserver",,"FWRC1#USDINR#Month Wise Rates#0#AskPrice8")</f>
        <v>44.9758</v>
      </c>
      <c r="F5" s="65">
        <f t="array" ref="F5">RTD("tickerplantrtdserver",,"FWRC1#USDINR#Month Wise Rates#0#AskPrice9")</f>
        <v>69.2</v>
      </c>
      <c r="G5" s="65">
        <f t="array" ref="G5">RTD("tickerplantrtdserver",,"FWRC1#USDINR#Month Wise Rates#0#AskPrice10")</f>
        <v>95.517200000000003</v>
      </c>
      <c r="H5" s="65">
        <f t="array" ref="H5">RTD("tickerplantrtdserver",,"FWRC1#USDINR#Month Wise Rates#0#AskPrice11")</f>
        <v>119.069</v>
      </c>
      <c r="I5" s="65">
        <f t="array" ref="I5">RTD("tickerplantrtdserver",,"FWRC1#USDINR#Month Wise Rates#0#AskPrice12")</f>
        <v>143.1397</v>
      </c>
      <c r="J5" s="65">
        <f t="array" ref="J5">RTD("tickerplantrtdserver",,"FWRC1#USDINR#Month Wise Rates#0#AskPrice13")</f>
        <v>169.0086</v>
      </c>
      <c r="K5" s="65">
        <f t="array" ref="K5">RTD("tickerplantrtdserver",,"FWRC1#USDINR#Month Wise Rates#0#AskPrice14")</f>
        <v>191.9821</v>
      </c>
      <c r="L5" s="65">
        <f t="array" ref="L5">RTD("tickerplantrtdserver",,"FWRC1#USDINR#Month Wise Rates#0#AskPrice15")</f>
        <v>214.77269999999999</v>
      </c>
      <c r="M5" s="65">
        <f t="array" ref="M5">RTD("tickerplantrtdserver",,"FWRC1#USDINR#Month Wise Rates#0#AskPrice16")</f>
        <v>246.5</v>
      </c>
      <c r="N5" s="65">
        <f t="array" ref="N5">RTD("tickerplantrtdserver",,"FWRC1#USDINR#Month Wise Rates#0#AskPrice17")</f>
        <v>267.9194</v>
      </c>
      <c r="O5" s="67">
        <f t="array" ref="O5">RTD("tickerplantrtdserver",,"FWRC1#USDINR#Month Wise Rates#0#AskPrice18")</f>
        <v>290.4194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64" t="str">
        <f t="array" ref="C7">RTD("tickerplantrtdserver",,"FWRC1#USDINR#Month Wise Rates#0#FwdOutrightBid2")</f>
        <v/>
      </c>
      <c r="D7" s="64">
        <f t="array" ref="D7">RTD("tickerplantrtdserver",,"FWRC1#USDINR#Month Wise Rates#0#FwdOutrightBid7")</f>
        <v>76.232799999999997</v>
      </c>
      <c r="E7" s="64">
        <f t="array" ref="E7">RTD("tickerplantrtdserver",,"FWRC1#USDINR#Month Wise Rates#0#FwdOutrightBid8")</f>
        <v>76.454800000000006</v>
      </c>
      <c r="F7" s="64">
        <f t="array" ref="F7">RTD("tickerplantrtdserver",,"FWRC1#USDINR#Month Wise Rates#0#FwdOutrightBid9")</f>
        <v>76.697000000000003</v>
      </c>
      <c r="G7" s="64">
        <f t="array" ref="G7">RTD("tickerplantrtdserver",,"FWRC1#USDINR#Month Wise Rates#0#FwdOutrightBid10")</f>
        <v>76.9602</v>
      </c>
      <c r="H7" s="64">
        <f t="array" ref="H7">RTD("tickerplantrtdserver",,"FWRC1#USDINR#Month Wise Rates#0#FwdOutrightBid11")</f>
        <v>77.195700000000002</v>
      </c>
      <c r="I7" s="64">
        <f t="array" ref="I7">RTD("tickerplantrtdserver",,"FWRC1#USDINR#Month Wise Rates#0#FwdOutrightBid12")</f>
        <v>77.436400000000006</v>
      </c>
      <c r="J7" s="64">
        <f t="array" ref="J7">RTD("tickerplantrtdserver",,"FWRC1#USDINR#Month Wise Rates#0#FwdOutrightBid13")</f>
        <v>77.695099999999996</v>
      </c>
      <c r="K7" s="64">
        <f t="array" ref="K7">RTD("tickerplantrtdserver",,"FWRC1#USDINR#Month Wise Rates#0#FwdOutrightBid14")</f>
        <v>77.924800000000005</v>
      </c>
      <c r="L7" s="64">
        <f t="array" ref="L7">RTD("tickerplantrtdserver",,"FWRC1#USDINR#Month Wise Rates#0#FwdOutrightBid15")</f>
        <v>78.152699999999996</v>
      </c>
      <c r="M7" s="64">
        <f t="array" ref="M7">RTD("tickerplantrtdserver",,"FWRC1#USDINR#Month Wise Rates#0#FwdOutrightBid16")</f>
        <v>78.47</v>
      </c>
      <c r="N7" s="64">
        <f t="array" ref="N7">RTD("tickerplantrtdserver",,"FWRC1#USDINR#Month Wise Rates#0#FwdOutrightBid17")</f>
        <v>78.684200000000004</v>
      </c>
      <c r="O7" s="68">
        <f t="array" ref="O7">RTD("tickerplantrtdserver",,"FWRC1#USDINR#Month Wise Rates#0#FwdOutrightBid18")</f>
        <v>78.909199999999998</v>
      </c>
      <c r="P7" s="20"/>
    </row>
    <row r="8" spans="1:18" s="14" customFormat="1">
      <c r="A8" s="112" t="s">
        <v>48</v>
      </c>
      <c r="B8" s="113"/>
      <c r="C8" s="64" t="str">
        <f t="array" ref="C8">RTD("tickerplantrtdserver",,"FWRC1#USDINR#Month Wise Rates#0#FwdOutrightAsk2")</f>
        <v/>
      </c>
      <c r="D8" s="64">
        <f t="array" ref="D8">RTD("tickerplantrtdserver",,"FWRC1#USDINR#Month Wise Rates#0#FwdOutrightAsk7")</f>
        <v>76.262799999999999</v>
      </c>
      <c r="E8" s="64">
        <f t="array" ref="E8">RTD("tickerplantrtdserver",,"FWRC1#USDINR#Month Wise Rates#0#FwdOutrightAsk8")</f>
        <v>76.484800000000007</v>
      </c>
      <c r="F8" s="64">
        <f t="array" ref="F8">RTD("tickerplantrtdserver",,"FWRC1#USDINR#Month Wise Rates#0#FwdOutrightAsk9")</f>
        <v>76.727000000000004</v>
      </c>
      <c r="G8" s="64">
        <f t="array" ref="G8">RTD("tickerplantrtdserver",,"FWRC1#USDINR#Month Wise Rates#0#FwdOutrightAsk10")</f>
        <v>76.990200000000002</v>
      </c>
      <c r="H8" s="64">
        <f t="array" ref="H8">RTD("tickerplantrtdserver",,"FWRC1#USDINR#Month Wise Rates#0#FwdOutrightAsk11")</f>
        <v>77.225700000000003</v>
      </c>
      <c r="I8" s="64">
        <f t="array" ref="I8">RTD("tickerplantrtdserver",,"FWRC1#USDINR#Month Wise Rates#0#FwdOutrightAsk12")</f>
        <v>77.466399999999993</v>
      </c>
      <c r="J8" s="64">
        <f t="array" ref="J8">RTD("tickerplantrtdserver",,"FWRC1#USDINR#Month Wise Rates#0#FwdOutrightAsk13")</f>
        <v>77.725099999999998</v>
      </c>
      <c r="K8" s="64">
        <f t="array" ref="K8">RTD("tickerplantrtdserver",,"FWRC1#USDINR#Month Wise Rates#0#FwdOutrightAsk14")</f>
        <v>77.954800000000006</v>
      </c>
      <c r="L8" s="64">
        <f t="array" ref="L8">RTD("tickerplantrtdserver",,"FWRC1#USDINR#Month Wise Rates#0#FwdOutrightAsk15")</f>
        <v>78.182699999999997</v>
      </c>
      <c r="M8" s="64">
        <f t="array" ref="M8">RTD("tickerplantrtdserver",,"FWRC1#USDINR#Month Wise Rates#0#FwdOutrightAsk16")</f>
        <v>78.5</v>
      </c>
      <c r="N8" s="64">
        <f t="array" ref="N8">RTD("tickerplantrtdserver",,"FWRC1#USDINR#Month Wise Rates#0#FwdOutrightAsk17")</f>
        <v>78.714200000000005</v>
      </c>
      <c r="O8" s="68">
        <f t="array" ref="O8">RTD("tickerplantrtdserver",,"FWRC1#USDINR#Month Wise Rates#0#FwdOutrightAsk18")</f>
        <v>78.9392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 t="str">
        <f t="array" ref="C10">RTD("tickerplantrtdserver",,"FWRC1#USDINR#Month Wise Rates#0#Bid%2")</f>
        <v/>
      </c>
      <c r="D10" s="65">
        <f t="array" ref="D10">RTD("tickerplantrtdserver",,"FWRC1#USDINR#Month Wise Rates#0#Bid%7")</f>
        <v>3.3254999999999999</v>
      </c>
      <c r="E10" s="65">
        <f t="array" ref="E10">RTD("tickerplantrtdserver",,"FWRC1#USDINR#Month Wise Rates#0#Bid%8")</f>
        <v>3.3820000000000001</v>
      </c>
      <c r="F10" s="65">
        <f t="array" ref="F10">RTD("tickerplantrtdserver",,"FWRC1#USDINR#Month Wise Rates#0#Bid%9")</f>
        <v>3.5064000000000002</v>
      </c>
      <c r="G10" s="65">
        <f t="array" ref="G10">RTD("tickerplantrtdserver",,"FWRC1#USDINR#Month Wise Rates#0#Bid%10")</f>
        <v>3.6202999999999999</v>
      </c>
      <c r="H10" s="65">
        <f t="array" ref="H10">RTD("tickerplantrtdserver",,"FWRC1#USDINR#Month Wise Rates#0#Bid%11")</f>
        <v>3.6730999999999998</v>
      </c>
      <c r="I10" s="65">
        <f t="array" ref="I10">RTD("tickerplantrtdserver",,"FWRC1#USDINR#Month Wise Rates#0#Bid%12")</f>
        <v>3.7023000000000001</v>
      </c>
      <c r="J10" s="65">
        <f t="array" ref="J10">RTD("tickerplantrtdserver",,"FWRC1#USDINR#Month Wise Rates#0#Bid%13")</f>
        <v>3.7288999999999999</v>
      </c>
      <c r="K10" s="65">
        <f t="array" ref="K10">RTD("tickerplantrtdserver",,"FWRC1#USDINR#Month Wise Rates#0#Bid%14")</f>
        <v>3.7223999999999999</v>
      </c>
      <c r="L10" s="65">
        <f t="array" ref="L10">RTD("tickerplantrtdserver",,"FWRC1#USDINR#Month Wise Rates#0#Bid%15")</f>
        <v>3.7414000000000001</v>
      </c>
      <c r="M10" s="65">
        <f t="array" ref="M10">RTD("tickerplantrtdserver",,"FWRC1#USDINR#Month Wise Rates#0#Bid%16")</f>
        <v>3.8355999999999999</v>
      </c>
      <c r="N10" s="65">
        <f t="array" ref="N10">RTD("tickerplantrtdserver",,"FWRC1#USDINR#Month Wise Rates#0#Bid%17")</f>
        <v>3.8218999999999999</v>
      </c>
      <c r="O10" s="67">
        <f t="array" ref="O10">RTD("tickerplantrtdserver",,"FWRC1#USDINR#Month Wise Rates#0#Bid%18")</f>
        <v>3.7932000000000001</v>
      </c>
    </row>
    <row r="11" spans="1:18" s="14" customFormat="1" ht="15.75" thickBot="1">
      <c r="A11" s="118" t="s">
        <v>48</v>
      </c>
      <c r="B11" s="119"/>
      <c r="C11" s="69" t="str">
        <f t="array" ref="C11">RTD("tickerplantrtdserver",,"FWRC1#USDINR#Month Wise Rates#0#Ask%2")</f>
        <v/>
      </c>
      <c r="D11" s="69">
        <f t="array" ref="D11">RTD("tickerplantrtdserver",,"FWRC1#USDINR#Month Wise Rates#0#Ask%7")</f>
        <v>3.6459999999999999</v>
      </c>
      <c r="E11" s="69">
        <f t="array" ref="E11">RTD("tickerplantrtdserver",,"FWRC1#USDINR#Month Wise Rates#0#Ask%8")</f>
        <v>3.5398999999999998</v>
      </c>
      <c r="F11" s="69">
        <f t="array" ref="F11">RTD("tickerplantrtdserver",,"FWRC1#USDINR#Month Wise Rates#0#Ask%9")</f>
        <v>3.6112000000000002</v>
      </c>
      <c r="G11" s="69">
        <f t="array" ref="G11">RTD("tickerplantrtdserver",,"FWRC1#USDINR#Month Wise Rates#0#Ask%10")</f>
        <v>3.6983000000000001</v>
      </c>
      <c r="H11" s="69">
        <f t="array" ref="H11">RTD("tickerplantrtdserver",,"FWRC1#USDINR#Month Wise Rates#0#Ask%11")</f>
        <v>3.7363</v>
      </c>
      <c r="I11" s="69">
        <f t="array" ref="I11">RTD("tickerplantrtdserver",,"FWRC1#USDINR#Month Wise Rates#0#Ask%12")</f>
        <v>3.7553000000000001</v>
      </c>
      <c r="J11" s="69">
        <f t="array" ref="J11">RTD("tickerplantrtdserver",,"FWRC1#USDINR#Month Wise Rates#0#Ask%13")</f>
        <v>3.774</v>
      </c>
      <c r="K11" s="69">
        <f t="array" ref="K11">RTD("tickerplantrtdserver",,"FWRC1#USDINR#Month Wise Rates#0#Ask%14")</f>
        <v>3.7621000000000002</v>
      </c>
      <c r="L11" s="69">
        <f t="array" ref="L11">RTD("tickerplantrtdserver",,"FWRC1#USDINR#Month Wise Rates#0#Ask%15")</f>
        <v>3.7770999999999999</v>
      </c>
      <c r="M11" s="69">
        <f t="array" ref="M11">RTD("tickerplantrtdserver",,"FWRC1#USDINR#Month Wise Rates#0#Ask%16")</f>
        <v>3.8675000000000002</v>
      </c>
      <c r="N11" s="69">
        <f t="array" ref="N11">RTD("tickerplantrtdserver",,"FWRC1#USDINR#Month Wise Rates#0#Ask%17")</f>
        <v>3.8512</v>
      </c>
      <c r="O11" s="70">
        <f t="array" ref="O11">RTD("tickerplantrtdserver",,"FWRC1#USDINR#Month Wise Rates#0#Ask%18")</f>
        <v>3.8201000000000001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>
      <c r="A15" s="13"/>
      <c r="B15" s="21"/>
      <c r="C15" s="21"/>
      <c r="D15" s="58"/>
      <c r="E15" s="21"/>
      <c r="F15" s="33"/>
      <c r="G15" s="34"/>
      <c r="H15" s="34"/>
      <c r="I15" s="34"/>
      <c r="J15" s="21"/>
      <c r="L15" s="58"/>
      <c r="M15" s="58"/>
      <c r="N15" s="58"/>
      <c r="P15" s="31"/>
      <c r="Q15" s="31"/>
      <c r="R15" s="31"/>
    </row>
    <row r="16" spans="1:18" s="14" customFormat="1">
      <c r="A16" s="13"/>
      <c r="B16" s="21"/>
      <c r="C16" s="21"/>
      <c r="D16" s="58"/>
      <c r="E16" s="21"/>
      <c r="F16" s="33"/>
      <c r="G16" s="34"/>
      <c r="H16" s="34"/>
      <c r="I16" s="34"/>
      <c r="J16" s="21"/>
      <c r="L16" s="58"/>
      <c r="M16" s="58"/>
      <c r="N16" s="58"/>
      <c r="P16" s="31"/>
      <c r="Q16" s="31"/>
      <c r="R16" s="31"/>
    </row>
    <row r="17" spans="1:18" s="14" customFormat="1">
      <c r="A17" s="13"/>
      <c r="B17" s="21"/>
      <c r="C17" s="21"/>
      <c r="D17" s="58"/>
      <c r="E17" s="21"/>
      <c r="F17" s="33"/>
      <c r="G17" s="34"/>
      <c r="H17" s="34"/>
      <c r="I17" s="34"/>
      <c r="J17" s="21"/>
      <c r="L17" s="58"/>
      <c r="M17" s="58"/>
      <c r="N17" s="58"/>
      <c r="P17" s="31"/>
      <c r="Q17" s="31"/>
      <c r="R17" s="31"/>
    </row>
    <row r="18" spans="1:18" s="14" customFormat="1">
      <c r="A18" s="13"/>
      <c r="B18" s="21"/>
      <c r="C18" s="21"/>
      <c r="D18" s="58"/>
      <c r="E18" s="21"/>
      <c r="F18" s="33"/>
      <c r="G18" s="34"/>
      <c r="H18" s="34"/>
      <c r="I18" s="34"/>
      <c r="J18" s="21"/>
      <c r="L18" s="58"/>
      <c r="M18" s="58"/>
      <c r="N18" s="58"/>
      <c r="P18" s="31"/>
      <c r="Q18" s="31"/>
      <c r="R18" s="31"/>
    </row>
    <row r="19" spans="1:18" s="14" customFormat="1">
      <c r="A19" s="13"/>
      <c r="B19" s="21"/>
      <c r="C19" s="21"/>
      <c r="D19" s="58"/>
      <c r="E19" s="21"/>
      <c r="F19" s="33"/>
      <c r="G19" s="34"/>
      <c r="H19" s="34"/>
      <c r="I19" s="34"/>
      <c r="J19" s="21"/>
      <c r="L19" s="58"/>
      <c r="M19" s="58"/>
      <c r="N19" s="58"/>
      <c r="P19" s="31"/>
      <c r="Q19" s="31"/>
      <c r="R19" s="31"/>
    </row>
    <row r="20" spans="1:18" s="14" customFormat="1">
      <c r="A20" s="13"/>
      <c r="B20" s="21"/>
      <c r="C20" s="21"/>
      <c r="D20" s="58"/>
      <c r="E20" s="21"/>
      <c r="F20" s="33"/>
      <c r="G20" s="34"/>
      <c r="H20" s="34"/>
      <c r="I20" s="34"/>
      <c r="J20" s="21"/>
      <c r="L20" s="58"/>
      <c r="M20" s="58"/>
      <c r="N20" s="58"/>
      <c r="P20" s="31"/>
      <c r="Q20" s="31"/>
      <c r="R20" s="31"/>
    </row>
    <row r="21" spans="1:18">
      <c r="A21" s="13"/>
      <c r="B21" s="21"/>
      <c r="C21" s="21"/>
      <c r="D21" s="58"/>
      <c r="E21" s="21"/>
      <c r="F21" s="33"/>
      <c r="G21" s="34"/>
      <c r="H21" s="34"/>
      <c r="I21" s="34"/>
      <c r="J21" s="21"/>
      <c r="K21" s="14"/>
      <c r="L21" s="58"/>
      <c r="M21" s="58"/>
      <c r="N21" s="58"/>
      <c r="O21" s="14"/>
      <c r="P21" s="31"/>
      <c r="Q21" s="31"/>
      <c r="R21" s="31"/>
    </row>
    <row r="22" spans="1:18">
      <c r="A22" s="13"/>
      <c r="B22" s="21"/>
      <c r="C22" s="21"/>
      <c r="D22" s="58"/>
      <c r="E22" s="21"/>
      <c r="F22" s="33"/>
      <c r="G22" s="34"/>
      <c r="H22" s="34"/>
      <c r="I22" s="34"/>
      <c r="J22" s="21"/>
      <c r="K22" s="14"/>
      <c r="L22" s="58"/>
      <c r="M22" s="58"/>
      <c r="N22" s="58"/>
      <c r="O22" s="14"/>
      <c r="P22" s="31"/>
      <c r="Q22" s="31"/>
      <c r="R22" s="31"/>
    </row>
    <row r="23" spans="1:18">
      <c r="A23" s="13"/>
      <c r="B23" s="21"/>
      <c r="C23" s="21"/>
      <c r="D23" s="58"/>
      <c r="E23" s="21"/>
      <c r="F23" s="33"/>
      <c r="G23" s="34"/>
      <c r="H23" s="34"/>
      <c r="I23" s="34"/>
      <c r="J23" s="21"/>
      <c r="K23" s="14"/>
      <c r="L23" s="58"/>
      <c r="M23" s="58"/>
      <c r="N23" s="58"/>
      <c r="O23" s="14"/>
      <c r="P23" s="31"/>
      <c r="Q23" s="31"/>
      <c r="R23" s="31"/>
    </row>
    <row r="24" spans="1:18" s="2" customFormat="1">
      <c r="A24" s="13"/>
      <c r="B24" s="21"/>
      <c r="C24" s="21"/>
      <c r="D24" s="58"/>
      <c r="E24" s="21"/>
      <c r="F24" s="33"/>
      <c r="G24" s="34"/>
      <c r="H24" s="34"/>
      <c r="I24" s="34"/>
      <c r="J24" s="21"/>
      <c r="K24" s="14"/>
      <c r="L24" s="58"/>
      <c r="M24" s="58"/>
      <c r="N24" s="58"/>
      <c r="O24" s="14"/>
      <c r="P24" s="31"/>
      <c r="Q24" s="31"/>
      <c r="R24" s="31"/>
    </row>
    <row r="25" spans="1:18">
      <c r="A25" s="13"/>
      <c r="B25" s="21"/>
      <c r="C25" s="21"/>
      <c r="D25" s="58"/>
      <c r="E25" s="21"/>
      <c r="F25" s="33"/>
      <c r="G25" s="34"/>
      <c r="H25" s="34"/>
      <c r="I25" s="34"/>
      <c r="J25" s="21"/>
      <c r="K25" s="14"/>
      <c r="L25" s="58"/>
      <c r="M25" s="58"/>
      <c r="N25" s="58"/>
      <c r="O25" s="14"/>
      <c r="P25" s="31"/>
      <c r="Q25" s="31"/>
      <c r="R25" s="31"/>
    </row>
    <row r="26" spans="1:18">
      <c r="A26" s="13"/>
      <c r="B26" s="21"/>
      <c r="C26" s="21"/>
      <c r="D26" s="58"/>
      <c r="E26" s="21"/>
      <c r="F26" s="33"/>
      <c r="G26" s="34"/>
      <c r="H26" s="34"/>
      <c r="I26" s="34"/>
      <c r="J26" s="21"/>
      <c r="K26" s="14"/>
      <c r="L26" s="58"/>
      <c r="M26" s="58"/>
      <c r="N26" s="58"/>
      <c r="O26" s="14"/>
      <c r="P26" s="31"/>
      <c r="Q26" s="31"/>
      <c r="R26" s="31"/>
    </row>
    <row r="27" spans="1:18">
      <c r="A27" s="13"/>
      <c r="B27" s="21"/>
      <c r="C27" s="21"/>
      <c r="D27" s="58"/>
      <c r="E27" s="21"/>
      <c r="F27" s="33"/>
      <c r="G27" s="34"/>
      <c r="H27" s="34"/>
      <c r="I27" s="34"/>
      <c r="J27" s="21"/>
      <c r="K27" s="14"/>
      <c r="L27" s="58"/>
      <c r="M27" s="58"/>
      <c r="N27" s="58"/>
      <c r="O27" s="14"/>
      <c r="P27" s="31"/>
      <c r="Q27" s="31"/>
      <c r="R27" s="31"/>
    </row>
    <row r="28" spans="1:18">
      <c r="A28" s="13"/>
      <c r="B28" s="21"/>
      <c r="C28" s="21"/>
      <c r="D28" s="58"/>
      <c r="E28" s="21"/>
      <c r="F28" s="33"/>
      <c r="G28" s="34"/>
      <c r="H28" s="34"/>
      <c r="I28" s="34"/>
      <c r="J28" s="21"/>
      <c r="K28" s="14"/>
      <c r="L28" s="58"/>
      <c r="M28" s="58"/>
      <c r="N28" s="58"/>
      <c r="O28" s="14"/>
      <c r="P28" s="31"/>
      <c r="Q28" s="31"/>
      <c r="R28" s="31"/>
    </row>
    <row r="29" spans="1:18">
      <c r="A29" s="13"/>
      <c r="B29" s="21"/>
      <c r="C29" s="21"/>
      <c r="D29" s="58"/>
      <c r="E29" s="21"/>
      <c r="F29" s="33"/>
      <c r="G29" s="34"/>
      <c r="H29" s="34"/>
      <c r="I29" s="34"/>
      <c r="J29" s="21"/>
      <c r="K29" s="14"/>
      <c r="L29" s="58"/>
      <c r="M29" s="58"/>
      <c r="N29" s="58"/>
      <c r="O29" s="14"/>
      <c r="P29" s="31"/>
      <c r="Q29" s="31"/>
      <c r="R29" s="31"/>
    </row>
    <row r="30" spans="1:18">
      <c r="A30" s="13"/>
      <c r="B30" s="21"/>
      <c r="C30" s="21"/>
      <c r="D30" s="58"/>
      <c r="E30" s="21"/>
      <c r="F30" s="33"/>
      <c r="G30" s="34"/>
      <c r="H30" s="34"/>
      <c r="I30" s="34"/>
      <c r="J30" s="21"/>
      <c r="K30" s="14"/>
      <c r="L30" s="58"/>
      <c r="M30" s="58"/>
      <c r="N30" s="58"/>
      <c r="O30" s="14"/>
      <c r="P30" s="31"/>
      <c r="Q30" s="31"/>
      <c r="R30" s="31"/>
    </row>
    <row r="31" spans="1:18">
      <c r="A31" s="13"/>
      <c r="B31" s="21"/>
      <c r="C31" s="21"/>
      <c r="D31" s="58"/>
      <c r="E31" s="21"/>
      <c r="F31" s="33"/>
      <c r="G31" s="34"/>
      <c r="H31" s="34"/>
      <c r="I31" s="34"/>
      <c r="J31" s="21"/>
      <c r="K31" s="14"/>
      <c r="L31" s="58"/>
      <c r="M31" s="58"/>
      <c r="N31" s="58"/>
      <c r="O31" s="14"/>
      <c r="P31" s="31"/>
      <c r="Q31" s="31"/>
      <c r="R31" s="31"/>
    </row>
    <row r="32" spans="1:18">
      <c r="A32" s="13"/>
      <c r="B32" s="21"/>
      <c r="C32" s="21"/>
      <c r="D32" s="58"/>
      <c r="E32" s="21"/>
      <c r="F32" s="33"/>
      <c r="G32" s="34"/>
      <c r="H32" s="34"/>
      <c r="I32" s="34"/>
      <c r="J32" s="21"/>
      <c r="K32" s="14"/>
      <c r="L32" s="58"/>
      <c r="M32" s="58"/>
      <c r="N32" s="58"/>
      <c r="O32" s="14"/>
      <c r="P32" s="31"/>
      <c r="Q32" s="31"/>
      <c r="R32" s="31"/>
    </row>
    <row r="33" spans="1:18">
      <c r="A33" s="13"/>
      <c r="B33" s="21"/>
      <c r="C33" s="21"/>
      <c r="D33" s="58"/>
      <c r="E33" s="21"/>
      <c r="F33" s="33"/>
      <c r="G33" s="34"/>
      <c r="H33" s="34"/>
      <c r="I33" s="34"/>
      <c r="J33" s="21"/>
      <c r="K33" s="14"/>
      <c r="L33" s="58"/>
      <c r="M33" s="58"/>
      <c r="N33" s="58"/>
      <c r="O33" s="14"/>
      <c r="P33" s="31"/>
      <c r="Q33" s="31"/>
      <c r="R33" s="31"/>
    </row>
    <row r="36" spans="1:18">
      <c r="A36" s="1"/>
      <c r="B36" s="1"/>
    </row>
    <row r="42" spans="1:18">
      <c r="F42" s="56"/>
      <c r="G42" s="56"/>
    </row>
    <row r="43" spans="1:18">
      <c r="F43" s="56"/>
      <c r="G43" s="56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selection sqref="A1:B1"/>
    </sheetView>
  </sheetViews>
  <sheetFormatPr defaultRowHeight="15"/>
  <cols>
    <col min="3" max="4" width="9.85546875" bestFit="1" customWidth="1"/>
    <col min="5" max="5" width="9.28515625" bestFit="1" customWidth="1"/>
    <col min="6" max="6" width="8.85546875" bestFit="1" customWidth="1"/>
    <col min="7" max="8" width="9.42578125" bestFit="1" customWidth="1"/>
    <col min="9" max="9" width="9.28515625" bestFit="1" customWidth="1"/>
    <col min="10" max="11" width="9.5703125" bestFit="1" customWidth="1"/>
    <col min="12" max="12" width="9.28515625" bestFit="1" customWidth="1"/>
    <col min="13" max="13" width="9.42578125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RTD("tickerplantrtdserver",,"FWRC1#EURINR#Month End Rates#0#S#Desc.2")</f>
        <v>CASH/SPOT</v>
      </c>
      <c r="D1" s="76" t="str">
        <f t="array" ref="D1">RTD("tickerplantrtdserver",,"FWRC1#EURINR#Month End Rates#0#S#Desc.4")</f>
        <v>JUN-2020</v>
      </c>
      <c r="E1" s="76" t="str">
        <f t="array" ref="E1">RTD("tickerplantrtdserver",,"FWRC1#EURINR#Month End Rates#0#S#Desc.5")</f>
        <v>JUL-2020</v>
      </c>
      <c r="F1" s="76" t="str">
        <f t="array" ref="F1">RTD("tickerplantrtdserver",,"FWRC1#EURINR#Month End Rates#0#S#Desc.6")</f>
        <v>AUG-2020</v>
      </c>
      <c r="G1" s="76" t="str">
        <f t="array" ref="G1">RTD("tickerplantrtdserver",,"FWRC1#EURINR#Month End Rates#0#S#Desc.7")</f>
        <v>SEP-2020</v>
      </c>
      <c r="H1" s="76" t="str">
        <f t="array" ref="H1">RTD("tickerplantrtdserver",,"FWRC1#EURINR#Month End Rates#0#S#Desc.8")</f>
        <v>OCT-2020</v>
      </c>
      <c r="I1" s="76" t="str">
        <f t="array" ref="I1">RTD("tickerplantrtdserver",,"FWRC1#EURINR#Month End Rates#0#S#Desc.9")</f>
        <v>NOV-2020</v>
      </c>
      <c r="J1" s="76" t="str">
        <f t="array" ref="J1">RTD("tickerplantrtdserver",,"FWRC1#EURINR#Month End Rates#0#S#Desc.10")</f>
        <v>DEC-2020</v>
      </c>
      <c r="K1" s="76" t="str">
        <f t="array" ref="K1">RTD("tickerplantrtdserver",,"FWRC1#EURINR#Month End Rates#0#S#Desc.11")</f>
        <v>JAN-2021</v>
      </c>
      <c r="L1" s="76" t="str">
        <f t="array" ref="L1">RTD("tickerplantrtdserver",,"FWRC1#EURINR#Month End Rates#0#S#Desc.12")</f>
        <v>FEB-2021</v>
      </c>
      <c r="M1" s="76" t="str">
        <f t="array" ref="M1">RTD("tickerplantrtdserver",,"FWRC1#EURINR#Month End Rates#0#S#Desc.13")</f>
        <v>MAR-2021</v>
      </c>
      <c r="N1" s="76" t="str">
        <f t="array" ref="N1">RTD("tickerplantrtdserver",,"FWRC1#EURINR#Month End Rates#0#S#Desc.14")</f>
        <v>APR-2021</v>
      </c>
      <c r="O1" s="77" t="str">
        <f t="array" ref="O1">RTD("tickerplantrtdserver",,"FWRC1#EURINR#Month End Rates#0#S#Desc.15")</f>
        <v>MAY-2021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RTD("tickerplantrtdserver",,"FWRC1#EURINR#Month End Rates#0#S#MonthEndDate2")</f>
        <v>24-Jun-2020</v>
      </c>
      <c r="D2" s="71" t="str">
        <f t="array" ref="D2">RTD("tickerplantrtdserver",,"FWRC1#EURINR#Month End Rates#0#S#MonthEndDate4")</f>
        <v>30-Jun-2020</v>
      </c>
      <c r="E2" s="71" t="str">
        <f t="array" ref="E2">RTD("tickerplantrtdserver",,"FWRC1#EURINR#Month End Rates#0#S#MonthEndDate5")</f>
        <v>31-Jul-2020</v>
      </c>
      <c r="F2" s="71" t="str">
        <f t="array" ref="F2">RTD("tickerplantrtdserver",,"FWRC1#EURINR#Month End Rates#0#S#MonthEndDate6")</f>
        <v>31-Aug-2020</v>
      </c>
      <c r="G2" s="71" t="str">
        <f t="array" ref="G2">RTD("tickerplantrtdserver",,"FWRC1#EURINR#Month End Rates#0#S#MonthEndDate7")</f>
        <v>30-Sep-2020</v>
      </c>
      <c r="H2" s="71" t="str">
        <f t="array" ref="H2">RTD("tickerplantrtdserver",,"FWRC1#EURINR#Month End Rates#0#S#MonthEndDate8")</f>
        <v>29-Oct-2020</v>
      </c>
      <c r="I2" s="71" t="str">
        <f t="array" ref="I2">RTD("tickerplantrtdserver",,"FWRC1#EURINR#Month End Rates#0#S#MonthEndDate9")</f>
        <v>27-Nov-2020</v>
      </c>
      <c r="J2" s="71" t="str">
        <f t="array" ref="J2">RTD("tickerplantrtdserver",,"FWRC1#EURINR#Month End Rates#0#S#MonthEndDate10")</f>
        <v>31-Dec-2020</v>
      </c>
      <c r="K2" s="71" t="str">
        <f t="array" ref="K2">RTD("tickerplantrtdserver",,"FWRC1#EURINR#Month End Rates#0#S#MonthEndDate11")</f>
        <v>29-Jan-2021</v>
      </c>
      <c r="L2" s="71" t="str">
        <f t="array" ref="L2">RTD("tickerplantrtdserver",,"FWRC1#EURINR#Month End Rates#0#S#MonthEndDate12")</f>
        <v>26-Feb-2021</v>
      </c>
      <c r="M2" s="71" t="str">
        <f t="array" ref="M2">RTD("tickerplantrtdserver",,"FWRC1#EURINR#Month End Rates#0#S#MonthEndDate13")</f>
        <v>31-Mar-2021</v>
      </c>
      <c r="N2" s="71" t="str">
        <f t="array" ref="N2">RTD("tickerplantrtdserver",,"FWRC1#EURINR#Month End Rates#0#S#MonthEndDate14")</f>
        <v>30-Apr-2021</v>
      </c>
      <c r="O2" s="75" t="str">
        <f t="array" ref="O2">RTD("tickerplantrtdserver",,"FWRC1#EURINR#Month End Rates#0#S#MonthEndDate15")</f>
        <v>31-May-2021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>
        <f t="array" ref="C4">RTD("tickerplantrtdserver",,"FWRC1#EURINR#Month End Rates#0#BidPrice2")</f>
        <v>1.4076</v>
      </c>
      <c r="D4" s="65">
        <f t="array" ref="D4">RTD("tickerplantrtdserver",,"FWRC1#EURINR#Month End Rates#0#BidPrice4")</f>
        <v>5.2949999999999999</v>
      </c>
      <c r="E4" s="65">
        <f t="array" ref="E4">RTD("tickerplantrtdserver",,"FWRC1#EURINR#Month End Rates#0#BidPrice5")</f>
        <v>35.935000000000002</v>
      </c>
      <c r="F4" s="65">
        <f t="array" ref="F4">RTD("tickerplantrtdserver",,"FWRC1#EURINR#Month End Rates#0#BidPrice6")</f>
        <v>68.944999999999993</v>
      </c>
      <c r="G4" s="65">
        <f t="array" ref="G4">RTD("tickerplantrtdserver",,"FWRC1#EURINR#Month End Rates#0#BidPrice7")</f>
        <v>100.78749999999999</v>
      </c>
      <c r="H4" s="65">
        <f t="array" ref="H4">RTD("tickerplantrtdserver",,"FWRC1#EURINR#Month End Rates#0#BidPrice8")</f>
        <v>132.51249999999999</v>
      </c>
      <c r="I4" s="65">
        <f t="array" ref="I4">RTD("tickerplantrtdserver",,"FWRC1#EURINR#Month End Rates#0#BidPrice9")</f>
        <v>165.16249999999999</v>
      </c>
      <c r="J4" s="65">
        <f t="array" ref="J4">RTD("tickerplantrtdserver",,"FWRC1#EURINR#Month End Rates#0#BidPrice10")</f>
        <v>206.66499999999999</v>
      </c>
      <c r="K4" s="65">
        <f t="array" ref="K4">RTD("tickerplantrtdserver",,"FWRC1#EURINR#Month End Rates#0#BidPrice11")</f>
        <v>237.48</v>
      </c>
      <c r="L4" s="65">
        <f t="array" ref="L4">RTD("tickerplantrtdserver",,"FWRC1#EURINR#Month End Rates#0#BidPrice12")</f>
        <v>268.73500000000001</v>
      </c>
      <c r="M4" s="65">
        <f t="array" ref="M4">RTD("tickerplantrtdserver",,"FWRC1#EURINR#Month End Rates#0#BidPrice13")</f>
        <v>310.91750000000002</v>
      </c>
      <c r="N4" s="65">
        <f t="array" ref="N4">RTD("tickerplantrtdserver",,"FWRC1#EURINR#Month End Rates#0#BidPrice14")</f>
        <v>343.20249999999999</v>
      </c>
      <c r="O4" s="67">
        <f t="array" ref="O4">RTD("tickerplantrtdserver",,"FWRC1#EURINR#Month End Rates#0#BidPrice15")</f>
        <v>375.2475</v>
      </c>
      <c r="P4" s="20"/>
    </row>
    <row r="5" spans="1:18" s="14" customFormat="1">
      <c r="A5" s="112" t="s">
        <v>48</v>
      </c>
      <c r="B5" s="113"/>
      <c r="C5" s="65">
        <f t="array" ref="C5">RTD("tickerplantrtdserver",,"FWRC1#EURINR#Month End Rates#0#AskPrice2")</f>
        <v>2.6132</v>
      </c>
      <c r="D5" s="65">
        <f t="array" ref="D5">RTD("tickerplantrtdserver",,"FWRC1#EURINR#Month End Rates#0#AskPrice4")</f>
        <v>5.7324999999999999</v>
      </c>
      <c r="E5" s="65">
        <f t="array" ref="E5">RTD("tickerplantrtdserver",,"FWRC1#EURINR#Month End Rates#0#AskPrice5")</f>
        <v>37.322499999999998</v>
      </c>
      <c r="F5" s="65">
        <f t="array" ref="F5">RTD("tickerplantrtdserver",,"FWRC1#EURINR#Month End Rates#0#AskPrice6")</f>
        <v>70.614999999999995</v>
      </c>
      <c r="G5" s="65">
        <f t="array" ref="G5">RTD("tickerplantrtdserver",,"FWRC1#EURINR#Month End Rates#0#AskPrice7")</f>
        <v>102.905</v>
      </c>
      <c r="H5" s="65">
        <f t="array" ref="H5">RTD("tickerplantrtdserver",,"FWRC1#EURINR#Month End Rates#0#AskPrice8")</f>
        <v>134.7175</v>
      </c>
      <c r="I5" s="65">
        <f t="array" ref="I5">RTD("tickerplantrtdserver",,"FWRC1#EURINR#Month End Rates#0#AskPrice9")</f>
        <v>167.69499999999999</v>
      </c>
      <c r="J5" s="65">
        <f t="array" ref="J5">RTD("tickerplantrtdserver",,"FWRC1#EURINR#Month End Rates#0#AskPrice10")</f>
        <v>211.07</v>
      </c>
      <c r="K5" s="65">
        <f t="array" ref="K5">RTD("tickerplantrtdserver",,"FWRC1#EURINR#Month End Rates#0#AskPrice11")</f>
        <v>241.04</v>
      </c>
      <c r="L5" s="65">
        <f t="array" ref="L5">RTD("tickerplantrtdserver",,"FWRC1#EURINR#Month End Rates#0#AskPrice12")</f>
        <v>272.55500000000001</v>
      </c>
      <c r="M5" s="65">
        <f t="array" ref="M5">RTD("tickerplantrtdserver",,"FWRC1#EURINR#Month End Rates#0#AskPrice13")</f>
        <v>316.58749999999998</v>
      </c>
      <c r="N5" s="65">
        <f t="array" ref="N5">RTD("tickerplantrtdserver",,"FWRC1#EURINR#Month End Rates#0#AskPrice14")</f>
        <v>349.33</v>
      </c>
      <c r="O5" s="67">
        <f t="array" ref="O5">RTD("tickerplantrtdserver",,"FWRC1#EURINR#Month End Rates#0#AskPrice15")</f>
        <v>379.51249999999999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64">
        <f t="array" ref="C7">RTD("tickerplantrtdserver",,"FWRC1#EURINR#Month End Rates#0#FwdOutrightBid1")</f>
        <v>85.261399999999995</v>
      </c>
      <c r="D7" s="64">
        <f t="array" ref="D7">RTD("tickerplantrtdserver",,"FWRC1#EURINR#Month End Rates#0#FwdOutrightBid4")</f>
        <v>85.340500000000006</v>
      </c>
      <c r="E7" s="64">
        <f t="array" ref="E7">RTD("tickerplantrtdserver",,"FWRC1#EURINR#Month End Rates#0#FwdOutrightBid5")</f>
        <v>85.646900000000002</v>
      </c>
      <c r="F7" s="64">
        <f t="array" ref="F7">RTD("tickerplantrtdserver",,"FWRC1#EURINR#Month End Rates#0#FwdOutrightBid6")</f>
        <v>85.977000000000004</v>
      </c>
      <c r="G7" s="64">
        <f t="array" ref="G7">RTD("tickerplantrtdserver",,"FWRC1#EURINR#Month End Rates#0#FwdOutrightBid7")</f>
        <v>86.295400000000001</v>
      </c>
      <c r="H7" s="64">
        <f t="array" ref="H7">RTD("tickerplantrtdserver",,"FWRC1#EURINR#Month End Rates#0#FwdOutrightBid8")</f>
        <v>86.6126</v>
      </c>
      <c r="I7" s="64">
        <f t="array" ref="I7">RTD("tickerplantrtdserver",,"FWRC1#EURINR#Month End Rates#0#FwdOutrightBid9")</f>
        <v>86.939099999999996</v>
      </c>
      <c r="J7" s="64">
        <f t="array" ref="J7">RTD("tickerplantrtdserver",,"FWRC1#EURINR#Month End Rates#0#FwdOutrightBid10")</f>
        <v>87.354200000000006</v>
      </c>
      <c r="K7" s="64">
        <f t="array" ref="K7">RTD("tickerplantrtdserver",,"FWRC1#EURINR#Month End Rates#0#FwdOutrightBid11")</f>
        <v>87.662300000000002</v>
      </c>
      <c r="L7" s="64">
        <f t="array" ref="L7">RTD("tickerplantrtdserver",,"FWRC1#EURINR#Month End Rates#0#FwdOutrightBid12")</f>
        <v>87.974900000000005</v>
      </c>
      <c r="M7" s="64">
        <f t="array" ref="M7">RTD("tickerplantrtdserver",,"FWRC1#EURINR#Month End Rates#0#FwdOutrightBid13")</f>
        <v>88.396699999999996</v>
      </c>
      <c r="N7" s="64">
        <f t="array" ref="N7">RTD("tickerplantrtdserver",,"FWRC1#EURINR#Month End Rates#0#FwdOutrightBid14")</f>
        <v>88.719499999999996</v>
      </c>
      <c r="O7" s="68">
        <f t="array" ref="O7">RTD("tickerplantrtdserver",,"FWRC1#EURINR#Month End Rates#0#FwdOutrightBid15")</f>
        <v>89.04</v>
      </c>
      <c r="P7" s="20"/>
    </row>
    <row r="8" spans="1:18" s="14" customFormat="1">
      <c r="A8" s="112" t="s">
        <v>48</v>
      </c>
      <c r="B8" s="113"/>
      <c r="C8" s="64">
        <f t="array" ref="C8">RTD("tickerplantrtdserver",,"FWRC1#EURINR#Month End Rates#0#FwdOutrightAsk1")</f>
        <v>85.285899999999998</v>
      </c>
      <c r="D8" s="64">
        <f t="array" ref="D8">RTD("tickerplantrtdserver",,"FWRC1#EURINR#Month End Rates#0#FwdOutrightAsk4")</f>
        <v>85.357299999999995</v>
      </c>
      <c r="E8" s="64">
        <f t="array" ref="E8">RTD("tickerplantrtdserver",,"FWRC1#EURINR#Month End Rates#0#FwdOutrightAsk5")</f>
        <v>85.673199999999994</v>
      </c>
      <c r="F8" s="64">
        <f t="array" ref="F8">RTD("tickerplantrtdserver",,"FWRC1#EURINR#Month End Rates#0#FwdOutrightAsk6")</f>
        <v>86.006200000000007</v>
      </c>
      <c r="G8" s="64">
        <f t="array" ref="G8">RTD("tickerplantrtdserver",,"FWRC1#EURINR#Month End Rates#0#FwdOutrightAsk7")</f>
        <v>86.329099999999997</v>
      </c>
      <c r="H8" s="64">
        <f t="array" ref="H8">RTD("tickerplantrtdserver",,"FWRC1#EURINR#Month End Rates#0#FwdOutrightAsk8")</f>
        <v>86.647199999999998</v>
      </c>
      <c r="I8" s="64">
        <f t="array" ref="I8">RTD("tickerplantrtdserver",,"FWRC1#EURINR#Month End Rates#0#FwdOutrightAsk9")</f>
        <v>86.977000000000004</v>
      </c>
      <c r="J8" s="64">
        <f t="array" ref="J8">RTD("tickerplantrtdserver",,"FWRC1#EURINR#Month End Rates#0#FwdOutrightAsk10")</f>
        <v>87.410700000000006</v>
      </c>
      <c r="K8" s="64">
        <f t="array" ref="K8">RTD("tickerplantrtdserver",,"FWRC1#EURINR#Month End Rates#0#FwdOutrightAsk11")</f>
        <v>87.710400000000007</v>
      </c>
      <c r="L8" s="64">
        <f t="array" ref="L8">RTD("tickerplantrtdserver",,"FWRC1#EURINR#Month End Rates#0#FwdOutrightAsk12")</f>
        <v>88.025599999999997</v>
      </c>
      <c r="M8" s="64">
        <f t="array" ref="M8">RTD("tickerplantrtdserver",,"FWRC1#EURINR#Month End Rates#0#FwdOutrightAsk13")</f>
        <v>88.465900000000005</v>
      </c>
      <c r="N8" s="64">
        <f t="array" ref="N8">RTD("tickerplantrtdserver",,"FWRC1#EURINR#Month End Rates#0#FwdOutrightAsk14")</f>
        <v>88.793300000000002</v>
      </c>
      <c r="O8" s="68">
        <f t="array" ref="O8">RTD("tickerplantrtdserver",,"FWRC1#EURINR#Month End Rates#0#FwdOutrightAsk15")</f>
        <v>89.095100000000002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>
        <f t="array" ref="C10">RTD("tickerplantrtdserver",,"FWRC1#EURINR#Month End Rates#0#Bid%2")</f>
        <v>3.0116000000000001</v>
      </c>
      <c r="D10" s="65">
        <f t="array" ref="D10">RTD("tickerplantrtdserver",,"FWRC1#EURINR#Month End Rates#0#Bid%4")</f>
        <v>3.7761999999999998</v>
      </c>
      <c r="E10" s="65">
        <f t="array" ref="E10">RTD("tickerplantrtdserver",,"FWRC1#EURINR#Month End Rates#0#Bid%5")</f>
        <v>4.1558000000000002</v>
      </c>
      <c r="F10" s="65">
        <f t="array" ref="F10">RTD("tickerplantrtdserver",,"FWRC1#EURINR#Month End Rates#0#Bid%6")</f>
        <v>4.3384999999999998</v>
      </c>
      <c r="G10" s="65">
        <f t="array" ref="G10">RTD("tickerplantrtdserver",,"FWRC1#EURINR#Month End Rates#0#Bid%7")</f>
        <v>4.4006999999999996</v>
      </c>
      <c r="H10" s="65">
        <f t="array" ref="H10">RTD("tickerplantrtdserver",,"FWRC1#EURINR#Month End Rates#0#Bid%8")</f>
        <v>4.4646999999999997</v>
      </c>
      <c r="I10" s="65">
        <f t="array" ref="I10">RTD("tickerplantrtdserver",,"FWRC1#EURINR#Month End Rates#0#Bid%9")</f>
        <v>4.5303000000000004</v>
      </c>
      <c r="J10" s="65">
        <f t="array" ref="J10">RTD("tickerplantrtdserver",,"FWRC1#EURINR#Month End Rates#0#Bid%10")</f>
        <v>4.6543000000000001</v>
      </c>
      <c r="K10" s="65">
        <f t="array" ref="K10">RTD("tickerplantrtdserver",,"FWRC1#EURINR#Month End Rates#0#Bid%11")</f>
        <v>4.6401000000000003</v>
      </c>
      <c r="L10" s="65">
        <f t="array" ref="L10">RTD("tickerplantrtdserver",,"FWRC1#EURINR#Month End Rates#0#Bid%12")</f>
        <v>4.6555999999999997</v>
      </c>
      <c r="M10" s="65">
        <f t="array" ref="M10">RTD("tickerplantrtdserver",,"FWRC1#EURINR#Month End Rates#0#Bid%13")</f>
        <v>4.7515000000000001</v>
      </c>
      <c r="N10" s="65">
        <f t="array" ref="N10">RTD("tickerplantrtdserver",,"FWRC1#EURINR#Month End Rates#0#Bid%14")</f>
        <v>4.7373000000000003</v>
      </c>
      <c r="O10" s="67">
        <f t="array" ref="O10">RTD("tickerplantrtdserver",,"FWRC1#EURINR#Month End Rates#0#Bid%15")</f>
        <v>4.7088000000000001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RTD("tickerplantrtdserver",,"FWRC1#EURINR#Month End Rates#0#Ask%2")</f>
        <v>5.5918000000000001</v>
      </c>
      <c r="D11" s="69">
        <f t="array" ref="D11">RTD("tickerplantrtdserver",,"FWRC1#EURINR#Month End Rates#0#Ask%4")</f>
        <v>4.0888</v>
      </c>
      <c r="E11" s="69">
        <f t="array" ref="E11">RTD("tickerplantrtdserver",,"FWRC1#EURINR#Month End Rates#0#Ask%5")</f>
        <v>4.3169000000000004</v>
      </c>
      <c r="F11" s="69">
        <f t="array" ref="F11">RTD("tickerplantrtdserver",,"FWRC1#EURINR#Month End Rates#0#Ask%6")</f>
        <v>4.4442000000000004</v>
      </c>
      <c r="G11" s="69">
        <f t="array" ref="G11">RTD("tickerplantrtdserver",,"FWRC1#EURINR#Month End Rates#0#Ask%7")</f>
        <v>4.4938000000000002</v>
      </c>
      <c r="H11" s="69">
        <f t="array" ref="H11">RTD("tickerplantrtdserver",,"FWRC1#EURINR#Month End Rates#0#Ask%8")</f>
        <v>4.5396999999999998</v>
      </c>
      <c r="I11" s="69">
        <f t="array" ref="I11">RTD("tickerplantrtdserver",,"FWRC1#EURINR#Month End Rates#0#Ask%9")</f>
        <v>4.6005000000000003</v>
      </c>
      <c r="J11" s="69">
        <f t="array" ref="J11">RTD("tickerplantrtdserver",,"FWRC1#EURINR#Month End Rates#0#Ask%10")</f>
        <v>4.7542</v>
      </c>
      <c r="K11" s="69">
        <f t="array" ref="K11">RTD("tickerplantrtdserver",,"FWRC1#EURINR#Month End Rates#0#Ask%11")</f>
        <v>4.7103000000000002</v>
      </c>
      <c r="L11" s="69">
        <f t="array" ref="L11">RTD("tickerplantrtdserver",,"FWRC1#EURINR#Month End Rates#0#Ask%12")</f>
        <v>4.7224000000000004</v>
      </c>
      <c r="M11" s="69">
        <f t="array" ref="M11">RTD("tickerplantrtdserver",,"FWRC1#EURINR#Month End Rates#0#Ask%13")</f>
        <v>4.8388999999999998</v>
      </c>
      <c r="N11" s="69">
        <f t="array" ref="N11">RTD("tickerplantrtdserver",,"FWRC1#EURINR#Month End Rates#0#Ask%14")</f>
        <v>4.8226000000000004</v>
      </c>
      <c r="O11" s="70">
        <f t="array" ref="O11">RTD("tickerplantrtdserver",,"FWRC1#EURINR#Month End Rates#0#Ask%15")</f>
        <v>4.7629999999999999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P14" s="31"/>
      <c r="Q14" s="31"/>
      <c r="R14" s="31"/>
    </row>
    <row r="15" spans="1:18" s="14" customFormat="1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P15" s="15"/>
      <c r="Q15" s="15"/>
      <c r="R15" s="15"/>
    </row>
    <row r="16" spans="1:18" s="14" customFormat="1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P16" s="13"/>
    </row>
    <row r="17" spans="1:16" s="14" customFormat="1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P17" s="13"/>
    </row>
    <row r="18" spans="1:16" s="14" customFormat="1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P18" s="13"/>
    </row>
    <row r="19" spans="1:16" s="14" customFormat="1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P19" s="15"/>
    </row>
    <row r="20" spans="1:16" s="14" customFormat="1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</row>
    <row r="21" spans="1:16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</row>
    <row r="22" spans="1:16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</row>
    <row r="23" spans="1:16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</row>
    <row r="24" spans="1:16" s="2" customFormat="1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</row>
    <row r="25" spans="1:16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</row>
    <row r="26" spans="1:16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</row>
    <row r="27" spans="1:16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</row>
    <row r="28" spans="1:16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</row>
    <row r="29" spans="1:16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</row>
    <row r="30" spans="1:16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</row>
    <row r="31" spans="1:16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</row>
    <row r="36" spans="1:5">
      <c r="A36" s="1"/>
      <c r="B36" s="1"/>
    </row>
    <row r="40" spans="1:5">
      <c r="E40" s="55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>
      <selection sqref="A1:B1"/>
    </sheetView>
  </sheetViews>
  <sheetFormatPr defaultColWidth="8.85546875" defaultRowHeight="15"/>
  <cols>
    <col min="3" max="4" width="9.42578125" bestFit="1" customWidth="1"/>
    <col min="5" max="5" width="9.28515625" bestFit="1" customWidth="1"/>
    <col min="6" max="6" width="9" bestFit="1" customWidth="1"/>
    <col min="7" max="7" width="9.42578125" bestFit="1" customWidth="1"/>
    <col min="8" max="8" width="9" bestFit="1" customWidth="1"/>
    <col min="9" max="9" width="9.28515625" bestFit="1" customWidth="1"/>
    <col min="10" max="10" width="9.42578125" bestFit="1" customWidth="1"/>
    <col min="11" max="11" width="9.28515625" bestFit="1" customWidth="1"/>
    <col min="12" max="12" width="9.140625" bestFit="1" customWidth="1"/>
    <col min="13" max="13" width="9" bestFit="1" customWidth="1"/>
    <col min="14" max="14" width="9.7109375" bestFit="1" customWidth="1"/>
    <col min="15" max="15" width="9.285156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RTD("tickerplantrtdserver",,"FWRC1#GBPINR#Month End Rates#0#S#Desc.2")</f>
        <v>CASH/SPOT</v>
      </c>
      <c r="D1" s="76" t="str">
        <f t="array" ref="D1">RTD("tickerplantrtdserver",,"FWRC1#GBPINR#Month End Rates#0#S#Desc.4")</f>
        <v>JUN-2020</v>
      </c>
      <c r="E1" s="76" t="str">
        <f t="array" ref="E1">RTD("tickerplantrtdserver",,"FWRC1#GBPINR#Month End Rates#0#S#Desc.5")</f>
        <v>JUL-2020</v>
      </c>
      <c r="F1" s="76" t="str">
        <f t="array" ref="F1">RTD("tickerplantrtdserver",,"FWRC1#GBPINR#Month End Rates#0#S#Desc.6")</f>
        <v>AUG-2020</v>
      </c>
      <c r="G1" s="76" t="str">
        <f t="array" ref="G1">RTD("tickerplantrtdserver",,"FWRC1#GBPINR#Month End Rates#0#S#Desc.7")</f>
        <v>SEP-2020</v>
      </c>
      <c r="H1" s="76" t="str">
        <f t="array" ref="H1">RTD("tickerplantrtdserver",,"FWRC1#GBPINR#Month End Rates#0#S#Desc.8")</f>
        <v>OCT-2020</v>
      </c>
      <c r="I1" s="76" t="str">
        <f t="array" ref="I1">RTD("tickerplantrtdserver",,"FWRC1#GBPINR#Month End Rates#0#S#Desc.9")</f>
        <v>NOV-2020</v>
      </c>
      <c r="J1" s="76" t="str">
        <f t="array" ref="J1">RTD("tickerplantrtdserver",,"FWRC1#GBPINR#Month End Rates#0#S#Desc.10")</f>
        <v>DEC-2020</v>
      </c>
      <c r="K1" s="76" t="str">
        <f t="array" ref="K1">RTD("tickerplantrtdserver",,"FWRC1#GBPINR#Month End Rates#0#S#Desc.11")</f>
        <v>JAN-2021</v>
      </c>
      <c r="L1" s="76" t="str">
        <f t="array" ref="L1">RTD("tickerplantrtdserver",,"FWRC1#GBPINR#Month End Rates#0#S#Desc.12")</f>
        <v>FEB-2021</v>
      </c>
      <c r="M1" s="76" t="str">
        <f t="array" ref="M1">RTD("tickerplantrtdserver",,"FWRC1#GBPINR#Month End Rates#0#S#Desc.13")</f>
        <v>MAR-2021</v>
      </c>
      <c r="N1" s="76" t="str">
        <f t="array" ref="N1">RTD("tickerplantrtdserver",,"FWRC1#GBPINR#Month End Rates#0#S#Desc.14")</f>
        <v>APR-2021</v>
      </c>
      <c r="O1" s="77" t="str">
        <f t="array" ref="O1">RTD("tickerplantrtdserver",,"FWRC1#GBPINR#Month End Rates#0#S#Desc.15")</f>
        <v>MAY-2021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RTD("tickerplantrtdserver",,"FWRC1#GBPINR#Month End Rates#0#S#PillarDate2")</f>
        <v>24-Jun-2020</v>
      </c>
      <c r="D2" s="71" t="str">
        <f t="array" ref="D2">RTD("tickerplantrtdserver",,"FWRC1#GBPINR#Month End Rates#0#S#PillarDate4")</f>
        <v>30-Jun-2020</v>
      </c>
      <c r="E2" s="71" t="str">
        <f t="array" ref="E2">RTD("tickerplantrtdserver",,"FWRC1#GBPINR#Month End Rates#0#S#PillarDate5")</f>
        <v>31-Jul-2020</v>
      </c>
      <c r="F2" s="71" t="str">
        <f t="array" ref="F2">RTD("tickerplantrtdserver",,"FWRC1#GBPINR#Month End Rates#0#S#PillarDate6")</f>
        <v>28-Aug-2020</v>
      </c>
      <c r="G2" s="71" t="str">
        <f t="array" ref="G2">RTD("tickerplantrtdserver",,"FWRC1#GBPINR#Month End Rates#0#S#PillarDate7")</f>
        <v>30-Sep-2020</v>
      </c>
      <c r="H2" s="71" t="str">
        <f t="array" ref="H2">RTD("tickerplantrtdserver",,"FWRC1#GBPINR#Month End Rates#0#S#PillarDate8")</f>
        <v>29-Oct-2020</v>
      </c>
      <c r="I2" s="71" t="str">
        <f t="array" ref="I2">RTD("tickerplantrtdserver",,"FWRC1#GBPINR#Month End Rates#0#S#PillarDate9")</f>
        <v>27-Nov-2020</v>
      </c>
      <c r="J2" s="71" t="str">
        <f t="array" ref="J2">RTD("tickerplantrtdserver",,"FWRC1#GBPINR#Month End Rates#0#S#PillarDate10")</f>
        <v>31-Dec-2020</v>
      </c>
      <c r="K2" s="71" t="str">
        <f t="array" ref="K2">RTD("tickerplantrtdserver",,"FWRC1#GBPINR#Month End Rates#0#S#PillarDate11")</f>
        <v>29-Jan-2021</v>
      </c>
      <c r="L2" s="71" t="str">
        <f t="array" ref="L2">RTD("tickerplantrtdserver",,"FWRC1#GBPINR#Month End Rates#0#S#PillarDate12")</f>
        <v>26-Feb-2021</v>
      </c>
      <c r="M2" s="71" t="str">
        <f t="array" ref="M2">RTD("tickerplantrtdserver",,"FWRC1#GBPINR#Month End Rates#0#S#PillarDate13")</f>
        <v>31-Mar-2021</v>
      </c>
      <c r="N2" s="71" t="str">
        <f t="array" ref="N2">RTD("tickerplantrtdserver",,"FWRC1#GBPINR#Month End Rates#0#S#PillarDate14")</f>
        <v>30-Apr-2021</v>
      </c>
      <c r="O2" s="75" t="str">
        <f t="array" ref="O2">RTD("tickerplantrtdserver",,"FWRC1#GBPINR#Month End Rates#0#S#PillarDate15")</f>
        <v>31-May-2021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>
        <f>RTD("tickerplantrtdserver",,"FWRC1#GBPINR#Month End Rates#0#BidPrice2")/100</f>
        <v>1.2721980000000002</v>
      </c>
      <c r="D4" s="65">
        <f>RTD("tickerplantrtdserver",,"FWRC1#GBPINR#Month End Rates#0#BidPrice4")/100</f>
        <v>5.0061999999999998</v>
      </c>
      <c r="E4" s="65">
        <f>RTD("tickerplantrtdserver",,"FWRC1#GBPINR#Month End Rates#0#BidPrice5")/100</f>
        <v>33.74335</v>
      </c>
      <c r="F4" s="65">
        <f>RTD("tickerplantrtdserver",,"FWRC1#GBPINR#Month End Rates#0#BidPrice6")/100</f>
        <v>65.037025</v>
      </c>
      <c r="G4" s="65">
        <f>RTD("tickerplantrtdserver",,"FWRC1#GBPINR#Month End Rates#0#BidPrice7")/100</f>
        <v>95.18535</v>
      </c>
      <c r="H4" s="65">
        <f>RTD("tickerplantrtdserver",,"FWRC1#GBPINR#Month End Rates#0#BidPrice8")/100</f>
        <v>124.91102500000001</v>
      </c>
      <c r="I4" s="65">
        <f>RTD("tickerplantrtdserver",,"FWRC1#GBPINR#Month End Rates#0#BidPrice9")/100</f>
        <v>155.02600000000001</v>
      </c>
      <c r="J4" s="65">
        <f>RTD("tickerplantrtdserver",,"FWRC1#GBPINR#Month End Rates#0#BidPrice10")/100</f>
        <v>194.82552500000003</v>
      </c>
      <c r="K4" s="65">
        <f>RTD("tickerplantrtdserver",,"FWRC1#GBPINR#Month End Rates#0#BidPrice11")/100</f>
        <v>223.62482499999999</v>
      </c>
      <c r="L4" s="65">
        <f>RTD("tickerplantrtdserver",,"FWRC1#GBPINR#Month End Rates#0#BidPrice12")/100</f>
        <v>253.48945000000001</v>
      </c>
      <c r="M4" s="65">
        <f>RTD("tickerplantrtdserver",,"FWRC1#GBPINR#Month End Rates#0#BidPrice13")/100</f>
        <v>293.35607499999998</v>
      </c>
      <c r="N4" s="65">
        <f>RTD("tickerplantrtdserver",,"FWRC1#GBPINR#Month End Rates#0#BidPrice14")/100</f>
        <v>323.69549999999998</v>
      </c>
      <c r="O4" s="67">
        <f>RTD("tickerplantrtdserver",,"FWRC1#GBPINR#Month End Rates#0#BidPrice15")/100</f>
        <v>352.60004999999995</v>
      </c>
      <c r="P4" s="20"/>
    </row>
    <row r="5" spans="1:18" s="14" customFormat="1">
      <c r="A5" s="112" t="s">
        <v>48</v>
      </c>
      <c r="B5" s="113"/>
      <c r="C5" s="65">
        <f>RTD("tickerplantrtdserver",,"FWRC1#GBPINR#Month End Rates#0#AskPrice2")/100</f>
        <v>2.6131630000000001</v>
      </c>
      <c r="D5" s="65">
        <f>RTD("tickerplantrtdserver",,"FWRC1#GBPINR#Month End Rates#0#AskPrice4")/100</f>
        <v>5.4999000000000002</v>
      </c>
      <c r="E5" s="65">
        <f>RTD("tickerplantrtdserver",,"FWRC1#GBPINR#Month End Rates#0#AskPrice5")/100</f>
        <v>35.455549999999995</v>
      </c>
      <c r="F5" s="65">
        <f>RTD("tickerplantrtdserver",,"FWRC1#GBPINR#Month End Rates#0#AskPrice6")/100</f>
        <v>67.252425000000002</v>
      </c>
      <c r="G5" s="65">
        <f>RTD("tickerplantrtdserver",,"FWRC1#GBPINR#Month End Rates#0#AskPrice7")/100</f>
        <v>97.692475000000002</v>
      </c>
      <c r="H5" s="65">
        <f>RTD("tickerplantrtdserver",,"FWRC1#GBPINR#Month End Rates#0#AskPrice8")/100</f>
        <v>127.70285</v>
      </c>
      <c r="I5" s="65">
        <f>RTD("tickerplantrtdserver",,"FWRC1#GBPINR#Month End Rates#0#AskPrice9")/100</f>
        <v>157.99272499999998</v>
      </c>
      <c r="J5" s="65">
        <f>RTD("tickerplantrtdserver",,"FWRC1#GBPINR#Month End Rates#0#AskPrice10")/100</f>
        <v>198.07049999999998</v>
      </c>
      <c r="K5" s="65">
        <f>RTD("tickerplantrtdserver",,"FWRC1#GBPINR#Month End Rates#0#AskPrice11")/100</f>
        <v>227.05070000000001</v>
      </c>
      <c r="L5" s="65">
        <f>RTD("tickerplantrtdserver",,"FWRC1#GBPINR#Month End Rates#0#AskPrice12")/100</f>
        <v>257.36127499999998</v>
      </c>
      <c r="M5" s="65">
        <f>RTD("tickerplantrtdserver",,"FWRC1#GBPINR#Month End Rates#0#AskPrice13")/100</f>
        <v>297.18295000000001</v>
      </c>
      <c r="N5" s="65">
        <f>RTD("tickerplantrtdserver",,"FWRC1#GBPINR#Month End Rates#0#AskPrice14")/100</f>
        <v>326.90212500000001</v>
      </c>
      <c r="O5" s="67">
        <f>RTD("tickerplantrtdserver",,"FWRC1#GBPINR#Month End Rates#0#AskPrice15")/100</f>
        <v>356.83482499999997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72">
        <f t="array" ref="C7">RTD("tickerplantrtdserver",,"FWRC1#GBPINR#Month End Rates#0#FwdOutrightBid1")</f>
        <v>94.436400000000006</v>
      </c>
      <c r="D7" s="64">
        <f t="array" ref="D7">RTD("tickerplantrtdserver",,"FWRC1#GBPINR#Month End Rates#0#FwdOutrightBid4")</f>
        <v>94.512600000000006</v>
      </c>
      <c r="E7" s="64">
        <f t="array" ref="E7">RTD("tickerplantrtdserver",,"FWRC1#GBPINR#Month End Rates#0#FwdOutrightBid5")</f>
        <v>94.799899999999994</v>
      </c>
      <c r="F7" s="64">
        <f t="array" ref="F7">RTD("tickerplantrtdserver",,"FWRC1#GBPINR#Month End Rates#0#FwdOutrightBid6")</f>
        <v>95.112899999999996</v>
      </c>
      <c r="G7" s="64">
        <f t="array" ref="G7">RTD("tickerplantrtdserver",,"FWRC1#GBPINR#Month End Rates#0#FwdOutrightBid7")</f>
        <v>95.414400000000001</v>
      </c>
      <c r="H7" s="64">
        <f t="array" ref="H7">RTD("tickerplantrtdserver",,"FWRC1#GBPINR#Month End Rates#0#FwdOutrightBid8")</f>
        <v>95.711600000000004</v>
      </c>
      <c r="I7" s="64">
        <f t="array" ref="I7">RTD("tickerplantrtdserver",,"FWRC1#GBPINR#Month End Rates#0#FwdOutrightBid9")</f>
        <v>96.012799999999999</v>
      </c>
      <c r="J7" s="64">
        <f t="array" ref="J7">RTD("tickerplantrtdserver",,"FWRC1#GBPINR#Month End Rates#0#FwdOutrightBid10")</f>
        <v>96.410799999999995</v>
      </c>
      <c r="K7" s="64">
        <f t="array" ref="K7">RTD("tickerplantrtdserver",,"FWRC1#GBPINR#Month End Rates#0#FwdOutrightBid11")</f>
        <v>96.698700000000002</v>
      </c>
      <c r="L7" s="64">
        <f t="array" ref="L7">RTD("tickerplantrtdserver",,"FWRC1#GBPINR#Month End Rates#0#FwdOutrightBid12")</f>
        <v>96.997399999999999</v>
      </c>
      <c r="M7" s="64">
        <f t="array" ref="M7">RTD("tickerplantrtdserver",,"FWRC1#GBPINR#Month End Rates#0#FwdOutrightBid13")</f>
        <v>97.396100000000004</v>
      </c>
      <c r="N7" s="64">
        <f t="array" ref="N7">RTD("tickerplantrtdserver",,"FWRC1#GBPINR#Month End Rates#0#FwdOutrightBid14")</f>
        <v>97.6995</v>
      </c>
      <c r="O7" s="68">
        <f t="array" ref="O7">RTD("tickerplantrtdserver",,"FWRC1#GBPINR#Month End Rates#0#FwdOutrightBid15")</f>
        <v>97.988500000000002</v>
      </c>
      <c r="P7" s="20"/>
    </row>
    <row r="8" spans="1:18" s="14" customFormat="1">
      <c r="A8" s="112" t="s">
        <v>48</v>
      </c>
      <c r="B8" s="113"/>
      <c r="C8" s="72">
        <f t="array" ref="C8">RTD("tickerplantrtdserver",,"FWRC1#GBPINR#Month End Rates#0#FwdOutrightAsk1")</f>
        <v>94.499799999999993</v>
      </c>
      <c r="D8" s="64">
        <f t="array" ref="D8">RTD("tickerplantrtdserver",,"FWRC1#GBPINR#Month End Rates#0#FwdOutrightAsk4")</f>
        <v>94.567499999999995</v>
      </c>
      <c r="E8" s="64">
        <f t="array" ref="E8">RTD("tickerplantrtdserver",,"FWRC1#GBPINR#Month End Rates#0#FwdOutrightAsk5")</f>
        <v>94.867099999999994</v>
      </c>
      <c r="F8" s="64">
        <f t="array" ref="F8">RTD("tickerplantrtdserver",,"FWRC1#GBPINR#Month End Rates#0#FwdOutrightAsk6")</f>
        <v>95.185000000000002</v>
      </c>
      <c r="G8" s="64">
        <f t="array" ref="G8">RTD("tickerplantrtdserver",,"FWRC1#GBPINR#Month End Rates#0#FwdOutrightAsk7")</f>
        <v>95.489400000000003</v>
      </c>
      <c r="H8" s="64">
        <f t="array" ref="H8">RTD("tickerplantrtdserver",,"FWRC1#GBPINR#Month End Rates#0#FwdOutrightAsk8")</f>
        <v>95.789500000000004</v>
      </c>
      <c r="I8" s="64">
        <f t="array" ref="I8">RTD("tickerplantrtdserver",,"FWRC1#GBPINR#Month End Rates#0#FwdOutrightAsk9")</f>
        <v>96.092399999999998</v>
      </c>
      <c r="J8" s="64">
        <f t="array" ref="J8">RTD("tickerplantrtdserver",,"FWRC1#GBPINR#Month End Rates#0#FwdOutrightAsk10")</f>
        <v>96.493200000000002</v>
      </c>
      <c r="K8" s="64">
        <f t="array" ref="K8">RTD("tickerplantrtdserver",,"FWRC1#GBPINR#Month End Rates#0#FwdOutrightAsk11")</f>
        <v>96.783000000000001</v>
      </c>
      <c r="L8" s="64">
        <f t="array" ref="L8">RTD("tickerplantrtdserver",,"FWRC1#GBPINR#Month End Rates#0#FwdOutrightAsk12")</f>
        <v>97.086100000000002</v>
      </c>
      <c r="M8" s="64">
        <f t="array" ref="M8">RTD("tickerplantrtdserver",,"FWRC1#GBPINR#Month End Rates#0#FwdOutrightAsk13")</f>
        <v>97.484300000000005</v>
      </c>
      <c r="N8" s="64">
        <f t="array" ref="N8">RTD("tickerplantrtdserver",,"FWRC1#GBPINR#Month End Rates#0#FwdOutrightAsk14")</f>
        <v>97.781499999999994</v>
      </c>
      <c r="O8" s="68">
        <f t="array" ref="O8">RTD("tickerplantrtdserver",,"FWRC1#GBPINR#Month End Rates#0#FwdOutrightAsk15")</f>
        <v>98.080799999999996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>
        <f t="array" ref="C10">RTD("tickerplantrtdserver",,"FWRC1#GBPINR#Month End Rates#0#Bid%2")</f>
        <v>2.4565999999999999</v>
      </c>
      <c r="D10" s="65">
        <f t="array" ref="D10">RTD("tickerplantrtdserver",,"FWRC1#GBPINR#Month End Rates#0#Bid%4")</f>
        <v>3.2223000000000002</v>
      </c>
      <c r="E10" s="65">
        <f t="array" ref="E10">RTD("tickerplantrtdserver",,"FWRC1#GBPINR#Month End Rates#0#Bid%5")</f>
        <v>3.5219999999999998</v>
      </c>
      <c r="F10" s="65">
        <f t="array" ref="F10">RTD("tickerplantrtdserver",,"FWRC1#GBPINR#Month End Rates#0#Bid%6")</f>
        <v>3.8641000000000001</v>
      </c>
      <c r="G10" s="65">
        <f t="array" ref="G10">RTD("tickerplantrtdserver",,"FWRC1#GBPINR#Month End Rates#0#Bid%7")</f>
        <v>3.7509999999999999</v>
      </c>
      <c r="H10" s="65">
        <f t="array" ref="H10">RTD("tickerplantrtdserver",,"FWRC1#GBPINR#Month End Rates#0#Bid%8")</f>
        <v>3.7984</v>
      </c>
      <c r="I10" s="65">
        <f t="array" ref="I10">RTD("tickerplantrtdserver",,"FWRC1#GBPINR#Month End Rates#0#Bid%9")</f>
        <v>3.8378000000000001</v>
      </c>
      <c r="J10" s="65">
        <f t="array" ref="J10">RTD("tickerplantrtdserver",,"FWRC1#GBPINR#Month End Rates#0#Bid%10")</f>
        <v>3.96</v>
      </c>
      <c r="K10" s="65">
        <f t="array" ref="K10">RTD("tickerplantrtdserver",,"FWRC1#GBPINR#Month End Rates#0#Bid%11")</f>
        <v>3.9434999999999998</v>
      </c>
      <c r="L10" s="65">
        <f t="array" ref="L10">RTD("tickerplantrtdserver",,"FWRC1#GBPINR#Month End Rates#0#Bid%12")</f>
        <v>3.9634</v>
      </c>
      <c r="M10" s="65">
        <f t="array" ref="M10">RTD("tickerplantrtdserver",,"FWRC1#GBPINR#Month End Rates#0#Bid%13")</f>
        <v>4.0461</v>
      </c>
      <c r="N10" s="65">
        <f t="array" ref="N10">RTD("tickerplantrtdserver",,"FWRC1#GBPINR#Month End Rates#0#Bid%14")</f>
        <v>4.0324999999999998</v>
      </c>
      <c r="O10" s="67">
        <f t="array" ref="O10">RTD("tickerplantrtdserver",,"FWRC1#GBPINR#Month End Rates#0#Bid%15")</f>
        <v>3.9933000000000001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RTD("tickerplantrtdserver",,"FWRC1#GBPINR#Month End Rates#0#Ask%2")</f>
        <v>5.0486000000000004</v>
      </c>
      <c r="D11" s="69">
        <f t="array" ref="D11">RTD("tickerplantrtdserver",,"FWRC1#GBPINR#Month End Rates#0#Ask%4")</f>
        <v>3.5419</v>
      </c>
      <c r="E11" s="69">
        <f t="array" ref="E11">RTD("tickerplantrtdserver",,"FWRC1#GBPINR#Month End Rates#0#Ask%5")</f>
        <v>3.7027000000000001</v>
      </c>
      <c r="F11" s="69">
        <f t="array" ref="F11">RTD("tickerplantrtdserver",,"FWRC1#GBPINR#Month End Rates#0#Ask%6")</f>
        <v>3.9979</v>
      </c>
      <c r="G11" s="69">
        <f t="array" ref="G11">RTD("tickerplantrtdserver",,"FWRC1#GBPINR#Month End Rates#0#Ask%7")</f>
        <v>3.8517999999999999</v>
      </c>
      <c r="H11" s="69">
        <f t="array" ref="H11">RTD("tickerplantrtdserver",,"FWRC1#GBPINR#Month End Rates#0#Ask%8")</f>
        <v>3.8854000000000002</v>
      </c>
      <c r="I11" s="69">
        <f t="array" ref="I11">RTD("tickerplantrtdserver",,"FWRC1#GBPINR#Month End Rates#0#Ask%9")</f>
        <v>3.9133</v>
      </c>
      <c r="J11" s="69">
        <f t="array" ref="J11">RTD("tickerplantrtdserver",,"FWRC1#GBPINR#Month End Rates#0#Ask%10")</f>
        <v>4.0281000000000002</v>
      </c>
      <c r="K11" s="69">
        <f t="array" ref="K11">RTD("tickerplantrtdserver",,"FWRC1#GBPINR#Month End Rates#0#Ask%11")</f>
        <v>4.0060000000000002</v>
      </c>
      <c r="L11" s="69">
        <f t="array" ref="L11">RTD("tickerplantrtdserver",,"FWRC1#GBPINR#Month End Rates#0#Ask%12")</f>
        <v>4.0260999999999996</v>
      </c>
      <c r="M11" s="69">
        <f t="array" ref="M11">RTD("tickerplantrtdserver",,"FWRC1#GBPINR#Month End Rates#0#Ask%13")</f>
        <v>4.1010999999999997</v>
      </c>
      <c r="N11" s="69">
        <f t="array" ref="N11">RTD("tickerplantrtdserver",,"FWRC1#GBPINR#Month End Rates#0#Ask%14")</f>
        <v>4.0746000000000002</v>
      </c>
      <c r="O11" s="70">
        <f t="array" ref="O11">RTD("tickerplantrtdserver",,"FWRC1#GBPINR#Month End Rates#0#Ask%15")</f>
        <v>4.0434000000000001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21"/>
      <c r="G14" s="21"/>
      <c r="H14" s="32"/>
      <c r="I14" s="32"/>
      <c r="J14" s="32"/>
      <c r="L14" s="31"/>
      <c r="M14" s="31"/>
      <c r="N14" s="31"/>
      <c r="Q14" s="23"/>
      <c r="R14" s="23"/>
    </row>
    <row r="15" spans="1:18" s="14" customFormat="1">
      <c r="A15" s="13"/>
      <c r="B15" s="21"/>
      <c r="C15" s="21"/>
      <c r="D15" s="58"/>
      <c r="E15" s="21"/>
      <c r="F15" s="21"/>
      <c r="G15" s="21"/>
      <c r="H15" s="32"/>
      <c r="I15" s="32"/>
      <c r="J15" s="32"/>
      <c r="L15" s="31"/>
      <c r="M15" s="31"/>
      <c r="N15" s="31"/>
      <c r="Q15" s="23"/>
      <c r="R15" s="23"/>
    </row>
    <row r="16" spans="1:18" s="14" customFormat="1">
      <c r="A16" s="13"/>
      <c r="B16" s="21"/>
      <c r="C16" s="21"/>
      <c r="D16" s="58"/>
      <c r="E16" s="21"/>
      <c r="F16" s="21"/>
      <c r="G16" s="21"/>
      <c r="H16" s="32"/>
      <c r="I16" s="32"/>
      <c r="J16" s="32"/>
      <c r="L16" s="31"/>
      <c r="M16" s="31"/>
      <c r="N16" s="31"/>
      <c r="Q16" s="23"/>
      <c r="R16" s="23"/>
    </row>
    <row r="17" spans="1:19" s="14" customFormat="1">
      <c r="A17" s="13"/>
      <c r="B17" s="21"/>
      <c r="C17" s="21"/>
      <c r="D17" s="58"/>
      <c r="E17" s="21"/>
      <c r="F17" s="21"/>
      <c r="G17" s="21"/>
      <c r="H17" s="32"/>
      <c r="I17" s="32"/>
      <c r="J17" s="32"/>
      <c r="L17" s="31"/>
      <c r="M17" s="31"/>
      <c r="N17" s="31"/>
      <c r="Q17" s="23"/>
      <c r="R17" s="23"/>
    </row>
    <row r="18" spans="1:19" s="14" customFormat="1">
      <c r="A18" s="13"/>
      <c r="B18" s="21"/>
      <c r="C18" s="21"/>
      <c r="D18" s="58"/>
      <c r="E18" s="21"/>
      <c r="F18" s="21"/>
      <c r="G18" s="21"/>
      <c r="H18" s="32"/>
      <c r="I18" s="32"/>
      <c r="J18" s="32"/>
      <c r="L18" s="31"/>
      <c r="M18" s="31"/>
      <c r="N18" s="31"/>
      <c r="Q18" s="23"/>
      <c r="R18" s="23"/>
    </row>
    <row r="19" spans="1:19" s="14" customFormat="1">
      <c r="A19" s="13"/>
      <c r="B19" s="21"/>
      <c r="C19" s="21"/>
      <c r="D19" s="58"/>
      <c r="E19" s="21"/>
      <c r="F19" s="21"/>
      <c r="G19" s="21"/>
      <c r="H19" s="32"/>
      <c r="I19" s="32"/>
      <c r="J19" s="32"/>
      <c r="L19" s="31"/>
      <c r="M19" s="31"/>
      <c r="N19" s="31"/>
      <c r="Q19" s="23"/>
      <c r="R19" s="23"/>
    </row>
    <row r="20" spans="1:19" s="14" customFormat="1">
      <c r="A20" s="13"/>
      <c r="B20" s="21"/>
      <c r="C20" s="21"/>
      <c r="D20" s="58"/>
      <c r="E20" s="21"/>
      <c r="F20" s="21"/>
      <c r="G20" s="21"/>
      <c r="H20" s="32"/>
      <c r="I20" s="32"/>
      <c r="J20" s="32"/>
      <c r="L20" s="31"/>
      <c r="M20" s="31"/>
      <c r="N20" s="31"/>
      <c r="Q20" s="23"/>
      <c r="R20" s="23"/>
    </row>
    <row r="21" spans="1:19">
      <c r="A21" s="13"/>
      <c r="B21" s="21"/>
      <c r="C21" s="21"/>
      <c r="D21" s="58"/>
      <c r="E21" s="21"/>
      <c r="F21" s="21"/>
      <c r="G21" s="21"/>
      <c r="H21" s="32"/>
      <c r="I21" s="32"/>
      <c r="J21" s="32"/>
      <c r="K21" s="14"/>
      <c r="L21" s="31"/>
      <c r="M21" s="31"/>
      <c r="N21" s="31"/>
      <c r="O21" s="14"/>
      <c r="P21" s="14"/>
      <c r="Q21" s="23"/>
      <c r="R21" s="23"/>
      <c r="S21" s="14"/>
    </row>
    <row r="22" spans="1:19">
      <c r="A22" s="13"/>
      <c r="B22" s="21"/>
      <c r="C22" s="21"/>
      <c r="D22" s="58"/>
      <c r="E22" s="21"/>
      <c r="F22" s="21"/>
      <c r="G22" s="21"/>
      <c r="H22" s="32"/>
      <c r="I22" s="32"/>
      <c r="J22" s="32"/>
      <c r="K22" s="14"/>
      <c r="L22" s="31"/>
      <c r="M22" s="31"/>
      <c r="N22" s="31"/>
      <c r="O22" s="14"/>
      <c r="P22" s="14"/>
      <c r="Q22" s="23"/>
      <c r="R22" s="23"/>
      <c r="S22" s="14"/>
    </row>
    <row r="23" spans="1:19">
      <c r="A23" s="13"/>
      <c r="B23" s="21"/>
      <c r="C23" s="21"/>
      <c r="D23" s="58"/>
      <c r="E23" s="21"/>
      <c r="F23" s="21"/>
      <c r="G23" s="21"/>
      <c r="H23" s="32"/>
      <c r="I23" s="32"/>
      <c r="J23" s="32"/>
      <c r="K23" s="14"/>
      <c r="L23" s="31"/>
      <c r="M23" s="31"/>
      <c r="N23" s="31"/>
      <c r="O23" s="14"/>
      <c r="P23" s="14"/>
      <c r="Q23" s="23"/>
      <c r="R23" s="23"/>
      <c r="S23" s="14"/>
    </row>
    <row r="24" spans="1:19" s="2" customFormat="1">
      <c r="A24" s="13"/>
      <c r="B24" s="21"/>
      <c r="C24" s="21"/>
      <c r="D24" s="58"/>
      <c r="E24" s="21"/>
      <c r="F24" s="21"/>
      <c r="G24" s="21"/>
      <c r="H24" s="32"/>
      <c r="I24" s="32"/>
      <c r="J24" s="32"/>
      <c r="K24" s="14"/>
      <c r="L24" s="31"/>
      <c r="M24" s="31"/>
      <c r="N24" s="31"/>
      <c r="O24" s="14"/>
      <c r="P24" s="14"/>
      <c r="Q24" s="23"/>
      <c r="R24" s="23"/>
      <c r="S24" s="14"/>
    </row>
    <row r="25" spans="1:19">
      <c r="A25" s="13"/>
      <c r="B25" s="21"/>
      <c r="C25" s="21"/>
      <c r="D25" s="58"/>
      <c r="E25" s="21"/>
      <c r="F25" s="21"/>
      <c r="G25" s="21"/>
      <c r="H25" s="32"/>
      <c r="I25" s="32"/>
      <c r="J25" s="32"/>
      <c r="K25" s="14"/>
      <c r="L25" s="31"/>
      <c r="M25" s="31"/>
      <c r="N25" s="31"/>
      <c r="O25" s="14"/>
      <c r="P25" s="14"/>
      <c r="Q25" s="23"/>
      <c r="R25" s="23"/>
      <c r="S25" s="14"/>
    </row>
    <row r="26" spans="1:19">
      <c r="A26" s="13"/>
      <c r="B26" s="21"/>
      <c r="C26" s="21"/>
      <c r="D26" s="58"/>
      <c r="E26" s="21"/>
      <c r="F26" s="21"/>
      <c r="G26" s="21"/>
      <c r="H26" s="32"/>
      <c r="I26" s="32"/>
      <c r="J26" s="32"/>
      <c r="K26" s="14"/>
      <c r="L26" s="31"/>
      <c r="M26" s="31"/>
      <c r="N26" s="31"/>
      <c r="O26" s="14"/>
      <c r="P26" s="14"/>
      <c r="Q26" s="23"/>
      <c r="R26" s="23"/>
      <c r="S26" s="14"/>
    </row>
    <row r="27" spans="1:19">
      <c r="A27" s="13"/>
      <c r="B27" s="21"/>
      <c r="C27" s="21"/>
      <c r="D27" s="58"/>
      <c r="E27" s="21"/>
      <c r="F27" s="21"/>
      <c r="G27" s="21"/>
      <c r="H27" s="32"/>
      <c r="I27" s="32"/>
      <c r="J27" s="32"/>
      <c r="K27" s="14"/>
      <c r="L27" s="31"/>
      <c r="M27" s="31"/>
      <c r="N27" s="31"/>
      <c r="O27" s="14"/>
      <c r="P27" s="14"/>
      <c r="Q27" s="23"/>
      <c r="R27" s="23"/>
      <c r="S27" s="14"/>
    </row>
    <row r="28" spans="1:19">
      <c r="A28" s="13"/>
      <c r="B28" s="21"/>
      <c r="C28" s="21"/>
      <c r="D28" s="58"/>
      <c r="E28" s="21"/>
      <c r="F28" s="21"/>
      <c r="G28" s="21"/>
      <c r="H28" s="32"/>
      <c r="I28" s="32"/>
      <c r="J28" s="32"/>
      <c r="K28" s="14"/>
      <c r="L28" s="31"/>
      <c r="M28" s="31"/>
      <c r="N28" s="31"/>
      <c r="O28" s="14"/>
      <c r="P28" s="14"/>
      <c r="Q28" s="23"/>
      <c r="R28" s="23"/>
      <c r="S28" s="14"/>
    </row>
    <row r="29" spans="1:19">
      <c r="A29" s="13"/>
      <c r="B29" s="21"/>
      <c r="C29" s="21"/>
      <c r="D29" s="58"/>
      <c r="E29" s="21"/>
      <c r="F29" s="21"/>
      <c r="G29" s="21"/>
      <c r="H29" s="32"/>
      <c r="I29" s="32"/>
      <c r="J29" s="32"/>
      <c r="K29" s="14"/>
      <c r="L29" s="31"/>
      <c r="M29" s="31"/>
      <c r="N29" s="31"/>
      <c r="O29" s="14"/>
      <c r="P29" s="14"/>
      <c r="Q29" s="23"/>
      <c r="R29" s="23"/>
      <c r="S29" s="14"/>
    </row>
    <row r="30" spans="1:19">
      <c r="A30" s="13"/>
      <c r="B30" s="21"/>
      <c r="C30" s="21"/>
      <c r="D30" s="58"/>
      <c r="E30" s="21"/>
      <c r="F30" s="21"/>
      <c r="G30" s="21"/>
      <c r="H30" s="32"/>
      <c r="I30" s="32"/>
      <c r="J30" s="32"/>
      <c r="K30" s="14"/>
      <c r="L30" s="31"/>
      <c r="M30" s="31"/>
      <c r="N30" s="31"/>
      <c r="O30" s="14"/>
      <c r="P30" s="14"/>
      <c r="Q30" s="23"/>
      <c r="R30" s="23"/>
      <c r="S30" s="14"/>
    </row>
    <row r="31" spans="1:19">
      <c r="A31" s="13"/>
      <c r="B31" s="21"/>
      <c r="C31" s="21"/>
      <c r="D31" s="58"/>
      <c r="E31" s="21"/>
      <c r="F31" s="21"/>
      <c r="G31" s="21"/>
      <c r="H31" s="32"/>
      <c r="I31" s="32"/>
      <c r="J31" s="32"/>
      <c r="K31" s="14"/>
      <c r="L31" s="31"/>
      <c r="M31" s="31"/>
      <c r="N31" s="31"/>
      <c r="O31" s="14"/>
      <c r="P31" s="14"/>
      <c r="Q31" s="23"/>
      <c r="R31" s="23"/>
      <c r="S31" s="14"/>
    </row>
    <row r="32" spans="1:19">
      <c r="A32" s="13"/>
      <c r="B32" s="21"/>
      <c r="C32" s="21"/>
      <c r="D32" s="58"/>
      <c r="E32" s="21"/>
      <c r="F32" s="21"/>
      <c r="G32" s="21"/>
      <c r="H32" s="32"/>
      <c r="I32" s="32"/>
      <c r="J32" s="32"/>
      <c r="K32" s="14"/>
      <c r="L32" s="31"/>
      <c r="M32" s="31"/>
      <c r="N32" s="31"/>
      <c r="O32" s="14"/>
      <c r="P32" s="14"/>
      <c r="Q32" s="23"/>
      <c r="R32" s="23"/>
      <c r="S32" s="14"/>
    </row>
    <row r="33" spans="1:19">
      <c r="A33" s="13"/>
      <c r="B33" s="21"/>
      <c r="C33" s="21"/>
      <c r="D33" s="58"/>
      <c r="E33" s="21"/>
      <c r="F33" s="21"/>
      <c r="G33" s="21"/>
      <c r="H33" s="32"/>
      <c r="I33" s="32"/>
      <c r="J33" s="32"/>
      <c r="K33" s="14"/>
      <c r="L33" s="31"/>
      <c r="M33" s="31"/>
      <c r="N33" s="31"/>
      <c r="O33" s="14"/>
      <c r="P33" s="14"/>
      <c r="Q33" s="23"/>
      <c r="R33" s="23"/>
      <c r="S33" s="14"/>
    </row>
    <row r="34" spans="1:19">
      <c r="A34" s="13"/>
      <c r="B34" s="21"/>
      <c r="C34" s="21"/>
      <c r="D34" s="58"/>
      <c r="E34" s="21"/>
      <c r="F34" s="21"/>
      <c r="G34" s="21"/>
      <c r="H34" s="32"/>
      <c r="I34" s="32"/>
      <c r="J34" s="32"/>
      <c r="K34" s="14"/>
      <c r="L34" s="31"/>
      <c r="M34" s="31"/>
      <c r="N34" s="31"/>
      <c r="O34" s="14"/>
      <c r="P34" s="14"/>
      <c r="Q34" s="23"/>
      <c r="R34" s="23"/>
      <c r="S34" s="14"/>
    </row>
    <row r="35" spans="1:19">
      <c r="A35" s="13"/>
      <c r="B35" s="21"/>
      <c r="C35" s="21"/>
      <c r="D35" s="58"/>
      <c r="E35" s="21"/>
      <c r="F35" s="21"/>
      <c r="G35" s="21"/>
      <c r="H35" s="32"/>
      <c r="I35" s="32"/>
      <c r="J35" s="32"/>
      <c r="K35" s="14"/>
      <c r="L35" s="31"/>
      <c r="M35" s="31"/>
      <c r="N35" s="31"/>
      <c r="O35" s="14"/>
      <c r="P35" s="14"/>
      <c r="Q35" s="23"/>
      <c r="R35" s="23"/>
      <c r="S35" s="14"/>
    </row>
    <row r="36" spans="1:19">
      <c r="A36" s="13"/>
      <c r="B36" s="21"/>
      <c r="C36" s="21"/>
      <c r="D36" s="58"/>
      <c r="E36" s="21"/>
      <c r="F36" s="21"/>
      <c r="G36" s="21"/>
      <c r="H36" s="32"/>
      <c r="I36" s="32"/>
      <c r="J36" s="32"/>
      <c r="K36" s="14"/>
      <c r="L36" s="31"/>
      <c r="M36" s="31"/>
      <c r="N36" s="31"/>
      <c r="O36" s="14"/>
      <c r="P36" s="14"/>
      <c r="Q36" s="23"/>
      <c r="R36" s="23"/>
      <c r="S36" s="14"/>
    </row>
    <row r="37" spans="1:19">
      <c r="A37" s="13"/>
      <c r="B37" s="21"/>
      <c r="C37" s="21"/>
      <c r="D37" s="58"/>
      <c r="E37" s="21"/>
      <c r="F37" s="21"/>
      <c r="G37" s="21"/>
      <c r="H37" s="32"/>
      <c r="I37" s="32"/>
      <c r="J37" s="32"/>
      <c r="K37" s="14"/>
      <c r="L37" s="31"/>
      <c r="M37" s="31"/>
      <c r="N37" s="31"/>
      <c r="O37" s="14"/>
      <c r="P37" s="14"/>
      <c r="Q37" s="23"/>
      <c r="R37" s="23"/>
      <c r="S37" s="14"/>
    </row>
    <row r="38" spans="1:19">
      <c r="A38" s="13"/>
      <c r="B38" s="21"/>
      <c r="C38" s="21"/>
      <c r="D38" s="58"/>
      <c r="E38" s="21"/>
      <c r="F38" s="21"/>
      <c r="G38" s="21"/>
      <c r="H38" s="32"/>
      <c r="I38" s="32"/>
      <c r="J38" s="32"/>
      <c r="K38" s="14"/>
      <c r="L38" s="31"/>
      <c r="M38" s="31"/>
      <c r="N38" s="31"/>
      <c r="O38" s="14"/>
      <c r="P38" s="14"/>
      <c r="Q38" s="23"/>
      <c r="R38" s="23"/>
      <c r="S38" s="14"/>
    </row>
    <row r="39" spans="1:19">
      <c r="A39" s="13"/>
      <c r="B39" s="21"/>
      <c r="C39" s="21"/>
      <c r="D39" s="58"/>
      <c r="E39" s="21"/>
      <c r="F39" s="21"/>
      <c r="G39" s="21"/>
      <c r="H39" s="32"/>
      <c r="I39" s="32"/>
      <c r="J39" s="32"/>
      <c r="K39" s="14"/>
      <c r="L39" s="31"/>
      <c r="M39" s="31"/>
      <c r="N39" s="31"/>
      <c r="O39" s="14"/>
      <c r="P39" s="14"/>
      <c r="Q39" s="23"/>
      <c r="R39" s="23"/>
      <c r="S39" s="14"/>
    </row>
  </sheetData>
  <mergeCells count="14">
    <mergeCell ref="A9:B9"/>
    <mergeCell ref="C9:O9"/>
    <mergeCell ref="A10:B10"/>
    <mergeCell ref="A11:B11"/>
    <mergeCell ref="A5:B5"/>
    <mergeCell ref="A6:B6"/>
    <mergeCell ref="C6:O6"/>
    <mergeCell ref="A7:B7"/>
    <mergeCell ref="A8:B8"/>
    <mergeCell ref="A1:B1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ColWidth="8.85546875" defaultRowHeight="1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RTD("tickerplantrtdserver",,"FWRC1#JPYINR#Month End Rates#0#S#Desc.2")</f>
        <v>CASH/SPOT</v>
      </c>
      <c r="D1" s="76" t="str">
        <f t="array" ref="D1">RTD("tickerplantrtdserver",,"FWRC1#JPYINR#Month End Rates#0#S#Desc.4")</f>
        <v>JUN-2020</v>
      </c>
      <c r="E1" s="76" t="str">
        <f t="array" ref="E1">RTD("tickerplantrtdserver",,"FWRC1#JPYINR#Month End Rates#0#S#Desc.5")</f>
        <v>JUL-2020</v>
      </c>
      <c r="F1" s="76" t="str">
        <f t="array" ref="F1">RTD("tickerplantrtdserver",,"FWRC1#JPYINR#Month End Rates#0#S#Desc.6")</f>
        <v>AUG-2020</v>
      </c>
      <c r="G1" s="76" t="str">
        <f t="array" ref="G1">RTD("tickerplantrtdserver",,"FWRC1#JPYINR#Month End Rates#0#S#Desc.7")</f>
        <v>SEP-2020</v>
      </c>
      <c r="H1" s="76" t="str">
        <f t="array" ref="H1">RTD("tickerplantrtdserver",,"FWRC1#JPYINR#Month End Rates#0#S#Desc.8")</f>
        <v>OCT-2020</v>
      </c>
      <c r="I1" s="76" t="str">
        <f t="array" ref="I1">RTD("tickerplantrtdserver",,"FWRC1#JPYINR#Month End Rates#0#S#Desc.9")</f>
        <v>NOV-2020</v>
      </c>
      <c r="J1" s="76" t="str">
        <f t="array" ref="J1">RTD("tickerplantrtdserver",,"FWRC1#JPYINR#Month End Rates#0#S#Desc.10")</f>
        <v>DEC-2020</v>
      </c>
      <c r="K1" s="76" t="str">
        <f t="array" ref="K1">RTD("tickerplantrtdserver",,"FWRC1#JPYINR#Month End Rates#0#S#Desc.11")</f>
        <v>JAN-2021</v>
      </c>
      <c r="L1" s="76" t="str">
        <f t="array" ref="L1">RTD("tickerplantrtdserver",,"FWRC1#JPYINR#Month End Rates#0#S#Desc.12")</f>
        <v>FEB-2021</v>
      </c>
      <c r="M1" s="76" t="str">
        <f t="array" ref="M1">RTD("tickerplantrtdserver",,"FWRC1#JPYINR#Month End Rates#0#S#Desc.13")</f>
        <v>MAR-2021</v>
      </c>
      <c r="N1" s="76" t="str">
        <f t="array" ref="N1">RTD("tickerplantrtdserver",,"FWRC1#JPYINR#Month End Rates#0#S#Desc.14")</f>
        <v>APR-2021</v>
      </c>
      <c r="O1" s="77" t="str">
        <f t="array" ref="O1">RTD("tickerplantrtdserver",,"FWRC1#JPYINR#Month End Rates#0#S#Desc.15")</f>
        <v>MAY-2021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RTD("tickerplantrtdserver",,"FWRC1#JPYINR#Month End Rates#0#S#PillarDate2")</f>
        <v>24-Jun-2020</v>
      </c>
      <c r="D2" s="71" t="str">
        <f t="array" ref="D2">RTD("tickerplantrtdserver",,"FWRC1#JPYINR#Month End Rates#0#S#PillarDate4")</f>
        <v>30-Jun-2020</v>
      </c>
      <c r="E2" s="71" t="str">
        <f t="array" ref="E2">RTD("tickerplantrtdserver",,"FWRC1#JPYINR#Month End Rates#0#S#PillarDate5")</f>
        <v>31-Jul-2020</v>
      </c>
      <c r="F2" s="71" t="str">
        <f t="array" ref="F2">RTD("tickerplantrtdserver",,"FWRC1#JPYINR#Month End Rates#0#S#PillarDate6")</f>
        <v>31-Aug-2020</v>
      </c>
      <c r="G2" s="71" t="str">
        <f t="array" ref="G2">RTD("tickerplantrtdserver",,"FWRC1#JPYINR#Month End Rates#0#S#PillarDate7")</f>
        <v>30-Sep-2020</v>
      </c>
      <c r="H2" s="71" t="str">
        <f t="array" ref="H2">RTD("tickerplantrtdserver",,"FWRC1#JPYINR#Month End Rates#0#S#PillarDate8")</f>
        <v>29-Oct-2020</v>
      </c>
      <c r="I2" s="71" t="str">
        <f t="array" ref="I2">RTD("tickerplantrtdserver",,"FWRC1#JPYINR#Month End Rates#0#S#PillarDate9")</f>
        <v>27-Nov-2020</v>
      </c>
      <c r="J2" s="71" t="str">
        <f t="array" ref="J2">RTD("tickerplantrtdserver",,"FWRC1#JPYINR#Month End Rates#0#S#PillarDate10")</f>
        <v>31-Dec-2020</v>
      </c>
      <c r="K2" s="71" t="str">
        <f t="array" ref="K2">RTD("tickerplantrtdserver",,"FWRC1#JPYINR#Month End Rates#0#S#PillarDate11")</f>
        <v>29-Jan-2021</v>
      </c>
      <c r="L2" s="71" t="str">
        <f t="array" ref="L2">RTD("tickerplantrtdserver",,"FWRC1#JPYINR#Month End Rates#0#S#PillarDate12")</f>
        <v>26-Feb-2021</v>
      </c>
      <c r="M2" s="71" t="str">
        <f t="array" ref="M2">RTD("tickerplantrtdserver",,"FWRC1#JPYINR#Month End Rates#0#S#PillarDate13")</f>
        <v>31-Mar-2021</v>
      </c>
      <c r="N2" s="71" t="str">
        <f t="array" ref="N2">RTD("tickerplantrtdserver",,"FWRC1#JPYINR#Month End Rates#0#S#PillarDate14")</f>
        <v>30-Apr-2021</v>
      </c>
      <c r="O2" s="75" t="str">
        <f t="array" ref="O2">RTD("tickerplantrtdserver",,"FWRC1#JPYINR#Month End Rates#0#S#PillarDate15")</f>
        <v>31-May-2021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>
        <f>RTD("tickerplantrtdserver",,"FWRC1#JPYINR#Month End Rates#0#BidPrice2")/100</f>
        <v>1.054592</v>
      </c>
      <c r="D4" s="65">
        <f>RTD("tickerplantrtdserver",,"FWRC1#JPYINR#Month End Rates#0#BidPrice4")/100</f>
        <v>4.2375999999999996</v>
      </c>
      <c r="E4" s="65">
        <f>RTD("tickerplantrtdserver",,"FWRC1#JPYINR#Month End Rates#0#BidPrice5")/100</f>
        <v>27.968449999999997</v>
      </c>
      <c r="F4" s="65">
        <f>RTD("tickerplantrtdserver",,"FWRC1#JPYINR#Month End Rates#0#BidPrice6")/100</f>
        <v>53.894950000000001</v>
      </c>
      <c r="G4" s="65">
        <f>RTD("tickerplantrtdserver",,"FWRC1#JPYINR#Month End Rates#0#BidPrice7")/100</f>
        <v>78.766450000000006</v>
      </c>
      <c r="H4" s="65">
        <f>RTD("tickerplantrtdserver",,"FWRC1#JPYINR#Month End Rates#0#BidPrice8")/100</f>
        <v>103.63030000000001</v>
      </c>
      <c r="I4" s="65">
        <f>RTD("tickerplantrtdserver",,"FWRC1#JPYINR#Month End Rates#0#BidPrice9")/100</f>
        <v>129.62507500000001</v>
      </c>
      <c r="J4" s="65">
        <f>RTD("tickerplantrtdserver",,"FWRC1#JPYINR#Month End Rates#0#BidPrice10")/100</f>
        <v>164.90407500000001</v>
      </c>
      <c r="K4" s="65">
        <f>RTD("tickerplantrtdserver",,"FWRC1#JPYINR#Month End Rates#0#BidPrice11")/100</f>
        <v>189.55485000000002</v>
      </c>
      <c r="L4" s="65">
        <f>RTD("tickerplantrtdserver",,"FWRC1#JPYINR#Month End Rates#0#BidPrice12")/100</f>
        <v>214.717975</v>
      </c>
      <c r="M4" s="65">
        <f>RTD("tickerplantrtdserver",,"FWRC1#JPYINR#Month End Rates#0#BidPrice13")/100</f>
        <v>249.25470000000001</v>
      </c>
      <c r="N4" s="65">
        <f>RTD("tickerplantrtdserver",,"FWRC1#JPYINR#Month End Rates#0#BidPrice14")/100</f>
        <v>273.77659999999997</v>
      </c>
      <c r="O4" s="67">
        <f>RTD("tickerplantrtdserver",,"FWRC1#JPYINR#Month End Rates#0#BidPrice15")/100</f>
        <v>300.33960000000002</v>
      </c>
      <c r="P4" s="20"/>
    </row>
    <row r="5" spans="1:18" s="14" customFormat="1">
      <c r="A5" s="112" t="s">
        <v>48</v>
      </c>
      <c r="B5" s="113"/>
      <c r="C5" s="65">
        <f>RTD("tickerplantrtdserver",,"FWRC1#JPYINR#Month End Rates#0#AskPrice2")/100</f>
        <v>2.116727</v>
      </c>
      <c r="D5" s="65">
        <f>RTD("tickerplantrtdserver",,"FWRC1#JPYINR#Month End Rates#0#AskPrice4")/100</f>
        <v>4.5901749999999995</v>
      </c>
      <c r="E5" s="65">
        <f>RTD("tickerplantrtdserver",,"FWRC1#JPYINR#Month End Rates#0#AskPrice5")/100</f>
        <v>29.211750000000002</v>
      </c>
      <c r="F5" s="65">
        <f>RTD("tickerplantrtdserver",,"FWRC1#JPYINR#Month End Rates#0#AskPrice6")/100</f>
        <v>55.389200000000002</v>
      </c>
      <c r="G5" s="65">
        <f>RTD("tickerplantrtdserver",,"FWRC1#JPYINR#Month End Rates#0#AskPrice7")/100</f>
        <v>81.061075000000002</v>
      </c>
      <c r="H5" s="65">
        <f>RTD("tickerplantrtdserver",,"FWRC1#JPYINR#Month End Rates#0#AskPrice8")/100</f>
        <v>106.081175</v>
      </c>
      <c r="I5" s="65">
        <f>RTD("tickerplantrtdserver",,"FWRC1#JPYINR#Month End Rates#0#AskPrice9")/100</f>
        <v>131.98500000000001</v>
      </c>
      <c r="J5" s="65">
        <f>RTD("tickerplantrtdserver",,"FWRC1#JPYINR#Month End Rates#0#AskPrice10")/100</f>
        <v>167.78127499999999</v>
      </c>
      <c r="K5" s="65">
        <f>RTD("tickerplantrtdserver",,"FWRC1#JPYINR#Month End Rates#0#AskPrice11")/100</f>
        <v>192.53402500000001</v>
      </c>
      <c r="L5" s="65">
        <f>RTD("tickerplantrtdserver",,"FWRC1#JPYINR#Month End Rates#0#AskPrice12")/100</f>
        <v>217.4555</v>
      </c>
      <c r="M5" s="65">
        <f>RTD("tickerplantrtdserver",,"FWRC1#JPYINR#Month End Rates#0#AskPrice13")/100</f>
        <v>252.04425000000001</v>
      </c>
      <c r="N5" s="65">
        <f>RTD("tickerplantrtdserver",,"FWRC1#JPYINR#Month End Rates#0#AskPrice14")/100</f>
        <v>277.80080000000004</v>
      </c>
      <c r="O5" s="67">
        <f>RTD("tickerplantrtdserver",,"FWRC1#JPYINR#Month End Rates#0#AskPrice15")/100</f>
        <v>303.41742499999998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64">
        <f t="array" ref="C7">RTD("tickerplantrtdserver",,"FWRC1#JPYINR#Month End Rates#0#FwdOutrightBid1")</f>
        <v>71.063800000000001</v>
      </c>
      <c r="D7" s="64">
        <f t="array" ref="D7">RTD("tickerplantrtdserver",,"FWRC1#JPYINR#Month End Rates#0#FwdOutrightBid4")</f>
        <v>71.127399999999994</v>
      </c>
      <c r="E7" s="64">
        <f t="array" ref="E7">RTD("tickerplantrtdserver",,"FWRC1#JPYINR#Month End Rates#0#FwdOutrightBid5")</f>
        <v>71.364699999999999</v>
      </c>
      <c r="F7" s="64">
        <f t="array" ref="F7">RTD("tickerplantrtdserver",,"FWRC1#JPYINR#Month End Rates#0#FwdOutrightBid6")</f>
        <v>71.623900000000006</v>
      </c>
      <c r="G7" s="64">
        <f t="array" ref="G7">RTD("tickerplantrtdserver",,"FWRC1#JPYINR#Month End Rates#0#FwdOutrightBid7")</f>
        <v>71.872699999999995</v>
      </c>
      <c r="H7" s="64">
        <f t="array" ref="H7">RTD("tickerplantrtdserver",,"FWRC1#JPYINR#Month End Rates#0#FwdOutrightBid8")</f>
        <v>72.121300000000005</v>
      </c>
      <c r="I7" s="64">
        <f t="array" ref="I7">RTD("tickerplantrtdserver",,"FWRC1#JPYINR#Month End Rates#0#FwdOutrightBid9")</f>
        <v>72.381299999999996</v>
      </c>
      <c r="J7" s="64">
        <f t="array" ref="J7">RTD("tickerplantrtdserver",,"FWRC1#JPYINR#Month End Rates#0#FwdOutrightBid10")</f>
        <v>72.733999999999995</v>
      </c>
      <c r="K7" s="64">
        <f t="array" ref="K7">RTD("tickerplantrtdserver",,"FWRC1#JPYINR#Month End Rates#0#FwdOutrightBid11")</f>
        <v>72.980500000000006</v>
      </c>
      <c r="L7" s="64">
        <f t="array" ref="L7">RTD("tickerplantrtdserver",,"FWRC1#JPYINR#Month End Rates#0#FwdOutrightBid12")</f>
        <v>73.232200000000006</v>
      </c>
      <c r="M7" s="64">
        <f t="array" ref="M7">RTD("tickerplantrtdserver",,"FWRC1#JPYINR#Month End Rates#0#FwdOutrightBid13")</f>
        <v>73.577500000000001</v>
      </c>
      <c r="N7" s="64">
        <f t="array" ref="N7">RTD("tickerplantrtdserver",,"FWRC1#JPYINR#Month End Rates#0#FwdOutrightBid14")</f>
        <v>73.822800000000001</v>
      </c>
      <c r="O7" s="68">
        <f t="array" ref="O7">RTD("tickerplantrtdserver",,"FWRC1#JPYINR#Month End Rates#0#FwdOutrightBid15")</f>
        <v>74.088399999999993</v>
      </c>
      <c r="P7" s="20"/>
    </row>
    <row r="8" spans="1:18" s="14" customFormat="1">
      <c r="A8" s="112" t="s">
        <v>48</v>
      </c>
      <c r="B8" s="113"/>
      <c r="C8" s="64">
        <f t="array" ref="C8">RTD("tickerplantrtdserver",,"FWRC1#JPYINR#Month End Rates#0#FwdOutrightAsk1")</f>
        <v>71.109499999999997</v>
      </c>
      <c r="D8" s="64">
        <f t="array" ref="D8">RTD("tickerplantrtdserver",,"FWRC1#JPYINR#Month End Rates#0#FwdOutrightAsk4")</f>
        <v>71.165899999999993</v>
      </c>
      <c r="E8" s="64">
        <f t="array" ref="E8">RTD("tickerplantrtdserver",,"FWRC1#JPYINR#Month End Rates#0#FwdOutrightAsk5")</f>
        <v>71.412099999999995</v>
      </c>
      <c r="F8" s="64">
        <f t="array" ref="F8">RTD("tickerplantrtdserver",,"FWRC1#JPYINR#Month End Rates#0#FwdOutrightAsk6")</f>
        <v>71.673900000000003</v>
      </c>
      <c r="G8" s="64">
        <f t="array" ref="G8">RTD("tickerplantrtdserver",,"FWRC1#JPYINR#Month End Rates#0#FwdOutrightAsk7")</f>
        <v>71.930599999999998</v>
      </c>
      <c r="H8" s="64">
        <f t="array" ref="H8">RTD("tickerplantrtdserver",,"FWRC1#JPYINR#Month End Rates#0#FwdOutrightAsk8")</f>
        <v>72.180800000000005</v>
      </c>
      <c r="I8" s="64">
        <f t="array" ref="I8">RTD("tickerplantrtdserver",,"FWRC1#JPYINR#Month End Rates#0#FwdOutrightAsk9")</f>
        <v>72.439899999999994</v>
      </c>
      <c r="J8" s="64">
        <f t="array" ref="J8">RTD("tickerplantrtdserver",,"FWRC1#JPYINR#Month End Rates#0#FwdOutrightAsk10")</f>
        <v>72.797799999999995</v>
      </c>
      <c r="K8" s="64">
        <f t="array" ref="K8">RTD("tickerplantrtdserver",,"FWRC1#JPYINR#Month End Rates#0#FwdOutrightAsk11")</f>
        <v>73.045299999999997</v>
      </c>
      <c r="L8" s="64">
        <f t="array" ref="L8">RTD("tickerplantrtdserver",,"FWRC1#JPYINR#Month End Rates#0#FwdOutrightAsk12")</f>
        <v>73.294600000000003</v>
      </c>
      <c r="M8" s="64">
        <f t="array" ref="M8">RTD("tickerplantrtdserver",,"FWRC1#JPYINR#Month End Rates#0#FwdOutrightAsk13")</f>
        <v>73.6404</v>
      </c>
      <c r="N8" s="64">
        <f t="array" ref="N8">RTD("tickerplantrtdserver",,"FWRC1#JPYINR#Month End Rates#0#FwdOutrightAsk14")</f>
        <v>73.897999999999996</v>
      </c>
      <c r="O8" s="68">
        <f t="array" ref="O8">RTD("tickerplantrtdserver",,"FWRC1#JPYINR#Month End Rates#0#FwdOutrightAsk15")</f>
        <v>74.154200000000003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>
        <f t="array" ref="C10">RTD("tickerplantrtdserver",,"FWRC1#JPYINR#Month End Rates#0#Bid%2")</f>
        <v>2.7061999999999999</v>
      </c>
      <c r="D10" s="65">
        <f t="array" ref="D10">RTD("tickerplantrtdserver",,"FWRC1#JPYINR#Month End Rates#0#Bid%4")</f>
        <v>3.6246999999999998</v>
      </c>
      <c r="E10" s="65">
        <f t="array" ref="E10">RTD("tickerplantrtdserver",,"FWRC1#JPYINR#Month End Rates#0#Bid%5")</f>
        <v>3.8794</v>
      </c>
      <c r="F10" s="65">
        <f t="array" ref="F10">RTD("tickerplantrtdserver",,"FWRC1#JPYINR#Month End Rates#0#Bid%6")</f>
        <v>4.0675999999999997</v>
      </c>
      <c r="G10" s="65">
        <f t="array" ref="G10">RTD("tickerplantrtdserver",,"FWRC1#JPYINR#Month End Rates#0#Bid%7")</f>
        <v>4.1249000000000002</v>
      </c>
      <c r="H10" s="65">
        <f t="array" ref="H10">RTD("tickerplantrtdserver",,"FWRC1#JPYINR#Month End Rates#0#Bid%8")</f>
        <v>4.1878000000000002</v>
      </c>
      <c r="I10" s="65">
        <f t="array" ref="I10">RTD("tickerplantrtdserver",,"FWRC1#JPYINR#Month End Rates#0#Bid%9")</f>
        <v>4.2645</v>
      </c>
      <c r="J10" s="65">
        <f t="array" ref="J10">RTD("tickerplantrtdserver",,"FWRC1#JPYINR#Month End Rates#0#Bid%10")</f>
        <v>4.4542999999999999</v>
      </c>
      <c r="K10" s="65">
        <f t="array" ref="K10">RTD("tickerplantrtdserver",,"FWRC1#JPYINR#Month End Rates#0#Bid%11")</f>
        <v>4.4420999999999999</v>
      </c>
      <c r="L10" s="65">
        <f t="array" ref="L10">RTD("tickerplantrtdserver",,"FWRC1#JPYINR#Month End Rates#0#Bid%12")</f>
        <v>4.4614000000000003</v>
      </c>
      <c r="M10" s="65">
        <f t="array" ref="M10">RTD("tickerplantrtdserver",,"FWRC1#JPYINR#Month End Rates#0#Bid%13")</f>
        <v>4.5686</v>
      </c>
      <c r="N10" s="65">
        <f t="array" ref="N10">RTD("tickerplantrtdserver",,"FWRC1#JPYINR#Month End Rates#0#Bid%14")</f>
        <v>4.5324999999999998</v>
      </c>
      <c r="O10" s="67">
        <f t="array" ref="O10">RTD("tickerplantrtdserver",,"FWRC1#JPYINR#Month End Rates#0#Bid%15")</f>
        <v>4.5202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RTD("tickerplantrtdserver",,"FWRC1#JPYINR#Month End Rates#0#Ask%2")</f>
        <v>5.4344000000000001</v>
      </c>
      <c r="D11" s="69">
        <f t="array" ref="D11">RTD("tickerplantrtdserver",,"FWRC1#JPYINR#Month End Rates#0#Ask%4")</f>
        <v>3.9281999999999999</v>
      </c>
      <c r="E11" s="69">
        <f t="array" ref="E11">RTD("tickerplantrtdserver",,"FWRC1#JPYINR#Month End Rates#0#Ask%5")</f>
        <v>4.0538999999999996</v>
      </c>
      <c r="F11" s="69">
        <f t="array" ref="F11">RTD("tickerplantrtdserver",,"FWRC1#JPYINR#Month End Rates#0#Ask%6")</f>
        <v>4.1825000000000001</v>
      </c>
      <c r="G11" s="69">
        <f t="array" ref="G11">RTD("tickerplantrtdserver",,"FWRC1#JPYINR#Month End Rates#0#Ask%7")</f>
        <v>4.2472000000000003</v>
      </c>
      <c r="H11" s="69">
        <f t="array" ref="H11">RTD("tickerplantrtdserver",,"FWRC1#JPYINR#Month End Rates#0#Ask%8")</f>
        <v>4.2888999999999999</v>
      </c>
      <c r="I11" s="69">
        <f t="array" ref="I11">RTD("tickerplantrtdserver",,"FWRC1#JPYINR#Month End Rates#0#Ask%9")</f>
        <v>4.3442999999999996</v>
      </c>
      <c r="J11" s="69">
        <f t="array" ref="J11">RTD("tickerplantrtdserver",,"FWRC1#JPYINR#Month End Rates#0#Ask%10")</f>
        <v>4.5342000000000002</v>
      </c>
      <c r="K11" s="69">
        <f t="array" ref="K11">RTD("tickerplantrtdserver",,"FWRC1#JPYINR#Month End Rates#0#Ask%11")</f>
        <v>4.5141999999999998</v>
      </c>
      <c r="L11" s="69">
        <f t="array" ref="L11">RTD("tickerplantrtdserver",,"FWRC1#JPYINR#Month End Rates#0#Ask%12")</f>
        <v>4.5205000000000002</v>
      </c>
      <c r="M11" s="69">
        <f t="array" ref="M11">RTD("tickerplantrtdserver",,"FWRC1#JPYINR#Month End Rates#0#Ask%13")</f>
        <v>4.6219999999999999</v>
      </c>
      <c r="N11" s="69">
        <f t="array" ref="N11">RTD("tickerplantrtdserver",,"FWRC1#JPYINR#Month End Rates#0#Ask%14")</f>
        <v>4.6013999999999999</v>
      </c>
      <c r="O11" s="70">
        <f t="array" ref="O11">RTD("tickerplantrtdserver",,"FWRC1#JPYINR#Month End Rates#0#Ask%15")</f>
        <v>4.5688000000000004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58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14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14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14" customForma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14" customForma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14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14" customForma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2" customForma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6" spans="1:2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sqref="A1:B1"/>
    </sheetView>
  </sheetViews>
  <sheetFormatPr defaultRowHeight="15"/>
  <cols>
    <col min="4" max="4" width="9.28515625" bestFit="1" customWidth="1"/>
    <col min="5" max="5" width="9" bestFit="1" customWidth="1"/>
    <col min="6" max="6" width="9.42578125" bestFit="1" customWidth="1"/>
    <col min="7" max="7" width="9" bestFit="1" customWidth="1"/>
    <col min="8" max="8" width="9.28515625" bestFit="1" customWidth="1"/>
    <col min="9" max="9" width="9.42578125" bestFit="1" customWidth="1"/>
    <col min="10" max="10" width="9.28515625" bestFit="1" customWidth="1"/>
    <col min="11" max="11" width="9.140625" bestFit="1" customWidth="1"/>
    <col min="12" max="12" width="9" bestFit="1" customWidth="1"/>
    <col min="13" max="13" width="9.7109375" bestFit="1" customWidth="1"/>
    <col min="14" max="14" width="9.28515625" bestFit="1" customWidth="1"/>
    <col min="15" max="15" width="9.4257812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RTD("tickerplantrtdserver",,"FWRC1#EURUSD#Month Wise Rates#0#S#Desc.2")</f>
        <v>TN</v>
      </c>
      <c r="D1" s="76" t="str">
        <f t="array" ref="D1">RTD("tickerplantrtdserver",,"FWRC1#EURUSD#Month Wise Rates#0#S#Desc.7")</f>
        <v>1M</v>
      </c>
      <c r="E1" s="76" t="str">
        <f t="array" ref="E1">RTD("tickerplantrtdserver",,"FWRC1#EURUSD#Month Wise Rates#0#S#Desc.8")</f>
        <v>2M</v>
      </c>
      <c r="F1" s="76" t="str">
        <f t="array" ref="F1">RTD("tickerplantrtdserver",,"FWRC1#EURUSD#Month Wise Rates#0#S#Desc.9")</f>
        <v>3M</v>
      </c>
      <c r="G1" s="76" t="str">
        <f t="array" ref="G1">RTD("tickerplantrtdserver",,"FWRC1#EURUSD#Month Wise Rates#0#S#Desc.10")</f>
        <v>4M</v>
      </c>
      <c r="H1" s="76" t="str">
        <f t="array" ref="H1">RTD("tickerplantrtdserver",,"FWRC1#EURUSD#Month Wise Rates#0#S#Desc.11")</f>
        <v>5M</v>
      </c>
      <c r="I1" s="76" t="str">
        <f t="array" ref="I1">RTD("tickerplantrtdserver",,"FWRC1#EURUSD#Month Wise Rates#0#S#Desc.12")</f>
        <v>6M</v>
      </c>
      <c r="J1" s="76" t="str">
        <f t="array" ref="J1">RTD("tickerplantrtdserver",,"FWRC1#EURUSD#Month Wise Rates#0#S#Desc.13")</f>
        <v>7M</v>
      </c>
      <c r="K1" s="76" t="str">
        <f t="array" ref="K1">RTD("tickerplantrtdserver",,"FWRC1#EURUSD#Month Wise Rates#0#S#Desc.14")</f>
        <v>8M</v>
      </c>
      <c r="L1" s="76" t="str">
        <f t="array" ref="L1">RTD("tickerplantrtdserver",,"FWRC1#EURUSD#Month Wise Rates#0#S#Desc.15")</f>
        <v>9M</v>
      </c>
      <c r="M1" s="76" t="str">
        <f t="array" ref="M1">RTD("tickerplantrtdserver",,"FWRC1#EURUSD#Month Wise Rates#0#S#Desc.16")</f>
        <v>10M</v>
      </c>
      <c r="N1" s="76" t="str">
        <f t="array" ref="N1">RTD("tickerplantrtdserver",,"FWRC1#EURUSD#Month Wise Rates#0#S#Desc.17")</f>
        <v>11M</v>
      </c>
      <c r="O1" s="77" t="str">
        <f t="array" ref="O1">RTD("tickerplantrtdserver",,"FWRC1#EURUSD#Month Wise Rates#0#S#Desc.18")</f>
        <v>12M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RTD("tickerplantrtdserver",,"FWRC1#EURUSD#Month Wise Rates#0#S#PillarDate2")</f>
        <v>24-Jun-2020</v>
      </c>
      <c r="D2" s="71" t="str">
        <f t="array" ref="D2">RTD("tickerplantrtdserver",,"FWRC1#EURUSD#Month Wise Rates#0#S#PillarDate7")</f>
        <v>24-Jul-2020</v>
      </c>
      <c r="E2" s="71" t="str">
        <f t="array" ref="E2">RTD("tickerplantrtdserver",,"FWRC1#EURUSD#Month Wise Rates#0#S#PillarDate8")</f>
        <v>24-Aug-2020</v>
      </c>
      <c r="F2" s="71" t="str">
        <f t="array" ref="F2">RTD("tickerplantrtdserver",,"FWRC1#EURUSD#Month Wise Rates#0#S#PillarDate9")</f>
        <v>24-Sep-2020</v>
      </c>
      <c r="G2" s="71" t="str">
        <f t="array" ref="G2">RTD("tickerplantrtdserver",,"FWRC1#EURUSD#Month Wise Rates#0#S#PillarDate10")</f>
        <v>26-Oct-2020</v>
      </c>
      <c r="H2" s="71" t="str">
        <f t="array" ref="H2">RTD("tickerplantrtdserver",,"FWRC1#EURUSD#Month Wise Rates#0#S#PillarDate11")</f>
        <v>24-Nov-2020</v>
      </c>
      <c r="I2" s="71" t="str">
        <f t="array" ref="I2">RTD("tickerplantrtdserver",,"FWRC1#EURUSD#Month Wise Rates#0#S#PillarDate12")</f>
        <v>24-Dec-2020</v>
      </c>
      <c r="J2" s="71" t="str">
        <f t="array" ref="J2">RTD("tickerplantrtdserver",,"FWRC1#EURUSD#Month Wise Rates#0#S#PillarDate13")</f>
        <v>25-Jan-2021</v>
      </c>
      <c r="K2" s="71" t="str">
        <f t="array" ref="K2">RTD("tickerplantrtdserver",,"FWRC1#EURUSD#Month Wise Rates#0#S#PillarDate14")</f>
        <v>24-Feb-2021</v>
      </c>
      <c r="L2" s="71" t="str">
        <f t="array" ref="L2">RTD("tickerplantrtdserver",,"FWRC1#EURUSD#Month Wise Rates#0#S#PillarDate15")</f>
        <v>24-Mar-2021</v>
      </c>
      <c r="M2" s="71" t="str">
        <f t="array" ref="M2">RTD("tickerplantrtdserver",,"FWRC1#EURUSD#Month Wise Rates#0#S#PillarDate16")</f>
        <v>26-Apr-2021</v>
      </c>
      <c r="N2" s="71" t="str">
        <f t="array" ref="N2">RTD("tickerplantrtdserver",,"FWRC1#EURUSD#Month Wise Rates#0#S#PillarDate17")</f>
        <v>24-May-2021</v>
      </c>
      <c r="O2" s="75" t="str">
        <f t="array" ref="O2">RTD("tickerplantrtdserver",,"FWRC1#EURUSD#Month Wise Rates#0#S#PillarDate18")</f>
        <v>24-Jun-2021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>
        <f t="array" ref="C4">RTD("tickerplantrtdserver",,"FWRC1#EURUSD#Month Wise Rates#0#BidPrice2")</f>
        <v>0.17399999999999999</v>
      </c>
      <c r="D4" s="65">
        <f t="array" ref="D4">RTD("tickerplantrtdserver",,"FWRC1#EURUSD#Month Wise Rates#0#BidPrice7")</f>
        <v>7.75</v>
      </c>
      <c r="E4" s="65">
        <f t="array" ref="E4">RTD("tickerplantrtdserver",,"FWRC1#EURUSD#Month Wise Rates#0#BidPrice8")</f>
        <v>15.71</v>
      </c>
      <c r="F4" s="65">
        <f t="array" ref="F4">RTD("tickerplantrtdserver",,"FWRC1#EURUSD#Month Wise Rates#0#BidPrice9")</f>
        <v>23.85</v>
      </c>
      <c r="G4" s="65">
        <f t="array" ref="G4">RTD("tickerplantrtdserver",,"FWRC1#EURUSD#Month Wise Rates#0#BidPrice10")</f>
        <v>32.29</v>
      </c>
      <c r="H4" s="65">
        <f t="array" ref="H4">RTD("tickerplantrtdserver",,"FWRC1#EURUSD#Month Wise Rates#0#BidPrice11")</f>
        <v>39.630000000000003</v>
      </c>
      <c r="I4" s="65">
        <f t="array" ref="I4">RTD("tickerplantrtdserver",,"FWRC1#EURUSD#Month Wise Rates#0#BidPrice12")</f>
        <v>47.54</v>
      </c>
      <c r="J4" s="65">
        <f t="array" ref="J4">RTD("tickerplantrtdserver",,"FWRC1#EURUSD#Month Wise Rates#0#BidPrice13")</f>
        <v>60.36</v>
      </c>
      <c r="K4" s="65">
        <f t="array" ref="K4">RTD("tickerplantrtdserver",,"FWRC1#EURUSD#Month Wise Rates#0#BidPrice14")</f>
        <v>67.959999999999994</v>
      </c>
      <c r="L4" s="65">
        <f t="array" ref="L4">RTD("tickerplantrtdserver",,"FWRC1#EURUSD#Month Wise Rates#0#BidPrice15")</f>
        <v>75.06</v>
      </c>
      <c r="M4" s="65">
        <f t="array" ref="M4">RTD("tickerplantrtdserver",,"FWRC1#EURUSD#Month Wise Rates#0#BidPrice16")</f>
        <v>84.01</v>
      </c>
      <c r="N4" s="65">
        <f t="array" ref="N4">RTD("tickerplantrtdserver",,"FWRC1#EURUSD#Month Wise Rates#0#BidPrice17")</f>
        <v>91.34</v>
      </c>
      <c r="O4" s="67">
        <f t="array" ref="O4">RTD("tickerplantrtdserver",,"FWRC1#EURUSD#Month Wise Rates#0#BidPrice18")</f>
        <v>98.46</v>
      </c>
      <c r="P4" s="20"/>
    </row>
    <row r="5" spans="1:18" s="14" customFormat="1">
      <c r="A5" s="112" t="s">
        <v>48</v>
      </c>
      <c r="B5" s="113"/>
      <c r="C5" s="65">
        <f t="array" ref="C5">RTD("tickerplantrtdserver",,"FWRC1#EURUSD#Month Wise Rates#0#AskPrice2")</f>
        <v>0.254</v>
      </c>
      <c r="D5" s="65">
        <f t="array" ref="D5">RTD("tickerplantrtdserver",,"FWRC1#EURUSD#Month Wise Rates#0#AskPrice7")</f>
        <v>7.95</v>
      </c>
      <c r="E5" s="65">
        <f t="array" ref="E5">RTD("tickerplantrtdserver",,"FWRC1#EURUSD#Month Wise Rates#0#AskPrice8")</f>
        <v>15.97</v>
      </c>
      <c r="F5" s="65">
        <f t="array" ref="F5">RTD("tickerplantrtdserver",,"FWRC1#EURUSD#Month Wise Rates#0#AskPrice9")</f>
        <v>24.1</v>
      </c>
      <c r="G5" s="65">
        <f t="array" ref="G5">RTD("tickerplantrtdserver",,"FWRC1#EURUSD#Month Wise Rates#0#AskPrice10")</f>
        <v>32.83</v>
      </c>
      <c r="H5" s="65">
        <f t="array" ref="H5">RTD("tickerplantrtdserver",,"FWRC1#EURUSD#Month Wise Rates#0#AskPrice11")</f>
        <v>40.369999999999997</v>
      </c>
      <c r="I5" s="65">
        <f t="array" ref="I5">RTD("tickerplantrtdserver",,"FWRC1#EURUSD#Month Wise Rates#0#AskPrice12")</f>
        <v>48.34</v>
      </c>
      <c r="J5" s="65">
        <f t="array" ref="J5">RTD("tickerplantrtdserver",,"FWRC1#EURUSD#Month Wise Rates#0#AskPrice13")</f>
        <v>63.86</v>
      </c>
      <c r="K5" s="65">
        <f t="array" ref="K5">RTD("tickerplantrtdserver",,"FWRC1#EURUSD#Month Wise Rates#0#AskPrice14")</f>
        <v>70.16</v>
      </c>
      <c r="L5" s="65">
        <f t="array" ref="L5">RTD("tickerplantrtdserver",,"FWRC1#EURUSD#Month Wise Rates#0#AskPrice15")</f>
        <v>77.56</v>
      </c>
      <c r="M5" s="65">
        <f t="array" ref="M5">RTD("tickerplantrtdserver",,"FWRC1#EURUSD#Month Wise Rates#0#AskPrice16")</f>
        <v>89.01</v>
      </c>
      <c r="N5" s="65">
        <f t="array" ref="N5">RTD("tickerplantrtdserver",,"FWRC1#EURUSD#Month Wise Rates#0#AskPrice17")</f>
        <v>96.84</v>
      </c>
      <c r="O5" s="67">
        <f t="array" ref="O5">RTD("tickerplantrtdserver",,"FWRC1#EURUSD#Month Wise Rates#0#AskPrice18")</f>
        <v>101.36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64">
        <f t="array" ref="C7">RTD("tickerplantrtdserver",,"FWRC1#EURUSD#Month Wise Rates#0#FwdOutrightBid2")</f>
        <v>1.1263000000000001</v>
      </c>
      <c r="D7" s="64">
        <f t="array" ref="D7">RTD("tickerplantrtdserver",,"FWRC1#EURUSD#Month Wise Rates#0#FwdOutrightBid7")</f>
        <v>1.1268</v>
      </c>
      <c r="E7" s="64">
        <f t="array" ref="E7">RTD("tickerplantrtdserver",,"FWRC1#EURUSD#Month Wise Rates#0#FwdOutrightBid8")</f>
        <v>1.1274999999999999</v>
      </c>
      <c r="F7" s="64">
        <f t="array" ref="F7">RTD("tickerplantrtdserver",,"FWRC1#EURUSD#Month Wise Rates#0#FwdOutrightBid9")</f>
        <v>1.1284000000000001</v>
      </c>
      <c r="G7" s="64">
        <f t="array" ref="G7">RTD("tickerplantrtdserver",,"FWRC1#EURUSD#Month Wise Rates#0#FwdOutrightBid10")</f>
        <v>1.1293</v>
      </c>
      <c r="H7" s="64">
        <f t="array" ref="H7">RTD("tickerplantrtdserver",,"FWRC1#EURUSD#Month Wise Rates#0#FwdOutrightBid11")</f>
        <v>1.1299999999999999</v>
      </c>
      <c r="I7" s="64">
        <f t="array" ref="I7">RTD("tickerplantrtdserver",,"FWRC1#EURUSD#Month Wise Rates#0#FwdOutrightBid12")</f>
        <v>1.1308</v>
      </c>
      <c r="J7" s="64">
        <f t="array" ref="J7">RTD("tickerplantrtdserver",,"FWRC1#EURUSD#Month Wise Rates#0#FwdOutrightBid13")</f>
        <v>1.1321000000000001</v>
      </c>
      <c r="K7" s="64">
        <f t="array" ref="K7">RTD("tickerplantrtdserver",,"FWRC1#EURUSD#Month Wise Rates#0#FwdOutrightBid14")</f>
        <v>1.1328</v>
      </c>
      <c r="L7" s="64">
        <f t="array" ref="L7">RTD("tickerplantrtdserver",,"FWRC1#EURUSD#Month Wise Rates#0#FwdOutrightBid15")</f>
        <v>1.1335</v>
      </c>
      <c r="M7" s="64">
        <f t="array" ref="M7">RTD("tickerplantrtdserver",,"FWRC1#EURUSD#Month Wise Rates#0#FwdOutrightBid16")</f>
        <v>1.1344000000000001</v>
      </c>
      <c r="N7" s="64">
        <f t="array" ref="N7">RTD("tickerplantrtdserver",,"FWRC1#EURUSD#Month Wise Rates#0#FwdOutrightBid17")</f>
        <v>1.1352</v>
      </c>
      <c r="O7" s="68">
        <f t="array" ref="O7">RTD("tickerplantrtdserver",,"FWRC1#EURUSD#Month Wise Rates#0#FwdOutrightBid18")</f>
        <v>1.1358999999999999</v>
      </c>
      <c r="P7" s="20"/>
    </row>
    <row r="8" spans="1:18" s="14" customFormat="1">
      <c r="A8" s="112" t="s">
        <v>48</v>
      </c>
      <c r="B8" s="113"/>
      <c r="C8" s="64">
        <f t="array" ref="C8">RTD("tickerplantrtdserver",,"FWRC1#EURUSD#Month Wise Rates#0#FwdOutrightAsk2")</f>
        <v>1.1264000000000001</v>
      </c>
      <c r="D8" s="64">
        <f t="array" ref="D8">RTD("tickerplantrtdserver",,"FWRC1#EURUSD#Month Wise Rates#0#FwdOutrightAsk7")</f>
        <v>1.1269</v>
      </c>
      <c r="E8" s="64">
        <f t="array" ref="E8">RTD("tickerplantrtdserver",,"FWRC1#EURUSD#Month Wise Rates#0#FwdOutrightAsk8")</f>
        <v>1.1278999999999999</v>
      </c>
      <c r="F8" s="64">
        <f t="array" ref="F8">RTD("tickerplantrtdserver",,"FWRC1#EURUSD#Month Wise Rates#0#FwdOutrightAsk9")</f>
        <v>1.1285000000000001</v>
      </c>
      <c r="G8" s="64">
        <f t="array" ref="G8">RTD("tickerplantrtdserver",,"FWRC1#EURUSD#Month Wise Rates#0#FwdOutrightAsk10")</f>
        <v>1.1294</v>
      </c>
      <c r="H8" s="64">
        <f t="array" ref="H8">RTD("tickerplantrtdserver",,"FWRC1#EURUSD#Month Wise Rates#0#FwdOutrightAsk11")</f>
        <v>1.1301000000000001</v>
      </c>
      <c r="I8" s="64">
        <f t="array" ref="I8">RTD("tickerplantrtdserver",,"FWRC1#EURUSD#Month Wise Rates#0#FwdOutrightAsk12")</f>
        <v>1.1309</v>
      </c>
      <c r="J8" s="64">
        <f t="array" ref="J8">RTD("tickerplantrtdserver",,"FWRC1#EURUSD#Month Wise Rates#0#FwdOutrightAsk13")</f>
        <v>1.1324000000000001</v>
      </c>
      <c r="K8" s="64">
        <f t="array" ref="K8">RTD("tickerplantrtdserver",,"FWRC1#EURUSD#Month Wise Rates#0#FwdOutrightAsk14")</f>
        <v>1.1331</v>
      </c>
      <c r="L8" s="64">
        <f t="array" ref="L8">RTD("tickerplantrtdserver",,"FWRC1#EURUSD#Month Wise Rates#0#FwdOutrightAsk15")</f>
        <v>1.1337999999999999</v>
      </c>
      <c r="M8" s="64">
        <f t="array" ref="M8">RTD("tickerplantrtdserver",,"FWRC1#EURUSD#Month Wise Rates#0#FwdOutrightAsk16")</f>
        <v>1.135</v>
      </c>
      <c r="N8" s="64">
        <f t="array" ref="N8">RTD("tickerplantrtdserver",,"FWRC1#EURUSD#Month Wise Rates#0#FwdOutrightAsk17")</f>
        <v>1.1356999999999999</v>
      </c>
      <c r="O8" s="68">
        <f t="array" ref="O8">RTD("tickerplantrtdserver",,"FWRC1#EURUSD#Month Wise Rates#0#FwdOutrightAsk18")</f>
        <v>1.1362000000000001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>
        <f>RTD("tickerplantrtdserver",,"FWRC1#EURUSD#Month Wise Rates#0#Bid%2")</f>
        <v>0.56379999999999997</v>
      </c>
      <c r="D10" s="65">
        <f t="array" ref="D10">RTD("tickerplantrtdserver",,"FWRC1#EURUSD#Month Wise Rates#0#Bid%7")</f>
        <v>0.83730000000000004</v>
      </c>
      <c r="E10" s="65">
        <f t="array" ref="E10">RTD("tickerplantrtdserver",,"FWRC1#EURUSD#Month Wise Rates#0#Bid%8")</f>
        <v>0.83460000000000001</v>
      </c>
      <c r="F10" s="65">
        <f t="array" ref="F10">RTD("tickerplantrtdserver",,"FWRC1#EURUSD#Month Wise Rates#0#Bid%9")</f>
        <v>0.84030000000000005</v>
      </c>
      <c r="G10" s="65">
        <f t="array" ref="G10">RTD("tickerplantrtdserver",,"FWRC1#EURUSD#Month Wise Rates#0#Bid%10")</f>
        <v>0.84409999999999996</v>
      </c>
      <c r="H10" s="65">
        <f t="array" ref="H10">RTD("tickerplantrtdserver",,"FWRC1#EURUSD#Month Wise Rates#0#Bid%11")</f>
        <v>0.83960000000000001</v>
      </c>
      <c r="I10" s="65">
        <f t="array" ref="I10">RTD("tickerplantrtdserver",,"FWRC1#EURUSD#Month Wise Rates#0#Bid%12")</f>
        <v>0.84209999999999996</v>
      </c>
      <c r="J10" s="65">
        <f t="array" ref="J10">RTD("tickerplantrtdserver",,"FWRC1#EURUSD#Month Wise Rates#0#Bid%13")</f>
        <v>0.91</v>
      </c>
      <c r="K10" s="65">
        <f t="array" ref="K10">RTD("tickerplantrtdserver",,"FWRC1#EURUSD#Month Wise Rates#0#Bid%14")</f>
        <v>0.89910000000000001</v>
      </c>
      <c r="L10" s="65">
        <f t="array" ref="L10">RTD("tickerplantrtdserver",,"FWRC1#EURUSD#Month Wise Rates#0#Bid%15")</f>
        <v>0.89119999999999999</v>
      </c>
      <c r="M10" s="65">
        <f t="array" ref="M10">RTD("tickerplantrtdserver",,"FWRC1#EURUSD#Month Wise Rates#0#Bid%16")</f>
        <v>0.88990000000000002</v>
      </c>
      <c r="N10" s="65">
        <f t="array" ref="N10">RTD("tickerplantrtdserver",,"FWRC1#EURUSD#Month Wise Rates#0#Bid%17")</f>
        <v>0.88639999999999997</v>
      </c>
      <c r="O10" s="67">
        <f t="array" ref="O10">RTD("tickerplantrtdserver",,"FWRC1#EURUSD#Month Wise Rates#0#Bid%18")</f>
        <v>0.87439999999999996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RTD("tickerplantrtdserver",,"FWRC1#EURUSD#Month Wise Rates#0#Ask%2")</f>
        <v>0.82310000000000005</v>
      </c>
      <c r="D11" s="69">
        <f t="array" ref="D11">RTD("tickerplantrtdserver",,"FWRC1#EURUSD#Month Wise Rates#0#Ask%7")</f>
        <v>0.85899999999999999</v>
      </c>
      <c r="E11" s="69">
        <f t="array" ref="E11">RTD("tickerplantrtdserver",,"FWRC1#EURUSD#Month Wise Rates#0#Ask%8")</f>
        <v>0.84870000000000001</v>
      </c>
      <c r="F11" s="69">
        <f t="array" ref="F11">RTD("tickerplantrtdserver",,"FWRC1#EURUSD#Month Wise Rates#0#Ask%9")</f>
        <v>0.84919999999999995</v>
      </c>
      <c r="G11" s="69">
        <f t="array" ref="G11">RTD("tickerplantrtdserver",,"FWRC1#EURUSD#Month Wise Rates#0#Ask%10")</f>
        <v>0.85819999999999996</v>
      </c>
      <c r="H11" s="69">
        <f t="array" ref="H11">RTD("tickerplantrtdserver",,"FWRC1#EURUSD#Month Wise Rates#0#Ask%11")</f>
        <v>0.85529999999999995</v>
      </c>
      <c r="I11" s="69">
        <f t="array" ref="I11">RTD("tickerplantrtdserver",,"FWRC1#EURUSD#Month Wise Rates#0#Ask%12")</f>
        <v>0.85619999999999996</v>
      </c>
      <c r="J11" s="69">
        <f t="array" ref="J11">RTD("tickerplantrtdserver",,"FWRC1#EURUSD#Month Wise Rates#0#Ask%13")</f>
        <v>0.96279999999999999</v>
      </c>
      <c r="K11" s="69">
        <f t="array" ref="K11">RTD("tickerplantrtdserver",,"FWRC1#EURUSD#Month Wise Rates#0#Ask%14")</f>
        <v>0.92820000000000003</v>
      </c>
      <c r="L11" s="69">
        <f t="array" ref="L11">RTD("tickerplantrtdserver",,"FWRC1#EURUSD#Month Wise Rates#0#Ask%15")</f>
        <v>0.92090000000000005</v>
      </c>
      <c r="M11" s="69">
        <f t="array" ref="M11">RTD("tickerplantrtdserver",,"FWRC1#EURUSD#Month Wise Rates#0#Ask%16")</f>
        <v>0.94289999999999996</v>
      </c>
      <c r="N11" s="69">
        <f t="array" ref="N11">RTD("tickerplantrtdserver",,"FWRC1#EURUSD#Month Wise Rates#0#Ask%17")</f>
        <v>0.93979999999999997</v>
      </c>
      <c r="O11" s="70">
        <f t="array" ref="O11">RTD("tickerplantrtdserver",,"FWRC1#EURUSD#Month Wise Rates#0#Ask%18")</f>
        <v>0.90010000000000001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58"/>
      <c r="E14" s="21"/>
      <c r="F14" s="33"/>
      <c r="G14" s="34"/>
      <c r="H14" s="34"/>
      <c r="I14" s="34"/>
      <c r="J14" s="21"/>
      <c r="L14" s="58"/>
      <c r="M14" s="58"/>
      <c r="N14" s="58"/>
      <c r="P14" s="31"/>
      <c r="Q14" s="31"/>
      <c r="R14" s="31"/>
    </row>
    <row r="15" spans="1:18" s="14" customFormat="1">
      <c r="A15" s="13"/>
      <c r="B15" s="21"/>
      <c r="C15" s="21"/>
      <c r="D15" s="58"/>
      <c r="E15" s="58"/>
      <c r="G15" s="13"/>
      <c r="H15" s="58"/>
      <c r="I15" s="58"/>
      <c r="J15" s="58"/>
      <c r="L15" s="15"/>
      <c r="M15" s="15"/>
      <c r="N15" s="15"/>
      <c r="P15" s="15"/>
      <c r="Q15" s="15"/>
      <c r="R15" s="15"/>
    </row>
    <row r="16" spans="1:18" s="14" customFormat="1">
      <c r="A16" s="15"/>
      <c r="B16" s="21"/>
      <c r="C16" s="21"/>
      <c r="D16" s="58"/>
      <c r="E16" s="58"/>
      <c r="G16" s="15"/>
      <c r="H16" s="58"/>
      <c r="I16" s="58"/>
      <c r="J16" s="58"/>
      <c r="L16" s="13"/>
      <c r="P16" s="13"/>
    </row>
    <row r="17" spans="1:20" s="14" customFormat="1">
      <c r="A17" s="13"/>
      <c r="B17" s="21"/>
      <c r="C17" s="21"/>
      <c r="D17" s="58"/>
      <c r="E17" s="58"/>
      <c r="G17" s="13"/>
      <c r="H17" s="58"/>
      <c r="I17" s="58"/>
      <c r="J17" s="58"/>
      <c r="L17" s="15"/>
      <c r="M17" s="15"/>
      <c r="N17" s="15"/>
      <c r="P17" s="15"/>
      <c r="Q17" s="15"/>
      <c r="R17" s="15"/>
    </row>
    <row r="18" spans="1:20" s="14" customFormat="1">
      <c r="A18" s="15"/>
      <c r="B18" s="21"/>
      <c r="C18" s="21"/>
      <c r="D18" s="58"/>
      <c r="E18" s="58"/>
      <c r="G18" s="15"/>
      <c r="H18" s="58"/>
      <c r="I18" s="58"/>
      <c r="J18" s="58"/>
      <c r="L18" s="13"/>
      <c r="P18" s="13"/>
    </row>
    <row r="19" spans="1:20" s="14" customFormat="1">
      <c r="A19" s="13"/>
      <c r="B19" s="21"/>
      <c r="C19" s="21"/>
      <c r="D19" s="58"/>
      <c r="E19" s="58"/>
      <c r="G19" s="13"/>
      <c r="H19" s="58"/>
      <c r="I19" s="58"/>
      <c r="J19" s="58"/>
      <c r="L19" s="15"/>
      <c r="M19" s="15"/>
      <c r="N19" s="15"/>
      <c r="P19" s="15"/>
      <c r="Q19" s="15"/>
      <c r="R19" s="15"/>
    </row>
    <row r="20" spans="1:20" s="14" customFormat="1">
      <c r="A20" s="15"/>
      <c r="B20" s="21"/>
      <c r="C20" s="21"/>
      <c r="D20" s="58"/>
      <c r="E20" s="58"/>
      <c r="G20" s="15"/>
      <c r="H20" s="58"/>
      <c r="I20" s="58"/>
      <c r="J20" s="58"/>
      <c r="L20" s="13"/>
      <c r="P20" s="13"/>
    </row>
    <row r="21" spans="1:20">
      <c r="A21" s="13"/>
      <c r="B21" s="21"/>
      <c r="C21" s="21"/>
      <c r="D21" s="58"/>
      <c r="E21" s="58"/>
      <c r="F21" s="14"/>
      <c r="G21" s="13"/>
      <c r="H21" s="58"/>
      <c r="I21" s="58"/>
      <c r="J21" s="58"/>
      <c r="K21" s="14"/>
      <c r="L21" s="15"/>
      <c r="M21" s="15"/>
      <c r="N21" s="15"/>
      <c r="O21" s="14"/>
      <c r="P21" s="15"/>
      <c r="Q21" s="15"/>
      <c r="R21" s="15"/>
      <c r="S21" s="14"/>
      <c r="T21" s="14"/>
    </row>
    <row r="22" spans="1:20">
      <c r="A22" s="15"/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3"/>
      <c r="M22" s="14"/>
      <c r="N22" s="14"/>
      <c r="O22" s="14"/>
      <c r="P22" s="13"/>
      <c r="Q22" s="14"/>
      <c r="R22" s="14"/>
      <c r="S22" s="14"/>
      <c r="T22" s="14"/>
    </row>
    <row r="23" spans="1:20">
      <c r="A23" s="13"/>
      <c r="B23" s="21"/>
      <c r="C23" s="21"/>
      <c r="D23" s="58"/>
      <c r="E23" s="58"/>
      <c r="F23" s="14"/>
      <c r="G23" s="13"/>
      <c r="H23" s="58"/>
      <c r="I23" s="58"/>
      <c r="J23" s="58"/>
      <c r="K23" s="14"/>
      <c r="L23" s="15"/>
      <c r="M23" s="15"/>
      <c r="N23" s="15"/>
      <c r="O23" s="14"/>
      <c r="P23" s="15"/>
      <c r="Q23" s="15"/>
      <c r="R23" s="15"/>
      <c r="S23" s="14"/>
      <c r="T23" s="14"/>
    </row>
    <row r="24" spans="1:20" s="2" customFormat="1">
      <c r="A24" s="15"/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14"/>
      <c r="P24" s="13"/>
      <c r="Q24" s="14"/>
      <c r="R24" s="14"/>
      <c r="S24" s="14"/>
      <c r="T24" s="14"/>
    </row>
    <row r="25" spans="1:20">
      <c r="A25" s="13"/>
      <c r="B25" s="21"/>
      <c r="C25" s="21"/>
      <c r="D25" s="58"/>
      <c r="E25" s="58"/>
      <c r="F25" s="14"/>
      <c r="G25" s="13"/>
      <c r="H25" s="58"/>
      <c r="I25" s="58"/>
      <c r="J25" s="58"/>
      <c r="K25" s="14"/>
      <c r="L25" s="15"/>
      <c r="M25" s="15"/>
      <c r="N25" s="15"/>
      <c r="O25" s="14"/>
      <c r="P25" s="15"/>
      <c r="Q25" s="15"/>
      <c r="R25" s="15"/>
      <c r="S25" s="14"/>
      <c r="T25" s="14"/>
    </row>
    <row r="26" spans="1:20">
      <c r="A26" s="15"/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  <c r="O26" s="14"/>
      <c r="P26" s="13"/>
      <c r="Q26" s="14"/>
      <c r="R26" s="14"/>
      <c r="S26" s="14"/>
      <c r="T26" s="14"/>
    </row>
    <row r="27" spans="1:20">
      <c r="A27" s="13"/>
      <c r="B27" s="21"/>
      <c r="C27" s="21"/>
      <c r="D27" s="58"/>
      <c r="E27" s="58"/>
      <c r="F27" s="14"/>
      <c r="G27" s="13"/>
      <c r="H27" s="58"/>
      <c r="I27" s="58"/>
      <c r="J27" s="58"/>
      <c r="K27" s="14"/>
      <c r="L27" s="15"/>
      <c r="M27" s="15"/>
      <c r="N27" s="15"/>
      <c r="O27" s="14"/>
      <c r="P27" s="15"/>
      <c r="Q27" s="15"/>
      <c r="R27" s="15"/>
      <c r="S27" s="14"/>
      <c r="T27" s="14"/>
    </row>
    <row r="28" spans="1:20">
      <c r="A28" s="15"/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3"/>
      <c r="M28" s="14"/>
      <c r="N28" s="14"/>
      <c r="O28" s="14"/>
      <c r="P28" s="13"/>
      <c r="Q28" s="14"/>
      <c r="R28" s="14"/>
      <c r="S28" s="14"/>
      <c r="T28" s="14"/>
    </row>
    <row r="29" spans="1:20">
      <c r="A29" s="13"/>
      <c r="B29" s="21"/>
      <c r="C29" s="21"/>
      <c r="D29" s="58"/>
      <c r="E29" s="58"/>
      <c r="F29" s="14"/>
      <c r="G29" s="13"/>
      <c r="H29" s="58"/>
      <c r="I29" s="58"/>
      <c r="J29" s="58"/>
      <c r="K29" s="14"/>
      <c r="L29" s="15"/>
      <c r="M29" s="15"/>
      <c r="N29" s="15"/>
      <c r="O29" s="14"/>
      <c r="P29" s="15"/>
      <c r="Q29" s="15"/>
      <c r="R29" s="15"/>
      <c r="S29" s="14"/>
      <c r="T29" s="14"/>
    </row>
    <row r="30" spans="1:20">
      <c r="A30" s="15"/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  <c r="O30" s="14"/>
      <c r="P30" s="13"/>
      <c r="Q30" s="14"/>
      <c r="R30" s="14"/>
      <c r="S30" s="14"/>
      <c r="T30" s="14"/>
    </row>
    <row r="31" spans="1:20">
      <c r="A31" s="13"/>
      <c r="B31" s="21"/>
      <c r="C31" s="21"/>
      <c r="D31" s="58"/>
      <c r="E31" s="58"/>
      <c r="F31" s="14"/>
      <c r="G31" s="13"/>
      <c r="H31" s="58"/>
      <c r="I31" s="58"/>
      <c r="J31" s="58"/>
      <c r="K31" s="14"/>
      <c r="L31" s="15"/>
      <c r="M31" s="15"/>
      <c r="N31" s="15"/>
      <c r="O31" s="14"/>
      <c r="P31" s="15"/>
      <c r="Q31" s="15"/>
      <c r="R31" s="15"/>
      <c r="S31" s="14"/>
      <c r="T31" s="14"/>
    </row>
    <row r="32" spans="1:20">
      <c r="A32" s="15"/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  <c r="O32" s="14"/>
      <c r="P32" s="13"/>
      <c r="Q32" s="14"/>
      <c r="R32" s="14"/>
      <c r="S32" s="14"/>
      <c r="T32" s="14"/>
    </row>
    <row r="33" spans="1:20">
      <c r="A33" s="13"/>
      <c r="B33" s="21"/>
      <c r="C33" s="21"/>
      <c r="D33" s="58"/>
      <c r="E33" s="58"/>
      <c r="F33" s="14"/>
      <c r="G33" s="13"/>
      <c r="H33" s="58"/>
      <c r="I33" s="58"/>
      <c r="J33" s="58"/>
      <c r="K33" s="14"/>
      <c r="L33" s="15"/>
      <c r="M33" s="15"/>
      <c r="N33" s="15"/>
      <c r="O33" s="14"/>
      <c r="P33" s="15"/>
      <c r="Q33" s="15"/>
      <c r="R33" s="15"/>
      <c r="S33" s="14"/>
      <c r="T33" s="14"/>
    </row>
    <row r="34" spans="1:20">
      <c r="A34" s="15"/>
      <c r="B34" s="21"/>
      <c r="C34" s="21"/>
      <c r="D34" s="58"/>
      <c r="E34" s="58"/>
      <c r="F34" s="14"/>
      <c r="G34" s="15"/>
      <c r="H34" s="58"/>
      <c r="I34" s="58"/>
      <c r="J34" s="58"/>
      <c r="K34" s="14"/>
      <c r="L34" s="13"/>
      <c r="M34" s="14"/>
      <c r="N34" s="14"/>
      <c r="O34" s="14"/>
      <c r="P34" s="13"/>
      <c r="Q34" s="14"/>
      <c r="R34" s="14"/>
      <c r="S34" s="14"/>
      <c r="T34" s="14"/>
    </row>
    <row r="36" spans="1:20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RTD("tickerplantrtdserver",,"FWRC1#GBPUSD#Month Wise Rates#0#S#Desc.2")</f>
        <v>TN</v>
      </c>
      <c r="D1" s="76" t="str">
        <f t="array" ref="D1">RTD("tickerplantrtdserver",,"FWRC1#GBPUSD#Month Wise Rates#0#S#Desc.7")</f>
        <v>1M</v>
      </c>
      <c r="E1" s="76" t="str">
        <f t="array" ref="E1">RTD("tickerplantrtdserver",,"FWRC1#GBPUSD#Month Wise Rates#0#S#Desc.8")</f>
        <v>2M</v>
      </c>
      <c r="F1" s="76" t="str">
        <f t="array" ref="F1">RTD("tickerplantrtdserver",,"FWRC1#GBPUSD#Month Wise Rates#0#S#Desc.9")</f>
        <v>3M</v>
      </c>
      <c r="G1" s="76" t="str">
        <f t="array" ref="G1">RTD("tickerplantrtdserver",,"FWRC1#GBPUSD#Month Wise Rates#0#S#Desc.10")</f>
        <v>4M</v>
      </c>
      <c r="H1" s="76" t="str">
        <f t="array" ref="H1">RTD("tickerplantrtdserver",,"FWRC1#GBPUSD#Month Wise Rates#0#S#Desc.11")</f>
        <v>5M</v>
      </c>
      <c r="I1" s="76" t="str">
        <f t="array" ref="I1">RTD("tickerplantrtdserver",,"FWRC1#GBPUSD#Month Wise Rates#0#S#Desc.12")</f>
        <v>6M</v>
      </c>
      <c r="J1" s="76" t="str">
        <f t="array" ref="J1">RTD("tickerplantrtdserver",,"FWRC1#GBPUSD#Month Wise Rates#0#S#Desc.13")</f>
        <v>7M</v>
      </c>
      <c r="K1" s="76" t="str">
        <f t="array" ref="K1">RTD("tickerplantrtdserver",,"FWRC1#GBPUSD#Month Wise Rates#0#S#Desc.14")</f>
        <v>8M</v>
      </c>
      <c r="L1" s="76" t="str">
        <f t="array" ref="L1">RTD("tickerplantrtdserver",,"FWRC1#GBPUSD#Month Wise Rates#0#S#Desc.15")</f>
        <v>9M</v>
      </c>
      <c r="M1" s="76" t="str">
        <f t="array" ref="M1">RTD("tickerplantrtdserver",,"FWRC1#GBPUSD#Month Wise Rates#0#S#Desc.16")</f>
        <v>10M</v>
      </c>
      <c r="N1" s="76" t="str">
        <f t="array" ref="N1">RTD("tickerplantrtdserver",,"FWRC1#GBPUSD#Month Wise Rates#0#S#Desc.17")</f>
        <v>11M</v>
      </c>
      <c r="O1" s="77" t="str">
        <f t="array" ref="O1">RTD("tickerplantrtdserver",,"FWRC1#GBPUSD#Month Wise Rates#0#S#Desc.18")</f>
        <v>12M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RTD("tickerplantrtdserver",,"FWRC1#GBPUSD#Month Wise Rates#0#S#PillarDate2")</f>
        <v>24-Jun-2020</v>
      </c>
      <c r="D2" s="71" t="str">
        <f t="array" ref="D2">RTD("tickerplantrtdserver",,"FWRC1#GBPUSD#Month Wise Rates#0#S#PillarDate7")</f>
        <v>24-Jul-2020</v>
      </c>
      <c r="E2" s="71" t="str">
        <f t="array" ref="E2">RTD("tickerplantrtdserver",,"FWRC1#GBPUSD#Month Wise Rates#0#S#PillarDate8")</f>
        <v>24-Aug-2020</v>
      </c>
      <c r="F2" s="71" t="str">
        <f t="array" ref="F2">RTD("tickerplantrtdserver",,"FWRC1#GBPUSD#Month Wise Rates#0#S#PillarDate9")</f>
        <v>24-Sep-2020</v>
      </c>
      <c r="G2" s="71" t="str">
        <f t="array" ref="G2">RTD("tickerplantrtdserver",,"FWRC1#GBPUSD#Month Wise Rates#0#S#PillarDate10")</f>
        <v>26-Oct-2020</v>
      </c>
      <c r="H2" s="71" t="str">
        <f t="array" ref="H2">RTD("tickerplantrtdserver",,"FWRC1#GBPUSD#Month Wise Rates#0#S#PillarDate11")</f>
        <v>24-Nov-2020</v>
      </c>
      <c r="I2" s="71" t="str">
        <f t="array" ref="I2">RTD("tickerplantrtdserver",,"FWRC1#GBPUSD#Month Wise Rates#0#S#PillarDate12")</f>
        <v>24-Dec-2020</v>
      </c>
      <c r="J2" s="71" t="str">
        <f t="array" ref="J2">RTD("tickerplantrtdserver",,"FWRC1#GBPUSD#Month Wise Rates#0#S#PillarDate13")</f>
        <v>25-Jan-2021</v>
      </c>
      <c r="K2" s="71" t="str">
        <f t="array" ref="K2">RTD("tickerplantrtdserver",,"FWRC1#GBPUSD#Month Wise Rates#0#S#PillarDate14")</f>
        <v>24-Feb-2021</v>
      </c>
      <c r="L2" s="71" t="str">
        <f t="array" ref="L2">RTD("tickerplantrtdserver",,"FWRC1#GBPUSD#Month Wise Rates#0#S#PillarDate15")</f>
        <v>24-Mar-2021</v>
      </c>
      <c r="M2" s="71" t="str">
        <f t="array" ref="M2">RTD("tickerplantrtdserver",,"FWRC1#GBPUSD#Month Wise Rates#0#S#PillarDate16")</f>
        <v>26-Apr-2021</v>
      </c>
      <c r="N2" s="71" t="str">
        <f t="array" ref="N2">RTD("tickerplantrtdserver",,"FWRC1#GBPUSD#Month Wise Rates#0#S#PillarDate17")</f>
        <v>24-May-2021</v>
      </c>
      <c r="O2" s="75" t="str">
        <f t="array" ref="O2">RTD("tickerplantrtdserver",,"FWRC1#GBPUSD#Month Wise Rates#0#S#PillarDate18")</f>
        <v>24-Jun-2021</v>
      </c>
      <c r="P2" s="30"/>
    </row>
    <row r="3" spans="1:18" s="14" customFormat="1">
      <c r="A3" s="124" t="s">
        <v>4</v>
      </c>
      <c r="B3" s="125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5"/>
    </row>
    <row r="4" spans="1:18" s="14" customFormat="1">
      <c r="A4" s="112" t="s">
        <v>47</v>
      </c>
      <c r="B4" s="113"/>
      <c r="C4" s="65">
        <f t="array" ref="C4">RTD("tickerplantrtdserver",,"FWRC1#GBPUSD#Month Wise Rates#0#BidPrice2")</f>
        <v>0.02</v>
      </c>
      <c r="D4" s="65">
        <f t="array" ref="D4">RTD("tickerplantrtdserver",,"FWRC1#GBPUSD#Month Wise Rates#0#BidPrice7")</f>
        <v>2.29</v>
      </c>
      <c r="E4" s="65">
        <f t="array" ref="E4">RTD("tickerplantrtdserver",,"FWRC1#GBPUSD#Month Wise Rates#0#BidPrice8")</f>
        <v>4.2</v>
      </c>
      <c r="F4" s="65">
        <f t="array" ref="F4">RTD("tickerplantrtdserver",,"FWRC1#GBPUSD#Month Wise Rates#0#BidPrice9")</f>
        <v>6.1</v>
      </c>
      <c r="G4" s="65">
        <f t="array" ref="G4">RTD("tickerplantrtdserver",,"FWRC1#GBPUSD#Month Wise Rates#0#BidPrice10")</f>
        <v>8.1199999999999992</v>
      </c>
      <c r="H4" s="65">
        <f t="array" ref="H4">RTD("tickerplantrtdserver",,"FWRC1#GBPUSD#Month Wise Rates#0#BidPrice11")</f>
        <v>9.6300000000000008</v>
      </c>
      <c r="I4" s="65">
        <f t="array" ref="I4">RTD("tickerplantrtdserver",,"FWRC1#GBPUSD#Month Wise Rates#0#BidPrice12")</f>
        <v>11.04</v>
      </c>
      <c r="J4" s="65">
        <f t="array" ref="J4">RTD("tickerplantrtdserver",,"FWRC1#GBPUSD#Month Wise Rates#0#BidPrice13")</f>
        <v>16.45</v>
      </c>
      <c r="K4" s="65">
        <f t="array" ref="K4">RTD("tickerplantrtdserver",,"FWRC1#GBPUSD#Month Wise Rates#0#BidPrice14")</f>
        <v>17.899999999999999</v>
      </c>
      <c r="L4" s="65">
        <f t="array" ref="L4">RTD("tickerplantrtdserver",,"FWRC1#GBPUSD#Month Wise Rates#0#BidPrice15")</f>
        <v>19.850000000000001</v>
      </c>
      <c r="M4" s="65">
        <f t="array" ref="M4">RTD("tickerplantrtdserver",,"FWRC1#GBPUSD#Month Wise Rates#0#BidPrice16")</f>
        <v>21.09</v>
      </c>
      <c r="N4" s="65">
        <f t="array" ref="N4">RTD("tickerplantrtdserver",,"FWRC1#GBPUSD#Month Wise Rates#0#BidPrice17")</f>
        <v>22.29</v>
      </c>
      <c r="O4" s="67">
        <f t="array" ref="O4">RTD("tickerplantrtdserver",,"FWRC1#GBPUSD#Month Wise Rates#0#BidPrice18")</f>
        <v>23.45</v>
      </c>
      <c r="P4" s="20"/>
    </row>
    <row r="5" spans="1:18" s="14" customFormat="1">
      <c r="A5" s="112" t="s">
        <v>48</v>
      </c>
      <c r="B5" s="113"/>
      <c r="C5" s="65">
        <f t="array" ref="C5">RTD("tickerplantrtdserver",,"FWRC1#GBPUSD#Month Wise Rates#0#AskPrice2")</f>
        <v>0.08</v>
      </c>
      <c r="D5" s="65">
        <f t="array" ref="D5">RTD("tickerplantrtdserver",,"FWRC1#GBPUSD#Month Wise Rates#0#AskPrice7")</f>
        <v>2.59</v>
      </c>
      <c r="E5" s="65">
        <f t="array" ref="E5">RTD("tickerplantrtdserver",,"FWRC1#GBPUSD#Month Wise Rates#0#AskPrice8")</f>
        <v>4.7</v>
      </c>
      <c r="F5" s="65">
        <f t="array" ref="F5">RTD("tickerplantrtdserver",,"FWRC1#GBPUSD#Month Wise Rates#0#AskPrice9")</f>
        <v>6.8</v>
      </c>
      <c r="G5" s="65">
        <f t="array" ref="G5">RTD("tickerplantrtdserver",,"FWRC1#GBPUSD#Month Wise Rates#0#AskPrice10")</f>
        <v>9.0299999999999994</v>
      </c>
      <c r="H5" s="65">
        <f t="array" ref="H5">RTD("tickerplantrtdserver",,"FWRC1#GBPUSD#Month Wise Rates#0#AskPrice11")</f>
        <v>10.74</v>
      </c>
      <c r="I5" s="65">
        <f t="array" ref="I5">RTD("tickerplantrtdserver",,"FWRC1#GBPUSD#Month Wise Rates#0#AskPrice12")</f>
        <v>12.34</v>
      </c>
      <c r="J5" s="65">
        <f t="array" ref="J5">RTD("tickerplantrtdserver",,"FWRC1#GBPUSD#Month Wise Rates#0#AskPrice13")</f>
        <v>17.96</v>
      </c>
      <c r="K5" s="65">
        <f t="array" ref="K5">RTD("tickerplantrtdserver",,"FWRC1#GBPUSD#Month Wise Rates#0#AskPrice14")</f>
        <v>19.61</v>
      </c>
      <c r="L5" s="65">
        <f t="array" ref="L5">RTD("tickerplantrtdserver",,"FWRC1#GBPUSD#Month Wise Rates#0#AskPrice15")</f>
        <v>22</v>
      </c>
      <c r="M5" s="65">
        <f t="array" ref="M5">RTD("tickerplantrtdserver",,"FWRC1#GBPUSD#Month Wise Rates#0#AskPrice16")</f>
        <v>23.2</v>
      </c>
      <c r="N5" s="65">
        <f t="array" ref="N5">RTD("tickerplantrtdserver",,"FWRC1#GBPUSD#Month Wise Rates#0#AskPrice17")</f>
        <v>24.58</v>
      </c>
      <c r="O5" s="67">
        <f t="array" ref="O5">RTD("tickerplantrtdserver",,"FWRC1#GBPUSD#Month Wise Rates#0#AskPrice18")</f>
        <v>25.95</v>
      </c>
      <c r="P5" s="20"/>
    </row>
    <row r="6" spans="1:18" s="14" customFormat="1">
      <c r="A6" s="124" t="s">
        <v>3</v>
      </c>
      <c r="B6" s="125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5"/>
      <c r="P6" s="20"/>
    </row>
    <row r="7" spans="1:18" s="14" customFormat="1">
      <c r="A7" s="112" t="s">
        <v>47</v>
      </c>
      <c r="B7" s="113"/>
      <c r="C7" s="64">
        <f t="array" ref="C7">RTD("tickerplantrtdserver",,"FWRC1#GBPUSD#Month Wise Rates#0#FwdOutrightBid2")</f>
        <v>1.2446999999999999</v>
      </c>
      <c r="D7" s="64">
        <f t="array" ref="D7">RTD("tickerplantrtdserver",,"FWRC1#GBPUSD#Month Wise Rates#0#FwdOutrightBid7")</f>
        <v>1.2450000000000001</v>
      </c>
      <c r="E7" s="64">
        <f t="array" ref="E7">RTD("tickerplantrtdserver",,"FWRC1#GBPUSD#Month Wise Rates#0#FwdOutrightBid8")</f>
        <v>1.2451000000000001</v>
      </c>
      <c r="F7" s="64">
        <f t="array" ref="F7">RTD("tickerplantrtdserver",,"FWRC1#GBPUSD#Month Wise Rates#0#FwdOutrightBid9")</f>
        <v>1.2452000000000001</v>
      </c>
      <c r="G7" s="64">
        <f t="array" ref="G7">RTD("tickerplantrtdserver",,"FWRC1#GBPUSD#Month Wise Rates#0#FwdOutrightBid10")</f>
        <v>1.2461</v>
      </c>
      <c r="H7" s="64">
        <f t="array" ref="H7">RTD("tickerplantrtdserver",,"FWRC1#GBPUSD#Month Wise Rates#0#FwdOutrightBid11")</f>
        <v>1.2456</v>
      </c>
      <c r="I7" s="64">
        <f t="array" ref="I7">RTD("tickerplantrtdserver",,"FWRC1#GBPUSD#Month Wise Rates#0#FwdOutrightBid12")</f>
        <v>1.2459</v>
      </c>
      <c r="J7" s="64">
        <f t="array" ref="J7">RTD("tickerplantrtdserver",,"FWRC1#GBPUSD#Month Wise Rates#0#FwdOutrightBid13")</f>
        <v>1.2462</v>
      </c>
      <c r="K7" s="64">
        <f t="array" ref="K7">RTD("tickerplantrtdserver",,"FWRC1#GBPUSD#Month Wise Rates#0#FwdOutrightBid14")</f>
        <v>1.2465999999999999</v>
      </c>
      <c r="L7" s="64">
        <f t="array" ref="L7">RTD("tickerplantrtdserver",,"FWRC1#GBPUSD#Month Wise Rates#0#FwdOutrightBid15")</f>
        <v>1.2467999999999999</v>
      </c>
      <c r="M7" s="64">
        <f t="array" ref="M7">RTD("tickerplantrtdserver",,"FWRC1#GBPUSD#Month Wise Rates#0#FwdOutrightBid16")</f>
        <v>1.2467999999999999</v>
      </c>
      <c r="N7" s="64">
        <f t="array" ref="N7">RTD("tickerplantrtdserver",,"FWRC1#GBPUSD#Month Wise Rates#0#FwdOutrightBid17")</f>
        <v>1.2471000000000001</v>
      </c>
      <c r="O7" s="68">
        <f t="array" ref="O7">RTD("tickerplantrtdserver",,"FWRC1#GBPUSD#Month Wise Rates#0#FwdOutrightBid18")</f>
        <v>1.2472000000000001</v>
      </c>
      <c r="P7" s="20"/>
    </row>
    <row r="8" spans="1:18" s="14" customFormat="1">
      <c r="A8" s="112" t="s">
        <v>48</v>
      </c>
      <c r="B8" s="113"/>
      <c r="C8" s="64">
        <f t="array" ref="C8">RTD("tickerplantrtdserver",,"FWRC1#GBPUSD#Month Wise Rates#0#FwdOutrightAsk2")</f>
        <v>1.2447999999999999</v>
      </c>
      <c r="D8" s="64">
        <f t="array" ref="D8">RTD("tickerplantrtdserver",,"FWRC1#GBPUSD#Month Wise Rates#0#FwdOutrightAsk7")</f>
        <v>1.2451000000000001</v>
      </c>
      <c r="E8" s="64">
        <f t="array" ref="E8">RTD("tickerplantrtdserver",,"FWRC1#GBPUSD#Month Wise Rates#0#FwdOutrightAsk8")</f>
        <v>1.2454000000000001</v>
      </c>
      <c r="F8" s="64">
        <f t="array" ref="F8">RTD("tickerplantrtdserver",,"FWRC1#GBPUSD#Month Wise Rates#0#FwdOutrightAsk9")</f>
        <v>1.2455000000000001</v>
      </c>
      <c r="G8" s="64">
        <f t="array" ref="G8">RTD("tickerplantrtdserver",,"FWRC1#GBPUSD#Month Wise Rates#0#FwdOutrightAsk10")</f>
        <v>1.2464</v>
      </c>
      <c r="H8" s="64">
        <f t="array" ref="H8">RTD("tickerplantrtdserver",,"FWRC1#GBPUSD#Month Wise Rates#0#FwdOutrightAsk11")</f>
        <v>1.2462</v>
      </c>
      <c r="I8" s="64">
        <f t="array" ref="I8">RTD("tickerplantrtdserver",,"FWRC1#GBPUSD#Month Wise Rates#0#FwdOutrightAsk12")</f>
        <v>1.246</v>
      </c>
      <c r="J8" s="64">
        <f t="array" ref="J8">RTD("tickerplantrtdserver",,"FWRC1#GBPUSD#Month Wise Rates#0#FwdOutrightAsk13")</f>
        <v>1.2468999999999999</v>
      </c>
      <c r="K8" s="64">
        <f t="array" ref="K8">RTD("tickerplantrtdserver",,"FWRC1#GBPUSD#Month Wise Rates#0#FwdOutrightAsk14")</f>
        <v>1.2467999999999999</v>
      </c>
      <c r="L8" s="64">
        <f t="array" ref="L8">RTD("tickerplantrtdserver",,"FWRC1#GBPUSD#Month Wise Rates#0#FwdOutrightAsk15")</f>
        <v>1.2472000000000001</v>
      </c>
      <c r="M8" s="64">
        <f t="array" ref="M8">RTD("tickerplantrtdserver",,"FWRC1#GBPUSD#Month Wise Rates#0#FwdOutrightAsk16")</f>
        <v>1.2471000000000001</v>
      </c>
      <c r="N8" s="64">
        <f t="array" ref="N8">RTD("tickerplantrtdserver",,"FWRC1#GBPUSD#Month Wise Rates#0#FwdOutrightAsk17")</f>
        <v>1.2474000000000001</v>
      </c>
      <c r="O8" s="68">
        <f t="array" ref="O8">RTD("tickerplantrtdserver",,"FWRC1#GBPUSD#Month Wise Rates#0#FwdOutrightAsk18")</f>
        <v>1.2474000000000001</v>
      </c>
    </row>
    <row r="9" spans="1:18" s="14" customFormat="1">
      <c r="A9" s="124" t="s">
        <v>2</v>
      </c>
      <c r="B9" s="125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5"/>
    </row>
    <row r="10" spans="1:18" s="14" customFormat="1">
      <c r="A10" s="112" t="s">
        <v>47</v>
      </c>
      <c r="B10" s="113"/>
      <c r="C10" s="65">
        <f t="array" ref="C10">RTD("tickerplantrtdserver",,"FWRC1#GBPUSD#Month Wise Rates#0#Bid%2")</f>
        <v>5.8599999999999999E-2</v>
      </c>
      <c r="D10" s="65">
        <f t="array" ref="D10">RTD("tickerplantrtdserver",,"FWRC1#GBPUSD#Month Wise Rates#0#Bid%7")</f>
        <v>0.2238</v>
      </c>
      <c r="E10" s="65">
        <f t="array" ref="E10">RTD("tickerplantrtdserver",,"FWRC1#GBPUSD#Month Wise Rates#0#Bid%8")</f>
        <v>0.2019</v>
      </c>
      <c r="F10" s="65">
        <f t="array" ref="F10">RTD("tickerplantrtdserver",,"FWRC1#GBPUSD#Month Wise Rates#0#Bid%9")</f>
        <v>0.19439999999999999</v>
      </c>
      <c r="G10" s="65">
        <f t="array" ref="G10">RTD("tickerplantrtdserver",,"FWRC1#GBPUSD#Month Wise Rates#0#Bid%10")</f>
        <v>0.19189999999999999</v>
      </c>
      <c r="H10" s="65">
        <f t="array" ref="H10">RTD("tickerplantrtdserver",,"FWRC1#GBPUSD#Month Wise Rates#0#Bid%11")</f>
        <v>0.1845</v>
      </c>
      <c r="I10" s="65">
        <f t="array" ref="I10">RTD("tickerplantrtdserver",,"FWRC1#GBPUSD#Month Wise Rates#0#Bid%12")</f>
        <v>0.1769</v>
      </c>
      <c r="J10" s="65">
        <f t="array" ref="J10">RTD("tickerplantrtdserver",,"FWRC1#GBPUSD#Month Wise Rates#0#Bid%13")</f>
        <v>0.2243</v>
      </c>
      <c r="K10" s="65">
        <f t="array" ref="K10">RTD("tickerplantrtdserver",,"FWRC1#GBPUSD#Month Wise Rates#0#Bid%14")</f>
        <v>0.2142</v>
      </c>
      <c r="L10" s="65">
        <f t="array" ref="L10">RTD("tickerplantrtdserver",,"FWRC1#GBPUSD#Month Wise Rates#0#Bid%15")</f>
        <v>0.2132</v>
      </c>
      <c r="M10" s="65">
        <f t="array" ref="M10">RTD("tickerplantrtdserver",,"FWRC1#GBPUSD#Month Wise Rates#0#Bid%16")</f>
        <v>0.2021</v>
      </c>
      <c r="N10" s="65">
        <f t="array" ref="N10">RTD("tickerplantrtdserver",,"FWRC1#GBPUSD#Month Wise Rates#0#Bid%17")</f>
        <v>0.19570000000000001</v>
      </c>
      <c r="O10" s="67">
        <f t="array" ref="O10">RTD("tickerplantrtdserver",,"FWRC1#GBPUSD#Month Wise Rates#0#Bid%18")</f>
        <v>0.18840000000000001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RTD("tickerplantrtdserver",,"FWRC1#GBPUSD#Month Wise Rates#0#Ask%2")</f>
        <v>0.2346</v>
      </c>
      <c r="D11" s="69">
        <f t="array" ref="D11">RTD("tickerplantrtdserver",,"FWRC1#GBPUSD#Month Wise Rates#0#Ask%7")</f>
        <v>0.25319999999999998</v>
      </c>
      <c r="E11" s="69">
        <f t="array" ref="E11">RTD("tickerplantrtdserver",,"FWRC1#GBPUSD#Month Wise Rates#0#Ask%8")</f>
        <v>0.22589999999999999</v>
      </c>
      <c r="F11" s="69">
        <f t="array" ref="F11">RTD("tickerplantrtdserver",,"FWRC1#GBPUSD#Month Wise Rates#0#Ask%9")</f>
        <v>0.21679999999999999</v>
      </c>
      <c r="G11" s="69">
        <f t="array" ref="G11">RTD("tickerplantrtdserver",,"FWRC1#GBPUSD#Month Wise Rates#0#Ask%10")</f>
        <v>0.21340000000000001</v>
      </c>
      <c r="H11" s="69">
        <f t="array" ref="H11">RTD("tickerplantrtdserver",,"FWRC1#GBPUSD#Month Wise Rates#0#Ask%11")</f>
        <v>0.2059</v>
      </c>
      <c r="I11" s="69">
        <f t="array" ref="I11">RTD("tickerplantrtdserver",,"FWRC1#GBPUSD#Month Wise Rates#0#Ask%12")</f>
        <v>0.19769999999999999</v>
      </c>
      <c r="J11" s="69">
        <f t="array" ref="J11">RTD("tickerplantrtdserver",,"FWRC1#GBPUSD#Month Wise Rates#0#Ask%13")</f>
        <v>0.245</v>
      </c>
      <c r="K11" s="69">
        <f t="array" ref="K11">RTD("tickerplantrtdserver",,"FWRC1#GBPUSD#Month Wise Rates#0#Ask%14")</f>
        <v>0.23469999999999999</v>
      </c>
      <c r="L11" s="69">
        <f t="array" ref="L11">RTD("tickerplantrtdserver",,"FWRC1#GBPUSD#Month Wise Rates#0#Ask%15")</f>
        <v>0.23630000000000001</v>
      </c>
      <c r="M11" s="69">
        <f t="array" ref="M11">RTD("tickerplantrtdserver",,"FWRC1#GBPUSD#Month Wise Rates#0#Ask%16")</f>
        <v>0.2223</v>
      </c>
      <c r="N11" s="69">
        <f t="array" ref="N11">RTD("tickerplantrtdserver",,"FWRC1#GBPUSD#Month Wise Rates#0#Ask%17")</f>
        <v>0.21579999999999999</v>
      </c>
      <c r="O11" s="70">
        <f t="array" ref="O11">RTD("tickerplantrtdserver",,"FWRC1#GBPUSD#Month Wise Rates#0#Ask%18")</f>
        <v>0.20849999999999999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3"/>
      <c r="R13" s="23"/>
    </row>
    <row r="14" spans="1:18" s="14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31"/>
      <c r="R14" s="31"/>
    </row>
    <row r="15" spans="1:18" s="14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5"/>
      <c r="R15" s="15"/>
    </row>
    <row r="16" spans="1:18" s="14" customForma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s="14" customForma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s="14" customForma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s="14" customForma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s="14" customForma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s="2" customForma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6" spans="1:16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6"/>
  <sheetViews>
    <sheetView workbookViewId="0">
      <selection sqref="A1:B1"/>
    </sheetView>
  </sheetViews>
  <sheetFormatPr defaultColWidth="8.85546875" defaultRowHeight="15"/>
  <cols>
    <col min="3" max="3" width="9.85546875" bestFit="1" customWidth="1"/>
    <col min="4" max="4" width="9.28515625" bestFit="1" customWidth="1"/>
    <col min="5" max="5" width="8.85546875" bestFit="1" customWidth="1"/>
    <col min="6" max="7" width="9.42578125" bestFit="1" customWidth="1"/>
    <col min="8" max="8" width="9.28515625" bestFit="1" customWidth="1"/>
    <col min="9" max="10" width="9.5703125" bestFit="1" customWidth="1"/>
    <col min="11" max="11" width="9.28515625" bestFit="1" customWidth="1"/>
    <col min="12" max="12" width="9.42578125" bestFit="1" customWidth="1"/>
    <col min="13" max="13" width="9.7109375" bestFit="1" customWidth="1"/>
    <col min="14" max="14" width="9.28515625" bestFit="1" customWidth="1"/>
    <col min="15" max="15" width="9.85546875" bestFit="1" customWidth="1"/>
    <col min="16" max="16" width="8.85546875" bestFit="1" customWidth="1"/>
    <col min="17" max="17" width="10.140625" bestFit="1" customWidth="1"/>
    <col min="18" max="18" width="8.7109375" bestFit="1" customWidth="1"/>
  </cols>
  <sheetData>
    <row r="1" spans="1:18" s="14" customFormat="1">
      <c r="A1" s="116" t="s">
        <v>6</v>
      </c>
      <c r="B1" s="117"/>
      <c r="C1" s="76" t="str">
        <f t="array" ref="C1">RTD("tickerplantrtdserver",,"FWRC1#USDJPY#Month Wise Rates#0#S#Desc.2")</f>
        <v>TN</v>
      </c>
      <c r="D1" s="76" t="str">
        <f t="array" ref="D1">RTD("tickerplantrtdserver",,"FWRC1#USDJPY#Month Wise Rates#0#S#Desc.7")</f>
        <v>1M</v>
      </c>
      <c r="E1" s="76" t="str">
        <f t="array" ref="E1">RTD("tickerplantrtdserver",,"FWRC1#USDJPY#Month Wise Rates#0#S#Desc.8")</f>
        <v>2M</v>
      </c>
      <c r="F1" s="76" t="str">
        <f t="array" ref="F1">RTD("tickerplantrtdserver",,"FWRC1#USDJPY#Month Wise Rates#0#S#Desc.9")</f>
        <v>3M</v>
      </c>
      <c r="G1" s="76" t="str">
        <f t="array" ref="G1">RTD("tickerplantrtdserver",,"FWRC1#USDJPY#Month Wise Rates#0#S#Desc.10")</f>
        <v>4M</v>
      </c>
      <c r="H1" s="76" t="str">
        <f t="array" ref="H1">RTD("tickerplantrtdserver",,"FWRC1#USDJPY#Month Wise Rates#0#S#Desc.11")</f>
        <v>5M</v>
      </c>
      <c r="I1" s="76" t="str">
        <f t="array" ref="I1">RTD("tickerplantrtdserver",,"FWRC1#USDJPY#Month Wise Rates#0#S#Desc.12")</f>
        <v>6M</v>
      </c>
      <c r="J1" s="76" t="str">
        <f t="array" ref="J1">RTD("tickerplantrtdserver",,"FWRC1#USDJPY#Month Wise Rates#0#S#Desc.13")</f>
        <v>7M</v>
      </c>
      <c r="K1" s="76" t="str">
        <f t="array" ref="K1">RTD("tickerplantrtdserver",,"FWRC1#USDJPY#Month Wise Rates#0#S#Desc.14")</f>
        <v>8M</v>
      </c>
      <c r="L1" s="76" t="str">
        <f t="array" ref="L1">RTD("tickerplantrtdserver",,"FWRC1#USDJPY#Month Wise Rates#0#S#Desc.15")</f>
        <v>9M</v>
      </c>
      <c r="M1" s="76" t="str">
        <f t="array" ref="M1">RTD("tickerplantrtdserver",,"FWRC1#USDJPY#Month Wise Rates#0#S#Desc.16")</f>
        <v>10M</v>
      </c>
      <c r="N1" s="76" t="str">
        <f t="array" ref="N1">RTD("tickerplantrtdserver",,"FWRC1#USDJPY#Month Wise Rates#0#S#Desc.17")</f>
        <v>11M</v>
      </c>
      <c r="O1" s="77" t="str">
        <f t="array" ref="O1">RTD("tickerplantrtdserver",,"FWRC1#USDJPY#Month Wise Rates#0#S#Desc.18")</f>
        <v>12M</v>
      </c>
    </row>
    <row r="2" spans="1:18" s="14" customFormat="1" ht="15.75" customHeight="1">
      <c r="A2" s="112" t="s">
        <v>5</v>
      </c>
      <c r="B2" s="113"/>
      <c r="C2" s="71" t="str">
        <f t="array" ref="C2">RTD("tickerplantrtdserver",,"FWRC1#USDJPY#Month Wise Rates#0#S#PillarDate2")</f>
        <v>24-Jun-2020</v>
      </c>
      <c r="D2" s="71" t="str">
        <f t="array" ref="D2">RTD("tickerplantrtdserver",,"FWRC1#USDJPY#Month Wise Rates#0#S#PillarDate7")</f>
        <v>24-Jul-2020</v>
      </c>
      <c r="E2" s="71" t="str">
        <f t="array" ref="E2">RTD("tickerplantrtdserver",,"FWRC1#USDJPY#Month Wise Rates#0#S#PillarDate8")</f>
        <v>24-Aug-2020</v>
      </c>
      <c r="F2" s="71" t="str">
        <f t="array" ref="F2">RTD("tickerplantrtdserver",,"FWRC1#USDJPY#Month Wise Rates#0#S#PillarDate9")</f>
        <v>24-Sep-2020</v>
      </c>
      <c r="G2" s="71" t="str">
        <f t="array" ref="G2">RTD("tickerplantrtdserver",,"FWRC1#USDJPY#Month Wise Rates#0#S#PillarDate10")</f>
        <v>26-Oct-2020</v>
      </c>
      <c r="H2" s="71" t="str">
        <f t="array" ref="H2">RTD("tickerplantrtdserver",,"FWRC1#USDJPY#Month Wise Rates#0#S#PillarDate11")</f>
        <v>24-Nov-2020</v>
      </c>
      <c r="I2" s="71" t="str">
        <f t="array" ref="I2">RTD("tickerplantrtdserver",,"FWRC1#USDJPY#Month Wise Rates#0#S#PillarDate12")</f>
        <v>24-Dec-2020</v>
      </c>
      <c r="J2" s="71" t="str">
        <f t="array" ref="J2">RTD("tickerplantrtdserver",,"FWRC1#USDJPY#Month Wise Rates#0#S#PillarDate13")</f>
        <v>25-Jan-2021</v>
      </c>
      <c r="K2" s="71" t="str">
        <f t="array" ref="K2">RTD("tickerplantrtdserver",,"FWRC1#USDJPY#Month Wise Rates#0#S#PillarDate14")</f>
        <v>24-Feb-2021</v>
      </c>
      <c r="L2" s="71" t="str">
        <f t="array" ref="L2">RTD("tickerplantrtdserver",,"FWRC1#USDJPY#Month Wise Rates#0#S#PillarDate15")</f>
        <v>24-Mar-2021</v>
      </c>
      <c r="M2" s="71" t="str">
        <f t="array" ref="M2">RTD("tickerplantrtdserver",,"FWRC1#USDJPY#Month Wise Rates#0#S#PillarDate16")</f>
        <v>26-Apr-2021</v>
      </c>
      <c r="N2" s="71" t="str">
        <f t="array" ref="N2">RTD("tickerplantrtdserver",,"FWRC1#USDJPY#Month Wise Rates#0#S#PillarDate17")</f>
        <v>24-May-2021</v>
      </c>
      <c r="O2" s="75" t="str">
        <f t="array" ref="O2">RTD("tickerplantrtdserver",,"FWRC1#USDJPY#Month Wise Rates#0#S#PillarDate18")</f>
        <v>24-Jun-2021</v>
      </c>
      <c r="P2" s="30"/>
    </row>
    <row r="3" spans="1:18" s="14" customFormat="1">
      <c r="A3" s="124" t="s">
        <v>4</v>
      </c>
      <c r="B3" s="125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7"/>
      <c r="P3" s="15"/>
    </row>
    <row r="4" spans="1:18" s="14" customFormat="1">
      <c r="A4" s="112" t="s">
        <v>47</v>
      </c>
      <c r="B4" s="113"/>
      <c r="C4" s="65">
        <f t="array" ref="C4">RTD("tickerplantrtdserver",,"FWRC1#USDJPY#Month Wise Rates#0#BidPrice2")</f>
        <v>-0.18</v>
      </c>
      <c r="D4" s="65">
        <f t="array" ref="D4">RTD("tickerplantrtdserver",,"FWRC1#USDJPY#Month Wise Rates#0#BidPrice7")</f>
        <v>-6.09</v>
      </c>
      <c r="E4" s="65">
        <f t="array" ref="E4">RTD("tickerplantrtdserver",,"FWRC1#USDJPY#Month Wise Rates#0#BidPrice8")</f>
        <v>-10.45</v>
      </c>
      <c r="F4" s="65">
        <f t="array" ref="F4">RTD("tickerplantrtdserver",,"FWRC1#USDJPY#Month Wise Rates#0#BidPrice9")</f>
        <v>-15.58</v>
      </c>
      <c r="G4" s="65">
        <f t="array" ref="G4">RTD("tickerplantrtdserver",,"FWRC1#USDJPY#Month Wise Rates#0#BidPrice10")</f>
        <v>-22.59</v>
      </c>
      <c r="H4" s="65">
        <f t="array" ref="H4">RTD("tickerplantrtdserver",,"FWRC1#USDJPY#Month Wise Rates#0#BidPrice11")</f>
        <v>-27.23</v>
      </c>
      <c r="I4" s="65">
        <f t="array" ref="I4">RTD("tickerplantrtdserver",,"FWRC1#USDJPY#Month Wise Rates#0#BidPrice12")</f>
        <v>-31.96</v>
      </c>
      <c r="J4" s="65">
        <f t="array" ref="J4">RTD("tickerplantrtdserver",,"FWRC1#USDJPY#Month Wise Rates#0#BidPrice13")</f>
        <v>-46.36</v>
      </c>
      <c r="K4" s="65">
        <f t="array" ref="K4">RTD("tickerplantrtdserver",,"FWRC1#USDJPY#Month Wise Rates#0#BidPrice14")</f>
        <v>-52.1</v>
      </c>
      <c r="L4" s="65">
        <f t="array" ref="L4">RTD("tickerplantrtdserver",,"FWRC1#USDJPY#Month Wise Rates#0#BidPrice15")</f>
        <v>-57.13</v>
      </c>
      <c r="M4" s="65">
        <f t="array" ref="M4">RTD("tickerplantrtdserver",,"FWRC1#USDJPY#Month Wise Rates#0#BidPrice16")</f>
        <v>-64.81</v>
      </c>
      <c r="N4" s="65">
        <f t="array" ref="N4">RTD("tickerplantrtdserver",,"FWRC1#USDJPY#Month Wise Rates#0#BidPrice17")</f>
        <v>-69.81</v>
      </c>
      <c r="O4" s="67">
        <f t="array" ref="O4">RTD("tickerplantrtdserver",,"FWRC1#USDJPY#Month Wise Rates#0#BidPrice18")</f>
        <v>-75.92</v>
      </c>
      <c r="P4" s="20"/>
    </row>
    <row r="5" spans="1:18" s="14" customFormat="1">
      <c r="A5" s="112" t="s">
        <v>48</v>
      </c>
      <c r="B5" s="113"/>
      <c r="C5" s="65">
        <f t="array" ref="C5">RTD("tickerplantrtdserver",,"FWRC1#USDJPY#Month Wise Rates#0#AskPrice2")</f>
        <v>-0.1</v>
      </c>
      <c r="D5" s="65">
        <f t="array" ref="D5">RTD("tickerplantrtdserver",,"FWRC1#USDJPY#Month Wise Rates#0#AskPrice7")</f>
        <v>-5.99</v>
      </c>
      <c r="E5" s="65">
        <f t="array" ref="E5">RTD("tickerplantrtdserver",,"FWRC1#USDJPY#Month Wise Rates#0#AskPrice8")</f>
        <v>-10.16</v>
      </c>
      <c r="F5" s="65">
        <f t="array" ref="F5">RTD("tickerplantrtdserver",,"FWRC1#USDJPY#Month Wise Rates#0#AskPrice9")</f>
        <v>-15.33</v>
      </c>
      <c r="G5" s="65">
        <f t="array" ref="G5">RTD("tickerplantrtdserver",,"FWRC1#USDJPY#Month Wise Rates#0#AskPrice10")</f>
        <v>-21.09</v>
      </c>
      <c r="H5" s="65">
        <f t="array" ref="H5">RTD("tickerplantrtdserver",,"FWRC1#USDJPY#Month Wise Rates#0#AskPrice11")</f>
        <v>-25.73</v>
      </c>
      <c r="I5" s="65">
        <f t="array" ref="I5">RTD("tickerplantrtdserver",,"FWRC1#USDJPY#Month Wise Rates#0#AskPrice12")</f>
        <v>-30.74</v>
      </c>
      <c r="J5" s="65">
        <f t="array" ref="J5">RTD("tickerplantrtdserver",,"FWRC1#USDJPY#Month Wise Rates#0#AskPrice13")</f>
        <v>-44.36</v>
      </c>
      <c r="K5" s="65">
        <f t="array" ref="K5">RTD("tickerplantrtdserver",,"FWRC1#USDJPY#Month Wise Rates#0#AskPrice14")</f>
        <v>-50.1</v>
      </c>
      <c r="L5" s="65">
        <f t="array" ref="L5">RTD("tickerplantrtdserver",,"FWRC1#USDJPY#Month Wise Rates#0#AskPrice15")</f>
        <v>-55.63</v>
      </c>
      <c r="M5" s="65">
        <f t="array" ref="M5">RTD("tickerplantrtdserver",,"FWRC1#USDJPY#Month Wise Rates#0#AskPrice16")</f>
        <v>-64.05</v>
      </c>
      <c r="N5" s="65">
        <f t="array" ref="N5">RTD("tickerplantrtdserver",,"FWRC1#USDJPY#Month Wise Rates#0#AskPrice17")</f>
        <v>-66.31</v>
      </c>
      <c r="O5" s="67">
        <f t="array" ref="O5">RTD("tickerplantrtdserver",,"FWRC1#USDJPY#Month Wise Rates#0#AskPrice18")</f>
        <v>-73.92</v>
      </c>
      <c r="P5" s="20"/>
    </row>
    <row r="6" spans="1:18" s="14" customFormat="1">
      <c r="A6" s="124" t="s">
        <v>3</v>
      </c>
      <c r="B6" s="125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7"/>
      <c r="P6" s="20"/>
    </row>
    <row r="7" spans="1:18" s="14" customFormat="1">
      <c r="A7" s="112" t="s">
        <v>47</v>
      </c>
      <c r="B7" s="113"/>
      <c r="C7" s="65">
        <f t="array" ref="C7">RTD("tickerplantrtdserver",,"FWRC1#USDJPY#Month Wise Rates#0#FwdOutrightBid2")</f>
        <v>106.86499999999999</v>
      </c>
      <c r="D7" s="65">
        <f t="array" ref="D7">RTD("tickerplantrtdserver",,"FWRC1#USDJPY#Month Wise Rates#0#FwdOutrightBid7")</f>
        <v>106.7791</v>
      </c>
      <c r="E7" s="65">
        <f t="array" ref="E7">RTD("tickerplantrtdserver",,"FWRC1#USDJPY#Month Wise Rates#0#FwdOutrightBid8")</f>
        <v>106.7585</v>
      </c>
      <c r="F7" s="65">
        <f t="array" ref="F7">RTD("tickerplantrtdserver",,"FWRC1#USDJPY#Month Wise Rates#0#FwdOutrightBid9")</f>
        <v>106.6922</v>
      </c>
      <c r="G7" s="65">
        <f t="array" ref="G7">RTD("tickerplantrtdserver",,"FWRC1#USDJPY#Month Wise Rates#0#FwdOutrightBid10")</f>
        <v>106.6371</v>
      </c>
      <c r="H7" s="65">
        <f t="array" ref="H7">RTD("tickerplantrtdserver",,"FWRC1#USDJPY#Month Wise Rates#0#FwdOutrightBid11")</f>
        <v>106.5827</v>
      </c>
      <c r="I7" s="65">
        <f t="array" ref="I7">RTD("tickerplantrtdserver",,"FWRC1#USDJPY#Month Wise Rates#0#FwdOutrightBid12")</f>
        <v>106.5414</v>
      </c>
      <c r="J7" s="65">
        <f t="array" ref="J7">RTD("tickerplantrtdserver",,"FWRC1#USDJPY#Month Wise Rates#0#FwdOutrightBid13")</f>
        <v>106.4014</v>
      </c>
      <c r="K7" s="65">
        <f t="array" ref="K7">RTD("tickerplantrtdserver",,"FWRC1#USDJPY#Month Wise Rates#0#FwdOutrightBid14")</f>
        <v>106.343</v>
      </c>
      <c r="L7" s="65">
        <f t="array" ref="L7">RTD("tickerplantrtdserver",,"FWRC1#USDJPY#Month Wise Rates#0#FwdOutrightBid15")</f>
        <v>106.28870000000001</v>
      </c>
      <c r="M7" s="65">
        <f t="array" ref="M7">RTD("tickerplantrtdserver",,"FWRC1#USDJPY#Month Wise Rates#0#FwdOutrightBid16")</f>
        <v>106.2129</v>
      </c>
      <c r="N7" s="65">
        <f t="array" ref="N7">RTD("tickerplantrtdserver",,"FWRC1#USDJPY#Month Wise Rates#0#FwdOutrightBid17")</f>
        <v>106.16289999999999</v>
      </c>
      <c r="O7" s="67">
        <f t="array" ref="O7">RTD("tickerplantrtdserver",,"FWRC1#USDJPY#Month Wise Rates#0#FwdOutrightBid18")</f>
        <v>106.10080000000001</v>
      </c>
      <c r="P7" s="20"/>
    </row>
    <row r="8" spans="1:18" s="14" customFormat="1">
      <c r="A8" s="112" t="s">
        <v>48</v>
      </c>
      <c r="B8" s="113"/>
      <c r="C8" s="65">
        <f t="array" ref="C8">RTD("tickerplantrtdserver",,"FWRC1#USDJPY#Month Wise Rates#0#FwdOutrightAsk2")</f>
        <v>106.87179999999999</v>
      </c>
      <c r="D8" s="65">
        <f t="array" ref="D8">RTD("tickerplantrtdserver",,"FWRC1#USDJPY#Month Wise Rates#0#FwdOutrightAsk7")</f>
        <v>106.8301</v>
      </c>
      <c r="E8" s="65">
        <f t="array" ref="E8">RTD("tickerplantrtdserver",,"FWRC1#USDJPY#Month Wise Rates#0#FwdOutrightAsk8")</f>
        <v>106.76439999999999</v>
      </c>
      <c r="F8" s="65">
        <f t="array" ref="F8">RTD("tickerplantrtdserver",,"FWRC1#USDJPY#Month Wise Rates#0#FwdOutrightAsk9")</f>
        <v>106.7257</v>
      </c>
      <c r="G8" s="65">
        <f t="array" ref="G8">RTD("tickerplantrtdserver",,"FWRC1#USDJPY#Month Wise Rates#0#FwdOutrightAsk10")</f>
        <v>106.6551</v>
      </c>
      <c r="H8" s="65">
        <f t="array" ref="H8">RTD("tickerplantrtdserver",,"FWRC1#USDJPY#Month Wise Rates#0#FwdOutrightAsk11")</f>
        <v>106.6117</v>
      </c>
      <c r="I8" s="65">
        <f t="array" ref="I8">RTD("tickerplantrtdserver",,"FWRC1#USDJPY#Month Wise Rates#0#FwdOutrightAsk12")</f>
        <v>106.5566</v>
      </c>
      <c r="J8" s="65">
        <f t="array" ref="J8">RTD("tickerplantrtdserver",,"FWRC1#USDJPY#Month Wise Rates#0#FwdOutrightAsk13")</f>
        <v>106.4234</v>
      </c>
      <c r="K8" s="65">
        <f t="array" ref="K8">RTD("tickerplantrtdserver",,"FWRC1#USDJPY#Month Wise Rates#0#FwdOutrightAsk14")</f>
        <v>106.36799999999999</v>
      </c>
      <c r="L8" s="65">
        <f t="array" ref="L8">RTD("tickerplantrtdserver",,"FWRC1#USDJPY#Month Wise Rates#0#FwdOutrightAsk15")</f>
        <v>106.3437</v>
      </c>
      <c r="M8" s="65">
        <f t="array" ref="M8">RTD("tickerplantrtdserver",,"FWRC1#USDJPY#Month Wise Rates#0#FwdOutrightAsk16")</f>
        <v>106.2225</v>
      </c>
      <c r="N8" s="65">
        <f t="array" ref="N8">RTD("tickerplantrtdserver",,"FWRC1#USDJPY#Month Wise Rates#0#FwdOutrightAsk17")</f>
        <v>106.2009</v>
      </c>
      <c r="O8" s="67">
        <f t="array" ref="O8">RTD("tickerplantrtdserver",,"FWRC1#USDJPY#Month Wise Rates#0#FwdOutrightAsk18")</f>
        <v>106.16079999999999</v>
      </c>
    </row>
    <row r="9" spans="1:18" s="14" customFormat="1">
      <c r="A9" s="124" t="s">
        <v>2</v>
      </c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</row>
    <row r="10" spans="1:18" s="14" customFormat="1">
      <c r="A10" s="112" t="s">
        <v>47</v>
      </c>
      <c r="B10" s="113"/>
      <c r="C10" s="65">
        <f t="array" ref="C10">RTD("tickerplantrtdserver",,"FWRC1#USDJPY#Month Wise Rates#0#Bid%2")</f>
        <v>-0.61480000000000001</v>
      </c>
      <c r="D10" s="65">
        <f t="array" ref="D10">RTD("tickerplantrtdserver",,"FWRC1#USDJPY#Month Wise Rates#0#Bid%7")</f>
        <v>-0.69320000000000004</v>
      </c>
      <c r="E10" s="65">
        <f t="array" ref="E10">RTD("tickerplantrtdserver",,"FWRC1#USDJPY#Month Wise Rates#0#Bid%8")</f>
        <v>-0.58509999999999995</v>
      </c>
      <c r="F10" s="65">
        <f t="array" ref="F10">RTD("tickerplantrtdserver",,"FWRC1#USDJPY#Month Wise Rates#0#Bid%9")</f>
        <v>-0.57830000000000004</v>
      </c>
      <c r="G10" s="65">
        <f t="array" ref="G10">RTD("tickerplantrtdserver",,"FWRC1#USDJPY#Month Wise Rates#0#Bid%10")</f>
        <v>-0.62219999999999998</v>
      </c>
      <c r="H10" s="65">
        <f t="array" ref="H10">RTD("tickerplantrtdserver",,"FWRC1#USDJPY#Month Wise Rates#0#Bid%11")</f>
        <v>-0.6079</v>
      </c>
      <c r="I10" s="65">
        <f t="array" ref="I10">RTD("tickerplantrtdserver",,"FWRC1#USDJPY#Month Wise Rates#0#Bid%12")</f>
        <v>-0.59650000000000003</v>
      </c>
      <c r="J10" s="65">
        <f t="array" ref="J10">RTD("tickerplantrtdserver",,"FWRC1#USDJPY#Month Wise Rates#0#Bid%13")</f>
        <v>-0.73650000000000004</v>
      </c>
      <c r="K10" s="65">
        <f t="array" ref="K10">RTD("tickerplantrtdserver",,"FWRC1#USDJPY#Month Wise Rates#0#Bid%14")</f>
        <v>-0.72629999999999995</v>
      </c>
      <c r="L10" s="65">
        <f t="array" ref="L10">RTD("tickerplantrtdserver",,"FWRC1#USDJPY#Month Wise Rates#0#Bid%15")</f>
        <v>-0.71450000000000002</v>
      </c>
      <c r="M10" s="65">
        <f t="array" ref="M10">RTD("tickerplantrtdserver",,"FWRC1#USDJPY#Month Wise Rates#0#Bid%16")</f>
        <v>-0.72340000000000004</v>
      </c>
      <c r="N10" s="65">
        <f t="array" ref="N10">RTD("tickerplantrtdserver",,"FWRC1#USDJPY#Month Wise Rates#0#Bid%17")</f>
        <v>-0.71389999999999998</v>
      </c>
      <c r="O10" s="67">
        <f t="array" ref="O10">RTD("tickerplantrtdserver",,"FWRC1#USDJPY#Month Wise Rates#0#Bid%18")</f>
        <v>-0.71020000000000005</v>
      </c>
    </row>
    <row r="11" spans="1:18" s="14" customFormat="1" ht="15.75" thickBot="1">
      <c r="A11" s="118" t="s">
        <v>48</v>
      </c>
      <c r="B11" s="119"/>
      <c r="C11" s="69">
        <f t="array" ref="C11">RTD("tickerplantrtdserver",,"FWRC1#USDJPY#Month Wise Rates#0#Ask%2")</f>
        <v>-0.34160000000000001</v>
      </c>
      <c r="D11" s="69">
        <f t="array" ref="D11">RTD("tickerplantrtdserver",,"FWRC1#USDJPY#Month Wise Rates#0#Ask%7")</f>
        <v>-0.68210000000000004</v>
      </c>
      <c r="E11" s="69">
        <f t="array" ref="E11">RTD("tickerplantrtdserver",,"FWRC1#USDJPY#Month Wise Rates#0#Ask%8")</f>
        <v>-0.56889999999999996</v>
      </c>
      <c r="F11" s="69">
        <f t="array" ref="F11">RTD("tickerplantrtdserver",,"FWRC1#USDJPY#Month Wise Rates#0#Ask%9")</f>
        <v>-0.56920000000000004</v>
      </c>
      <c r="G11" s="69">
        <f t="array" ref="G11">RTD("tickerplantrtdserver",,"FWRC1#USDJPY#Month Wise Rates#0#Ask%10")</f>
        <v>-0.58089999999999997</v>
      </c>
      <c r="H11" s="69">
        <f t="array" ref="H11">RTD("tickerplantrtdserver",,"FWRC1#USDJPY#Month Wise Rates#0#Ask%11")</f>
        <v>-0.57440000000000002</v>
      </c>
      <c r="I11" s="69">
        <f t="array" ref="I11">RTD("tickerplantrtdserver",,"FWRC1#USDJPY#Month Wise Rates#0#Ask%12")</f>
        <v>-0.57379999999999998</v>
      </c>
      <c r="J11" s="69">
        <f t="array" ref="J11">RTD("tickerplantrtdserver",,"FWRC1#USDJPY#Month Wise Rates#0#Ask%13")</f>
        <v>-0.70469999999999999</v>
      </c>
      <c r="K11" s="69">
        <f t="array" ref="K11">RTD("tickerplantrtdserver",,"FWRC1#USDJPY#Month Wise Rates#0#Ask%14")</f>
        <v>-0.69840000000000002</v>
      </c>
      <c r="L11" s="69">
        <f t="array" ref="L11">RTD("tickerplantrtdserver",,"FWRC1#USDJPY#Month Wise Rates#0#Ask%15")</f>
        <v>-0.69599999999999995</v>
      </c>
      <c r="M11" s="69">
        <f t="array" ref="M11">RTD("tickerplantrtdserver",,"FWRC1#USDJPY#Month Wise Rates#0#Ask%16")</f>
        <v>-0.71489999999999998</v>
      </c>
      <c r="N11" s="69">
        <f t="array" ref="N11">RTD("tickerplantrtdserver",,"FWRC1#USDJPY#Month Wise Rates#0#Ask%17")</f>
        <v>-0.67810000000000004</v>
      </c>
      <c r="O11" s="70">
        <f t="array" ref="O11">RTD("tickerplantrtdserver",,"FWRC1#USDJPY#Month Wise Rates#0#Ask%18")</f>
        <v>-0.69169999999999998</v>
      </c>
    </row>
    <row r="12" spans="1:18" s="14" customFormat="1" ht="15.7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spans="1:18" s="14" customFormat="1">
      <c r="A13" s="13"/>
      <c r="B13" s="21"/>
      <c r="C13" s="21"/>
      <c r="D13" s="20"/>
      <c r="E13" s="21"/>
      <c r="F13" s="21"/>
      <c r="G13" s="21"/>
      <c r="H13" s="32"/>
      <c r="I13" s="32"/>
      <c r="J13" s="32"/>
      <c r="L13" s="31"/>
      <c r="M13" s="31"/>
      <c r="N13" s="31"/>
      <c r="Q13" s="23"/>
      <c r="R13" s="23"/>
    </row>
    <row r="14" spans="1:18" s="14" customFormat="1">
      <c r="A14" s="13"/>
      <c r="B14" s="21"/>
      <c r="C14" s="21"/>
      <c r="D14" s="20"/>
      <c r="E14" s="21"/>
      <c r="F14" s="33"/>
      <c r="G14" s="34"/>
      <c r="H14" s="34"/>
      <c r="I14" s="34"/>
      <c r="J14" s="21"/>
      <c r="L14" s="20"/>
      <c r="M14" s="20"/>
      <c r="N14" s="20"/>
      <c r="P14" s="31"/>
      <c r="Q14" s="31"/>
      <c r="R14" s="31"/>
    </row>
    <row r="15" spans="1:18" s="14" customFormat="1">
      <c r="A15" s="13"/>
      <c r="B15" s="21"/>
      <c r="C15" s="21"/>
      <c r="D15" s="20"/>
      <c r="E15" s="20"/>
      <c r="G15" s="13"/>
      <c r="H15" s="20"/>
      <c r="I15" s="20"/>
      <c r="J15" s="20"/>
      <c r="L15" s="15"/>
      <c r="M15" s="15"/>
      <c r="N15" s="15"/>
      <c r="P15" s="15"/>
      <c r="Q15" s="15"/>
      <c r="R15" s="15"/>
    </row>
    <row r="16" spans="1:18" s="14" customFormat="1">
      <c r="A16" s="15"/>
      <c r="B16" s="21"/>
      <c r="C16" s="21"/>
      <c r="D16" s="20"/>
      <c r="E16" s="20"/>
      <c r="G16" s="15"/>
      <c r="H16" s="20"/>
      <c r="I16" s="20"/>
      <c r="J16" s="20"/>
      <c r="L16" s="13"/>
      <c r="P16" s="13"/>
    </row>
    <row r="17" spans="1:16" s="14" customFormat="1">
      <c r="A17" s="15"/>
      <c r="B17" s="21"/>
      <c r="C17" s="21"/>
      <c r="D17" s="20"/>
      <c r="E17" s="20"/>
      <c r="G17" s="15"/>
      <c r="H17" s="20"/>
      <c r="I17" s="20"/>
      <c r="J17" s="20"/>
      <c r="L17" s="13"/>
      <c r="P17" s="13"/>
    </row>
    <row r="18" spans="1:16" s="14" customFormat="1">
      <c r="A18" s="15"/>
      <c r="B18" s="21"/>
      <c r="C18" s="21"/>
      <c r="D18" s="20"/>
      <c r="E18" s="20"/>
      <c r="G18" s="15"/>
      <c r="H18" s="20"/>
      <c r="I18" s="20"/>
      <c r="J18" s="20"/>
      <c r="L18" s="13"/>
      <c r="P18" s="13"/>
    </row>
    <row r="19" spans="1:16" s="14" customFormat="1">
      <c r="A19" s="15"/>
      <c r="B19" s="21"/>
      <c r="C19" s="21"/>
      <c r="D19" s="58"/>
      <c r="E19" s="58"/>
      <c r="G19" s="15"/>
      <c r="H19" s="58"/>
      <c r="I19" s="58"/>
      <c r="J19" s="58"/>
      <c r="L19" s="15"/>
      <c r="P19" s="15"/>
    </row>
    <row r="20" spans="1:16" s="14" customFormat="1">
      <c r="B20" s="21"/>
      <c r="C20" s="21"/>
      <c r="D20" s="58"/>
      <c r="E20" s="58"/>
      <c r="G20" s="15"/>
      <c r="H20" s="58"/>
      <c r="I20" s="58"/>
      <c r="J20" s="58"/>
      <c r="L20" s="13"/>
    </row>
    <row r="21" spans="1:16">
      <c r="B21" s="21"/>
      <c r="C21" s="21"/>
      <c r="D21" s="58"/>
      <c r="E21" s="58"/>
      <c r="F21" s="14"/>
      <c r="G21" s="15"/>
      <c r="H21" s="58"/>
      <c r="I21" s="58"/>
      <c r="J21" s="58"/>
      <c r="K21" s="14"/>
      <c r="L21" s="13"/>
      <c r="M21" s="14"/>
      <c r="N21" s="14"/>
    </row>
    <row r="22" spans="1:16">
      <c r="B22" s="21"/>
      <c r="C22" s="21"/>
      <c r="D22" s="58"/>
      <c r="E22" s="58"/>
      <c r="F22" s="14"/>
      <c r="G22" s="15"/>
      <c r="H22" s="58"/>
      <c r="I22" s="58"/>
      <c r="J22" s="58"/>
      <c r="K22" s="14"/>
      <c r="L22" s="15"/>
      <c r="M22" s="14"/>
      <c r="N22" s="14"/>
    </row>
    <row r="23" spans="1:16">
      <c r="B23" s="21"/>
      <c r="C23" s="21"/>
      <c r="D23" s="58"/>
      <c r="E23" s="58"/>
      <c r="F23" s="14"/>
      <c r="G23" s="15"/>
      <c r="H23" s="58"/>
      <c r="I23" s="58"/>
      <c r="J23" s="58"/>
      <c r="K23" s="14"/>
      <c r="L23" s="13"/>
      <c r="M23" s="14"/>
      <c r="N23" s="14"/>
      <c r="O23" s="2"/>
    </row>
    <row r="24" spans="1:16" s="2" customFormat="1">
      <c r="B24" s="21"/>
      <c r="C24" s="21"/>
      <c r="D24" s="58"/>
      <c r="E24" s="58"/>
      <c r="F24" s="14"/>
      <c r="G24" s="15"/>
      <c r="H24" s="58"/>
      <c r="I24" s="58"/>
      <c r="J24" s="58"/>
      <c r="K24" s="14"/>
      <c r="L24" s="13"/>
      <c r="M24" s="14"/>
      <c r="N24" s="14"/>
      <c r="O24" s="3"/>
    </row>
    <row r="25" spans="1:16">
      <c r="B25" s="21"/>
      <c r="C25" s="21"/>
      <c r="D25" s="58"/>
      <c r="E25" s="58"/>
      <c r="F25" s="14"/>
      <c r="G25" s="15"/>
      <c r="H25" s="58"/>
      <c r="I25" s="58"/>
      <c r="J25" s="58"/>
      <c r="K25" s="14"/>
      <c r="L25" s="15"/>
      <c r="M25" s="14"/>
      <c r="N25" s="14"/>
    </row>
    <row r="26" spans="1:16">
      <c r="B26" s="21"/>
      <c r="C26" s="21"/>
      <c r="D26" s="58"/>
      <c r="E26" s="58"/>
      <c r="F26" s="14"/>
      <c r="G26" s="15"/>
      <c r="H26" s="58"/>
      <c r="I26" s="58"/>
      <c r="J26" s="58"/>
      <c r="K26" s="14"/>
      <c r="L26" s="13"/>
      <c r="M26" s="14"/>
      <c r="N26" s="14"/>
    </row>
    <row r="27" spans="1:16">
      <c r="B27" s="21"/>
      <c r="C27" s="21"/>
      <c r="D27" s="58"/>
      <c r="E27" s="58"/>
      <c r="F27" s="14"/>
      <c r="G27" s="15"/>
      <c r="H27" s="58"/>
      <c r="I27" s="58"/>
      <c r="J27" s="58"/>
      <c r="K27" s="14"/>
      <c r="L27" s="13"/>
      <c r="M27" s="14"/>
      <c r="N27" s="14"/>
    </row>
    <row r="28" spans="1:16">
      <c r="B28" s="21"/>
      <c r="C28" s="21"/>
      <c r="D28" s="58"/>
      <c r="E28" s="58"/>
      <c r="F28" s="14"/>
      <c r="G28" s="15"/>
      <c r="H28" s="58"/>
      <c r="I28" s="58"/>
      <c r="J28" s="58"/>
      <c r="K28" s="14"/>
      <c r="L28" s="15"/>
      <c r="M28" s="14"/>
      <c r="N28" s="14"/>
    </row>
    <row r="29" spans="1:16">
      <c r="B29" s="21"/>
      <c r="C29" s="21"/>
      <c r="D29" s="58"/>
      <c r="E29" s="58"/>
      <c r="F29" s="14"/>
      <c r="G29" s="15"/>
      <c r="H29" s="58"/>
      <c r="I29" s="58"/>
      <c r="J29" s="58"/>
      <c r="K29" s="14"/>
      <c r="L29" s="13"/>
      <c r="M29" s="14"/>
      <c r="N29" s="14"/>
    </row>
    <row r="30" spans="1:16">
      <c r="B30" s="21"/>
      <c r="C30" s="21"/>
      <c r="D30" s="58"/>
      <c r="E30" s="58"/>
      <c r="F30" s="14"/>
      <c r="G30" s="15"/>
      <c r="H30" s="58"/>
      <c r="I30" s="58"/>
      <c r="J30" s="58"/>
      <c r="K30" s="14"/>
      <c r="L30" s="13"/>
      <c r="M30" s="14"/>
      <c r="N30" s="14"/>
    </row>
    <row r="31" spans="1:16">
      <c r="B31" s="21"/>
      <c r="C31" s="21"/>
      <c r="D31" s="58"/>
      <c r="E31" s="58"/>
      <c r="F31" s="14"/>
      <c r="G31" s="15"/>
      <c r="H31" s="58"/>
      <c r="I31" s="58"/>
      <c r="J31" s="58"/>
      <c r="K31" s="14"/>
      <c r="L31" s="15"/>
      <c r="M31" s="14"/>
      <c r="N31" s="14"/>
    </row>
    <row r="32" spans="1:16">
      <c r="B32" s="21"/>
      <c r="C32" s="21"/>
      <c r="D32" s="58"/>
      <c r="E32" s="58"/>
      <c r="F32" s="14"/>
      <c r="G32" s="15"/>
      <c r="H32" s="58"/>
      <c r="I32" s="58"/>
      <c r="J32" s="58"/>
      <c r="K32" s="14"/>
      <c r="L32" s="13"/>
      <c r="M32" s="14"/>
      <c r="N32" s="14"/>
    </row>
    <row r="33" spans="1:14">
      <c r="B33" s="21"/>
      <c r="C33" s="21"/>
      <c r="D33" s="58"/>
      <c r="E33" s="58"/>
      <c r="F33" s="14"/>
      <c r="G33" s="15"/>
      <c r="H33" s="58"/>
      <c r="I33" s="58"/>
      <c r="J33" s="58"/>
      <c r="K33" s="14"/>
      <c r="L33" s="13"/>
      <c r="M33" s="14"/>
      <c r="N33" s="14"/>
    </row>
    <row r="36" spans="1:14">
      <c r="A36" s="1"/>
      <c r="B36" s="1"/>
    </row>
  </sheetData>
  <mergeCells count="14">
    <mergeCell ref="A1:B1"/>
    <mergeCell ref="A10:B10"/>
    <mergeCell ref="A11:B11"/>
    <mergeCell ref="A6:B6"/>
    <mergeCell ref="C6:O6"/>
    <mergeCell ref="A7:B7"/>
    <mergeCell ref="A8:B8"/>
    <mergeCell ref="A9:B9"/>
    <mergeCell ref="C9:O9"/>
    <mergeCell ref="A5:B5"/>
    <mergeCell ref="A2:B2"/>
    <mergeCell ref="A3:B3"/>
    <mergeCell ref="C3:O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sheetFormatPr defaultRowHeight="15"/>
  <cols>
    <col min="2" max="2" width="9.140625" style="78"/>
  </cols>
  <sheetData>
    <row r="1" spans="1:18" ht="15.75" thickBot="1">
      <c r="C1" s="130" t="s">
        <v>13</v>
      </c>
      <c r="D1" s="128"/>
      <c r="E1" s="128" t="s">
        <v>12</v>
      </c>
      <c r="F1" s="128"/>
      <c r="G1" s="128" t="s">
        <v>11</v>
      </c>
      <c r="H1" s="128"/>
      <c r="I1" s="128" t="s">
        <v>10</v>
      </c>
      <c r="J1" s="128"/>
      <c r="K1" s="128" t="s">
        <v>9</v>
      </c>
      <c r="L1" s="128"/>
      <c r="M1" s="128" t="s">
        <v>8</v>
      </c>
      <c r="N1" s="128"/>
      <c r="O1" s="128" t="s">
        <v>7</v>
      </c>
      <c r="P1" s="129"/>
    </row>
    <row r="2" spans="1:18" ht="15.75" thickBot="1">
      <c r="B2" s="80" t="s">
        <v>53</v>
      </c>
      <c r="C2" s="82" t="s">
        <v>26</v>
      </c>
      <c r="D2" s="79" t="s">
        <v>24</v>
      </c>
      <c r="E2" s="79" t="s">
        <v>26</v>
      </c>
      <c r="F2" s="79" t="s">
        <v>24</v>
      </c>
      <c r="G2" s="79" t="s">
        <v>26</v>
      </c>
      <c r="H2" s="79" t="s">
        <v>24</v>
      </c>
      <c r="I2" s="79" t="s">
        <v>26</v>
      </c>
      <c r="J2" s="79" t="s">
        <v>24</v>
      </c>
      <c r="K2" s="79" t="s">
        <v>26</v>
      </c>
      <c r="L2" s="79" t="s">
        <v>24</v>
      </c>
      <c r="M2" s="79" t="s">
        <v>26</v>
      </c>
      <c r="N2" s="79" t="s">
        <v>24</v>
      </c>
      <c r="O2" s="79" t="s">
        <v>26</v>
      </c>
      <c r="P2" s="85" t="s">
        <v>24</v>
      </c>
      <c r="Q2" s="57"/>
      <c r="R2" s="57"/>
    </row>
    <row r="3" spans="1:18" ht="15.75" thickBot="1">
      <c r="A3" t="s">
        <v>42</v>
      </c>
      <c r="B3" s="98">
        <v>2</v>
      </c>
      <c r="C3" s="86">
        <f t="array" ref="C3">RTD("tickerplantrtdserver",,"FWRC1#USDINR#Month Wise Rates#0#BidPrice0")</f>
        <v>76.025000000000006</v>
      </c>
      <c r="D3" s="87">
        <f t="array" ref="D3">RTD("tickerplantrtdserver",,"FWRC1#USDINR#Month Wise Rates#0#AskPrice0")</f>
        <v>76.034999999999997</v>
      </c>
      <c r="E3" s="87">
        <f t="array" ref="E3">RTD("tickerplantrtdserver",,"FWRC1#EURINR#Month Wise Rates#0#BidPrice0")</f>
        <v>85.287499999999994</v>
      </c>
      <c r="F3" s="87">
        <f t="array" ref="F3">RTD("tickerplantrtdserver",,"FWRC1#EURINR#Month Wise Rates#0#AskPrice0")</f>
        <v>85.3</v>
      </c>
      <c r="G3" s="87">
        <f t="array" ref="G3">RTD("tickerplantrtdserver",,"FWRC1#GBPINR#Month Wise Rates#0#BidPrice0")</f>
        <v>94.462500000000006</v>
      </c>
      <c r="H3" s="87">
        <f t="array" ref="H3">RTD("tickerplantrtdserver",,"FWRC1#GBPINR#Month Wise Rates#0#AskPrice0")</f>
        <v>94.512500000000003</v>
      </c>
      <c r="I3" s="88">
        <f t="array" ref="I3">RTD("tickerplantrtdserver",,"FWRC1#JPYINR#Month Wise Rates#0#BidPrice0")</f>
        <v>71.084999999999994</v>
      </c>
      <c r="J3" s="88">
        <f t="array" ref="J3">RTD("tickerplantrtdserver",,"FWRC1#JPYINR#Month Wise Rates#0#AskPrice0")</f>
        <v>71.12</v>
      </c>
      <c r="K3" s="88">
        <f t="array" ref="K3">RTD("tickerplantrtdserver",,"FWRC1#EURUSD#Month Wise Rates#0#BidPrice0")</f>
        <v>1.1258999999999999</v>
      </c>
      <c r="L3" s="88">
        <f t="array" ref="L3">RTD("tickerplantrtdserver",,"FWRC1#EURUSD#Month Wise Rates#0#AskPrice0")</f>
        <v>1.1263000000000001</v>
      </c>
      <c r="M3" s="88">
        <f t="array" ref="M3">RTD("tickerplantrtdserver",,"FWRC1#GBPUSD#Month Wise Rates#0#BidPrice0")</f>
        <v>1.2447999999999999</v>
      </c>
      <c r="N3" s="88">
        <f t="array" ref="N3">RTD("tickerplantrtdserver",,"FWRC1#GBPUSD#Month Wise Rates#0#AskPrice0")</f>
        <v>1.2453000000000001</v>
      </c>
      <c r="O3" s="89">
        <f t="array" ref="O3">RTD("tickerplantrtdserver",,"FWRC1#USDJPY#Month Wise Rates#0#BidPrice0")</f>
        <v>106.855</v>
      </c>
      <c r="P3" s="90">
        <f t="array" ref="P3">RTD("tickerplantrtdserver",,"FWRC1#USDJPY#Month Wise Rates#0#AskPrice0")</f>
        <v>106.869</v>
      </c>
    </row>
    <row r="4" spans="1:18" ht="15" customHeight="1">
      <c r="A4" s="101" t="s">
        <v>36</v>
      </c>
      <c r="B4" s="99">
        <v>33</v>
      </c>
      <c r="C4" s="91">
        <f t="array" ref="C4">RTD("tickerplantrtdserver",,"FWRC1#USDINR#Month Wise Rates#0#BidPrice7")</f>
        <v>20.782299999999999</v>
      </c>
      <c r="D4" s="83">
        <f t="array" ref="D4">RTD("tickerplantrtdserver",,"FWRC1#USDINR#Month Wise Rates#0#AskPrice7")</f>
        <v>22.782299999999999</v>
      </c>
      <c r="E4" s="81">
        <f t="array" ref="E4">RTD("tickerplantrtdserver",,"FWRC1#EURINR#Month Wise Rates#0#BidPrice7")</f>
        <v>29.1234</v>
      </c>
      <c r="F4" s="81">
        <f t="array" ref="F4">RTD("tickerplantrtdserver",,"FWRC1#EURINR#Month Wise Rates#0#AskPrice7")</f>
        <v>31.522099999999998</v>
      </c>
      <c r="G4" s="81">
        <f>RTD("tickerplantrtdserver",,"FWRC1#GBPINR#Month Wise Rates#0#BidPrice7")/100</f>
        <v>27.534128999999997</v>
      </c>
      <c r="H4" s="81">
        <f>RTD("tickerplantrtdserver",,"FWRC1#GBPINR#Month Wise Rates#0#AskPrice7")/100</f>
        <v>30.249432000000002</v>
      </c>
      <c r="I4" s="84">
        <f>RTD("tickerplantrtdserver",,"FWRC1#JPYINR#Month Wise Rates#0#BidPrice7")/100</f>
        <v>23.306781999999998</v>
      </c>
      <c r="J4" s="84">
        <f>RTD("tickerplantrtdserver",,"FWRC1#JPYINR#Month Wise Rates#0#AskPrice7")/100</f>
        <v>25.245900000000002</v>
      </c>
      <c r="K4" s="84">
        <f t="array" ref="K4">RTD("tickerplantrtdserver",,"FWRC1#EURUSD#Month Wise Rates#0#BidPrice7")</f>
        <v>7.75</v>
      </c>
      <c r="L4" s="84">
        <f t="array" ref="L4">RTD("tickerplantrtdserver",,"FWRC1#EURUSD#Month Wise Rates#0#AskPrice7")</f>
        <v>7.95</v>
      </c>
      <c r="M4" s="84">
        <f t="array" ref="M4">RTD("tickerplantrtdserver",,"FWRC1#GBPUSD#Month Wise Rates#0#BidPrice7")</f>
        <v>2.29</v>
      </c>
      <c r="N4" s="84">
        <f t="array" ref="N4">RTD("tickerplantrtdserver",,"FWRC1#GBPUSD#Month Wise Rates#0#AskPrice7")</f>
        <v>2.59</v>
      </c>
      <c r="O4" s="84">
        <f t="array" ref="O4">RTD("tickerplantrtdserver",,"FWRC1#USDJPY#Month Wise Rates#0#BidPrice7")</f>
        <v>-6.09</v>
      </c>
      <c r="P4" s="92">
        <f t="array" ref="P4">RTD("tickerplantrtdserver",,"FWRC1#USDJPY#Month Wise Rates#0#AskPrice7")</f>
        <v>-5.99</v>
      </c>
    </row>
    <row r="5" spans="1:18">
      <c r="A5" s="102" t="s">
        <v>37</v>
      </c>
      <c r="B5" s="99">
        <v>61</v>
      </c>
      <c r="C5" s="93">
        <f t="array" ref="C5">RTD("tickerplantrtdserver",,"FWRC1#USDINR#Month Wise Rates#0#BidPrice8")</f>
        <v>42.9758</v>
      </c>
      <c r="D5" s="81">
        <f t="array" ref="D5">RTD("tickerplantrtdserver",,"FWRC1#USDINR#Month Wise Rates#0#AskPrice8")</f>
        <v>44.9758</v>
      </c>
      <c r="E5" s="81">
        <f t="array" ref="E5">RTD("tickerplantrtdserver",,"FWRC1#EURINR#Month Wise Rates#0#BidPrice8")</f>
        <v>60.215400000000002</v>
      </c>
      <c r="F5" s="81">
        <f t="array" ref="F5">RTD("tickerplantrtdserver",,"FWRC1#EURINR#Month Wise Rates#0#AskPrice8")</f>
        <v>62.540700000000001</v>
      </c>
      <c r="G5" s="81">
        <f>RTD("tickerplantrtdserver",,"FWRC1#GBPINR#Month Wise Rates#0#BidPrice8")/100</f>
        <v>56.54289</v>
      </c>
      <c r="H5" s="81">
        <f>RTD("tickerplantrtdserver",,"FWRC1#GBPINR#Month Wise Rates#0#AskPrice8")/100</f>
        <v>59.411985000000001</v>
      </c>
      <c r="I5" s="84">
        <f>RTD("tickerplantrtdserver",,"FWRC1#JPYINR#Month Wise Rates#0#BidPrice8")/100</f>
        <v>46.866047000000002</v>
      </c>
      <c r="J5" s="84">
        <f>RTD("tickerplantrtdserver",,"FWRC1#JPYINR#Month Wise Rates#0#AskPrice8")/100</f>
        <v>48.949422000000006</v>
      </c>
      <c r="K5" s="84">
        <f t="array" ref="K5">RTD("tickerplantrtdserver",,"FWRC1#EURUSD#Month Wise Rates#0#BidPrice8")</f>
        <v>15.71</v>
      </c>
      <c r="L5" s="84">
        <f t="array" ref="L5">RTD("tickerplantrtdserver",,"FWRC1#EURUSD#Month Wise Rates#0#AskPrice8")</f>
        <v>15.97</v>
      </c>
      <c r="M5" s="84">
        <f t="array" ref="M5">RTD("tickerplantrtdserver",,"FWRC1#GBPUSD#Month Wise Rates#0#BidPrice8")</f>
        <v>4.2</v>
      </c>
      <c r="N5" s="84">
        <f t="array" ref="N5">RTD("tickerplantrtdserver",,"FWRC1#GBPUSD#Month Wise Rates#0#AskPrice8")</f>
        <v>4.7</v>
      </c>
      <c r="O5" s="84">
        <f t="array" ref="O5">RTD("tickerplantrtdserver",,"FWRC1#USDJPY#Month Wise Rates#0#BidPrice8")</f>
        <v>-10.45</v>
      </c>
      <c r="P5" s="92">
        <f t="array" ref="P5">RTD("tickerplantrtdserver",,"FWRC1#USDJPY#Month Wise Rates#0#AskPrice8")</f>
        <v>-10.16</v>
      </c>
    </row>
    <row r="6" spans="1:18">
      <c r="A6" s="102" t="s">
        <v>35</v>
      </c>
      <c r="B6" s="99">
        <v>92</v>
      </c>
      <c r="C6" s="93">
        <f t="array" ref="C6">RTD("tickerplantrtdserver",,"FWRC1#USDINR#Month Wise Rates#0#BidPrice9")</f>
        <v>67.2</v>
      </c>
      <c r="D6" s="81">
        <f t="array" ref="D6">RTD("tickerplantrtdserver",,"FWRC1#USDINR#Month Wise Rates#0#AskPrice9")</f>
        <v>69.2</v>
      </c>
      <c r="E6" s="81">
        <f t="array" ref="E6">RTD("tickerplantrtdserver",,"FWRC1#EURINR#Month Wise Rates#0#BidPrice9")</f>
        <v>94.293400000000005</v>
      </c>
      <c r="F6" s="81">
        <f t="array" ref="F6">RTD("tickerplantrtdserver",,"FWRC1#EURINR#Month Wise Rates#0#AskPrice9")</f>
        <v>96.575299999999999</v>
      </c>
      <c r="G6" s="81">
        <f>RTD("tickerplantrtdserver",,"FWRC1#GBPINR#Month Wise Rates#0#BidPrice9")/100</f>
        <v>88.947692000000004</v>
      </c>
      <c r="H6" s="81">
        <f>RTD("tickerplantrtdserver",,"FWRC1#GBPINR#Month Wise Rates#0#AskPrice9")/100</f>
        <v>91.977590000000006</v>
      </c>
      <c r="I6" s="84">
        <f>RTD("tickerplantrtdserver",,"FWRC1#JPYINR#Month Wise Rates#0#BidPrice9")/100</f>
        <v>73.709249999999997</v>
      </c>
      <c r="J6" s="84">
        <f>RTD("tickerplantrtdserver",,"FWRC1#JPYINR#Month Wise Rates#0#AskPrice9")/100</f>
        <v>75.752887000000001</v>
      </c>
      <c r="K6" s="84">
        <f t="array" ref="K6">RTD("tickerplantrtdserver",,"FWRC1#EURUSD#Month Wise Rates#0#BidPrice9")</f>
        <v>23.85</v>
      </c>
      <c r="L6" s="84">
        <f t="array" ref="L6">RTD("tickerplantrtdserver",,"FWRC1#EURUSD#Month Wise Rates#0#AskPrice9")</f>
        <v>24.1</v>
      </c>
      <c r="M6" s="84">
        <f t="array" ref="M6">RTD("tickerplantrtdserver",,"FWRC1#GBPUSD#Month Wise Rates#0#BidPrice9")</f>
        <v>6.1</v>
      </c>
      <c r="N6" s="84">
        <f t="array" ref="N6">RTD("tickerplantrtdserver",,"FWRC1#GBPUSD#Month Wise Rates#0#AskPrice9")</f>
        <v>6.8</v>
      </c>
      <c r="O6" s="84">
        <f t="array" ref="O6">RTD("tickerplantrtdserver",,"FWRC1#USDJPY#Month Wise Rates#0#BidPrice9")</f>
        <v>-15.58</v>
      </c>
      <c r="P6" s="92">
        <f t="array" ref="P6">RTD("tickerplantrtdserver",,"FWRC1#USDJPY#Month Wise Rates#0#AskPrice9")</f>
        <v>-15.33</v>
      </c>
    </row>
    <row r="7" spans="1:18">
      <c r="A7" s="102" t="s">
        <v>38</v>
      </c>
      <c r="B7" s="99">
        <v>125</v>
      </c>
      <c r="C7" s="93">
        <f t="array" ref="C7">RTD("tickerplantrtdserver",,"FWRC1#USDINR#Month Wise Rates#0#BidPrice10")</f>
        <v>93.517200000000003</v>
      </c>
      <c r="D7" s="81">
        <f t="array" ref="D7">RTD("tickerplantrtdserver",,"FWRC1#USDINR#Month Wise Rates#0#AskPrice10")</f>
        <v>95.517200000000003</v>
      </c>
      <c r="E7" s="81">
        <f t="array" ref="E7">RTD("tickerplantrtdserver",,"FWRC1#EURINR#Month Wise Rates#0#BidPrice10")</f>
        <v>128.8425</v>
      </c>
      <c r="F7" s="81">
        <f t="array" ref="F7">RTD("tickerplantrtdserver",,"FWRC1#EURINR#Month Wise Rates#0#AskPrice10")</f>
        <v>131.54920000000001</v>
      </c>
      <c r="G7" s="81">
        <f>RTD("tickerplantrtdserver",,"FWRC1#GBPINR#Month Wise Rates#0#BidPrice10")/100</f>
        <v>121.680228</v>
      </c>
      <c r="H7" s="81">
        <f>RTD("tickerplantrtdserver",,"FWRC1#GBPINR#Month Wise Rates#0#AskPrice10")/100</f>
        <v>124.88522999999999</v>
      </c>
      <c r="I7" s="84">
        <f>RTD("tickerplantrtdserver",,"FWRC1#JPYINR#Month Wise Rates#0#BidPrice10")/100</f>
        <v>100.69113900000001</v>
      </c>
      <c r="J7" s="84">
        <f>RTD("tickerplantrtdserver",,"FWRC1#JPYINR#Month Wise Rates#0#AskPrice10")/100</f>
        <v>103.624464</v>
      </c>
      <c r="K7" s="84">
        <f t="array" ref="K7">RTD("tickerplantrtdserver",,"FWRC1#EURUSD#Month Wise Rates#0#BidPrice10")</f>
        <v>32.29</v>
      </c>
      <c r="L7" s="84">
        <f t="array" ref="L7">RTD("tickerplantrtdserver",,"FWRC1#EURUSD#Month Wise Rates#0#AskPrice10")</f>
        <v>32.83</v>
      </c>
      <c r="M7" s="84">
        <f t="array" ref="M7">RTD("tickerplantrtdserver",,"FWRC1#GBPUSD#Month Wise Rates#0#BidPrice10")</f>
        <v>8.1199999999999992</v>
      </c>
      <c r="N7" s="84">
        <f t="array" ref="N7">RTD("tickerplantrtdserver",,"FWRC1#GBPUSD#Month Wise Rates#0#AskPrice10")</f>
        <v>9.0299999999999994</v>
      </c>
      <c r="O7" s="84">
        <f t="array" ref="O7">RTD("tickerplantrtdserver",,"FWRC1#USDJPY#Month Wise Rates#0#BidPrice10")</f>
        <v>-22.59</v>
      </c>
      <c r="P7" s="92">
        <f t="array" ref="P7">RTD("tickerplantrtdserver",,"FWRC1#USDJPY#Month Wise Rates#0#AskPrice10")</f>
        <v>-21.09</v>
      </c>
    </row>
    <row r="8" spans="1:18">
      <c r="A8" s="102" t="s">
        <v>39</v>
      </c>
      <c r="B8" s="99">
        <v>153</v>
      </c>
      <c r="C8" s="93">
        <f t="array" ref="C8">RTD("tickerplantrtdserver",,"FWRC1#USDINR#Month Wise Rates#0#BidPrice11")</f>
        <v>117.069</v>
      </c>
      <c r="D8" s="81">
        <f t="array" ref="D8">RTD("tickerplantrtdserver",,"FWRC1#USDINR#Month Wise Rates#0#AskPrice11")</f>
        <v>119.069</v>
      </c>
      <c r="E8" s="81">
        <f t="array" ref="E8">RTD("tickerplantrtdserver",,"FWRC1#EURINR#Month Wise Rates#0#BidPrice11")</f>
        <v>159.4297</v>
      </c>
      <c r="F8" s="81">
        <f t="array" ref="F8">RTD("tickerplantrtdserver",,"FWRC1#EURINR#Month Wise Rates#0#AskPrice11")</f>
        <v>162.08279999999999</v>
      </c>
      <c r="G8" s="81">
        <f>RTD("tickerplantrtdserver",,"FWRC1#GBPINR#Month Wise Rates#0#BidPrice11")/100</f>
        <v>150.28357099999999</v>
      </c>
      <c r="H8" s="81">
        <f>RTD("tickerplantrtdserver",,"FWRC1#GBPINR#Month Wise Rates#0#AskPrice11")/100</f>
        <v>153.642493</v>
      </c>
      <c r="I8" s="84">
        <f>RTD("tickerplantrtdserver",,"FWRC1#JPYINR#Month Wise Rates#0#BidPrice11")/100</f>
        <v>124.680206</v>
      </c>
      <c r="J8" s="84">
        <f>RTD("tickerplantrtdserver",,"FWRC1#JPYINR#Month Wise Rates#0#AskPrice11")/100</f>
        <v>127.628916</v>
      </c>
      <c r="K8" s="84">
        <f t="array" ref="K8">RTD("tickerplantrtdserver",,"FWRC1#EURUSD#Month Wise Rates#0#BidPrice11")</f>
        <v>39.630000000000003</v>
      </c>
      <c r="L8" s="84">
        <f t="array" ref="L8">RTD("tickerplantrtdserver",,"FWRC1#EURUSD#Month Wise Rates#0#AskPrice11")</f>
        <v>40.369999999999997</v>
      </c>
      <c r="M8" s="84">
        <f t="array" ref="M8">RTD("tickerplantrtdserver",,"FWRC1#GBPUSD#Month Wise Rates#0#BidPrice11")</f>
        <v>9.6300000000000008</v>
      </c>
      <c r="N8" s="84">
        <f t="array" ref="N8">RTD("tickerplantrtdserver",,"FWRC1#GBPUSD#Month Wise Rates#0#AskPrice11")</f>
        <v>10.74</v>
      </c>
      <c r="O8" s="84">
        <f t="array" ref="O8">RTD("tickerplantrtdserver",,"FWRC1#USDJPY#Month Wise Rates#0#BidPrice11")</f>
        <v>-27.23</v>
      </c>
      <c r="P8" s="92">
        <f t="array" ref="P8">RTD("tickerplantrtdserver",,"FWRC1#USDJPY#Month Wise Rates#0#AskPrice11")</f>
        <v>-25.73</v>
      </c>
    </row>
    <row r="9" spans="1:18">
      <c r="A9" s="102" t="s">
        <v>34</v>
      </c>
      <c r="B9" s="99">
        <v>184</v>
      </c>
      <c r="C9" s="93">
        <f t="array" ref="C9">RTD("tickerplantrtdserver",,"FWRC1#USDINR#Month Wise Rates#0#BidPrice12")</f>
        <v>141.1397</v>
      </c>
      <c r="D9" s="81">
        <f t="array" ref="D9">RTD("tickerplantrtdserver",,"FWRC1#USDINR#Month Wise Rates#0#AskPrice12")</f>
        <v>143.1397</v>
      </c>
      <c r="E9" s="81">
        <f t="array" ref="E9">RTD("tickerplantrtdserver",,"FWRC1#EURINR#Month Wise Rates#0#BidPrice12")</f>
        <v>194.24850000000001</v>
      </c>
      <c r="F9" s="81">
        <f t="array" ref="F9">RTD("tickerplantrtdserver",,"FWRC1#EURINR#Month Wise Rates#0#AskPrice12")</f>
        <v>197.2259</v>
      </c>
      <c r="G9" s="81">
        <f>RTD("tickerplantrtdserver",,"FWRC1#GBPINR#Month Wise Rates#0#BidPrice12")/100</f>
        <v>183.301175</v>
      </c>
      <c r="H9" s="81">
        <f>RTD("tickerplantrtdserver",,"FWRC1#GBPINR#Month Wise Rates#0#AskPrice12")/100</f>
        <v>186.80900699999998</v>
      </c>
      <c r="I9" s="84">
        <f>RTD("tickerplantrtdserver",,"FWRC1#JPYINR#Month Wise Rates#0#BidPrice12")/100</f>
        <v>152.452124</v>
      </c>
      <c r="J9" s="84">
        <f>RTD("tickerplantrtdserver",,"FWRC1#JPYINR#Month Wise Rates#0#AskPrice12")/100</f>
        <v>155.22762399999999</v>
      </c>
      <c r="K9" s="84">
        <f t="array" ref="K9">RTD("tickerplantrtdserver",,"FWRC1#EURUSD#Month Wise Rates#0#BidPrice12")</f>
        <v>47.54</v>
      </c>
      <c r="L9" s="84">
        <f t="array" ref="L9">RTD("tickerplantrtdserver",,"FWRC1#EURUSD#Month Wise Rates#0#AskPrice12")</f>
        <v>48.34</v>
      </c>
      <c r="M9" s="84">
        <f t="array" ref="M9">RTD("tickerplantrtdserver",,"FWRC1#GBPUSD#Month Wise Rates#0#BidPrice12")</f>
        <v>11.04</v>
      </c>
      <c r="N9" s="84">
        <f t="array" ref="N9">RTD("tickerplantrtdserver",,"FWRC1#GBPUSD#Month Wise Rates#0#AskPrice12")</f>
        <v>12.34</v>
      </c>
      <c r="O9" s="84">
        <f t="array" ref="O9">RTD("tickerplantrtdserver",,"FWRC1#USDJPY#Month Wise Rates#0#BidPrice12")</f>
        <v>-31.96</v>
      </c>
      <c r="P9" s="92">
        <f t="array" ref="P9">RTD("tickerplantrtdserver",,"FWRC1#USDJPY#Month Wise Rates#0#AskPrice12")</f>
        <v>-30.74</v>
      </c>
    </row>
    <row r="10" spans="1:18">
      <c r="A10" s="102" t="s">
        <v>43</v>
      </c>
      <c r="B10" s="99">
        <v>215</v>
      </c>
      <c r="C10" s="93">
        <f t="array" ref="C10">RTD("tickerplantrtdserver",,"FWRC1#USDINR#Month Wise Rates#0#BidPrice13")</f>
        <v>167.0086</v>
      </c>
      <c r="D10" s="81">
        <f t="array" ref="D10">RTD("tickerplantrtdserver",,"FWRC1#USDINR#Month Wise Rates#0#AskPrice13")</f>
        <v>169.0086</v>
      </c>
      <c r="E10" s="81">
        <f t="array" ref="E10">RTD("tickerplantrtdserver",,"FWRC1#EURINR#Month Wise Rates#0#BidPrice13")</f>
        <v>233.85740000000001</v>
      </c>
      <c r="F10" s="81">
        <f t="array" ref="F10">RTD("tickerplantrtdserver",,"FWRC1#EURINR#Month Wise Rates#0#AskPrice13")</f>
        <v>238.84110000000001</v>
      </c>
      <c r="G10" s="81">
        <f>RTD("tickerplantrtdserver",,"FWRC1#GBPINR#Month Wise Rates#0#BidPrice13")/100</f>
        <v>220.460465</v>
      </c>
      <c r="H10" s="81">
        <f>RTD("tickerplantrtdserver",,"FWRC1#GBPINR#Month Wise Rates#0#AskPrice13")/100</f>
        <v>224.13239099999998</v>
      </c>
      <c r="I10" s="84">
        <f>RTD("tickerplantrtdserver",,"FWRC1#JPYINR#Month Wise Rates#0#BidPrice13")/100</f>
        <v>186.60197600000001</v>
      </c>
      <c r="J10" s="84">
        <f>RTD("tickerplantrtdserver",,"FWRC1#JPYINR#Month Wise Rates#0#AskPrice13")/100</f>
        <v>189.85775900000002</v>
      </c>
      <c r="K10" s="84">
        <f t="array" ref="K10">RTD("tickerplantrtdserver",,"FWRC1#EURUSD#Month Wise Rates#0#BidPrice13")</f>
        <v>60.36</v>
      </c>
      <c r="L10" s="84">
        <f t="array" ref="L10">RTD("tickerplantrtdserver",,"FWRC1#EURUSD#Month Wise Rates#0#AskPrice13")</f>
        <v>63.86</v>
      </c>
      <c r="M10" s="84">
        <f t="array" ref="M10">RTD("tickerplantrtdserver",,"FWRC1#GBPUSD#Month Wise Rates#0#BidPrice13")</f>
        <v>16.45</v>
      </c>
      <c r="N10" s="84">
        <f t="array" ref="N10">RTD("tickerplantrtdserver",,"FWRC1#GBPUSD#Month Wise Rates#0#AskPrice13")</f>
        <v>17.96</v>
      </c>
      <c r="O10" s="84">
        <f t="array" ref="O10">RTD("tickerplantrtdserver",,"FWRC1#USDJPY#Month Wise Rates#0#BidPrice13")</f>
        <v>-46.36</v>
      </c>
      <c r="P10" s="92">
        <f t="array" ref="P10">RTD("tickerplantrtdserver",,"FWRC1#USDJPY#Month Wise Rates#0#AskPrice13")</f>
        <v>-44.36</v>
      </c>
    </row>
    <row r="11" spans="1:18">
      <c r="A11" s="102" t="s">
        <v>44</v>
      </c>
      <c r="B11" s="99">
        <v>245</v>
      </c>
      <c r="C11" s="93">
        <f t="array" ref="C11">RTD("tickerplantrtdserver",,"FWRC1#USDINR#Month Wise Rates#0#BidPrice14")</f>
        <v>189.9821</v>
      </c>
      <c r="D11" s="81">
        <f t="array" ref="D11">RTD("tickerplantrtdserver",,"FWRC1#USDINR#Month Wise Rates#0#AskPrice14")</f>
        <v>191.9821</v>
      </c>
      <c r="E11" s="81">
        <f t="array" ref="E11">RTD("tickerplantrtdserver",,"FWRC1#EURINR#Month Wise Rates#0#BidPrice14")</f>
        <v>265.67419999999998</v>
      </c>
      <c r="F11" s="81">
        <f t="array" ref="F11">RTD("tickerplantrtdserver",,"FWRC1#EURINR#Month Wise Rates#0#AskPrice14")</f>
        <v>269.6551</v>
      </c>
      <c r="G11" s="81">
        <f>RTD("tickerplantrtdserver",,"FWRC1#GBPINR#Month Wise Rates#0#BidPrice14")/100</f>
        <v>250.17389599999998</v>
      </c>
      <c r="H11" s="81">
        <f>RTD("tickerplantrtdserver",,"FWRC1#GBPINR#Month Wise Rates#0#AskPrice14")/100</f>
        <v>254.00649700000002</v>
      </c>
      <c r="I11" s="84">
        <f>RTD("tickerplantrtdserver",,"FWRC1#JPYINR#Month Wise Rates#0#BidPrice14")/100</f>
        <v>212.059068</v>
      </c>
      <c r="J11" s="84">
        <f>RTD("tickerplantrtdserver",,"FWRC1#JPYINR#Month Wise Rates#0#AskPrice14")/100</f>
        <v>215.391941</v>
      </c>
      <c r="K11" s="84">
        <f t="array" ref="K11">RTD("tickerplantrtdserver",,"FWRC1#EURUSD#Month Wise Rates#0#BidPrice14")</f>
        <v>67.959999999999994</v>
      </c>
      <c r="L11" s="84">
        <f t="array" ref="L11">RTD("tickerplantrtdserver",,"FWRC1#EURUSD#Month Wise Rates#0#AskPrice14")</f>
        <v>70.16</v>
      </c>
      <c r="M11" s="84">
        <f t="array" ref="M11">RTD("tickerplantrtdserver",,"FWRC1#GBPUSD#Month Wise Rates#0#BidPrice14")</f>
        <v>17.899999999999999</v>
      </c>
      <c r="N11" s="84">
        <f t="array" ref="N11">RTD("tickerplantrtdserver",,"FWRC1#GBPUSD#Month Wise Rates#0#AskPrice14")</f>
        <v>19.61</v>
      </c>
      <c r="O11" s="84">
        <f t="array" ref="O11">RTD("tickerplantrtdserver",,"FWRC1#USDJPY#Month Wise Rates#0#BidPrice14")</f>
        <v>-52.1</v>
      </c>
      <c r="P11" s="92">
        <f t="array" ref="P11">RTD("tickerplantrtdserver",,"FWRC1#USDJPY#Month Wise Rates#0#AskPrice14")</f>
        <v>-50.1</v>
      </c>
    </row>
    <row r="12" spans="1:18">
      <c r="A12" s="102" t="s">
        <v>40</v>
      </c>
      <c r="B12" s="99">
        <v>278</v>
      </c>
      <c r="C12" s="93">
        <f t="array" ref="C12">RTD("tickerplantrtdserver",,"FWRC1#USDINR#Month Wise Rates#0#BidPrice15")</f>
        <v>212.77269999999999</v>
      </c>
      <c r="D12" s="81">
        <f t="array" ref="D12">RTD("tickerplantrtdserver",,"FWRC1#USDINR#Month Wise Rates#0#AskPrice15")</f>
        <v>214.77269999999999</v>
      </c>
      <c r="E12" s="81">
        <f t="array" ref="E12">RTD("tickerplantrtdserver",,"FWRC1#EURINR#Month Wise Rates#0#BidPrice15")</f>
        <v>297.02229999999997</v>
      </c>
      <c r="F12" s="81">
        <f t="array" ref="F12">RTD("tickerplantrtdserver",,"FWRC1#EURINR#Month Wise Rates#0#AskPrice15")</f>
        <v>301.24509999999998</v>
      </c>
      <c r="G12" s="81">
        <f>RTD("tickerplantrtdserver",,"FWRC1#GBPINR#Month Wise Rates#0#BidPrice15")/100</f>
        <v>280.17256099999997</v>
      </c>
      <c r="H12" s="81">
        <f>RTD("tickerplantrtdserver",,"FWRC1#GBPINR#Month Wise Rates#0#AskPrice15")/100</f>
        <v>284.45194200000003</v>
      </c>
      <c r="I12" s="84">
        <f>RTD("tickerplantrtdserver",,"FWRC1#JPYINR#Month Wise Rates#0#BidPrice15")/100</f>
        <v>237.31985299999999</v>
      </c>
      <c r="J12" s="84">
        <f>RTD("tickerplantrtdserver",,"FWRC1#JPYINR#Month Wise Rates#0#AskPrice15")/100</f>
        <v>240.34555499999999</v>
      </c>
      <c r="K12" s="84">
        <f t="array" ref="K12">RTD("tickerplantrtdserver",,"FWRC1#EURUSD#Month Wise Rates#0#BidPrice15")</f>
        <v>75.06</v>
      </c>
      <c r="L12" s="84">
        <f t="array" ref="L12">RTD("tickerplantrtdserver",,"FWRC1#EURUSD#Month Wise Rates#0#AskPrice15")</f>
        <v>77.56</v>
      </c>
      <c r="M12" s="84">
        <f t="array" ref="M12">RTD("tickerplantrtdserver",,"FWRC1#GBPUSD#Month Wise Rates#0#BidPrice15")</f>
        <v>19.850000000000001</v>
      </c>
      <c r="N12" s="84">
        <f t="array" ref="N12">RTD("tickerplantrtdserver",,"FWRC1#GBPUSD#Month Wise Rates#0#AskPrice15")</f>
        <v>22</v>
      </c>
      <c r="O12" s="84">
        <f t="array" ref="O12">RTD("tickerplantrtdserver",,"FWRC1#USDJPY#Month Wise Rates#0#BidPrice15")</f>
        <v>-57.13</v>
      </c>
      <c r="P12" s="92">
        <f t="array" ref="P12">RTD("tickerplantrtdserver",,"FWRC1#USDJPY#Month Wise Rates#0#AskPrice15")</f>
        <v>-55.63</v>
      </c>
    </row>
    <row r="13" spans="1:18">
      <c r="A13" s="102" t="s">
        <v>45</v>
      </c>
      <c r="B13" s="99">
        <v>306</v>
      </c>
      <c r="C13" s="93">
        <f t="array" ref="C13">RTD("tickerplantrtdserver",,"FWRC1#USDINR#Month Wise Rates#0#BidPrice16")</f>
        <v>244.5</v>
      </c>
      <c r="D13" s="81">
        <f t="array" ref="D13">RTD("tickerplantrtdserver",,"FWRC1#USDINR#Month Wise Rates#0#AskPrice16")</f>
        <v>246.5</v>
      </c>
      <c r="E13" s="81">
        <f t="array" ref="E13">RTD("tickerplantrtdserver",,"FWRC1#EURINR#Month Wise Rates#0#BidPrice16")</f>
        <v>339.78879999999998</v>
      </c>
      <c r="F13" s="81">
        <f t="array" ref="F13">RTD("tickerplantrtdserver",,"FWRC1#EURINR#Month Wise Rates#0#AskPrice16")</f>
        <v>345.98500000000001</v>
      </c>
      <c r="G13" s="81">
        <f>RTD("tickerplantrtdserver",,"FWRC1#GBPINR#Month Wise Rates#0#BidPrice16")/100</f>
        <v>320.59628499999997</v>
      </c>
      <c r="H13" s="81">
        <f>RTD("tickerplantrtdserver",,"FWRC1#GBPINR#Month Wise Rates#0#AskPrice16")/100</f>
        <v>324.77850999999998</v>
      </c>
      <c r="I13" s="84">
        <f>RTD("tickerplantrtdserver",,"FWRC1#JPYINR#Month Wise Rates#0#BidPrice16")/100</f>
        <v>272.39978200000002</v>
      </c>
      <c r="J13" s="84">
        <f>RTD("tickerplantrtdserver",,"FWRC1#JPYINR#Month Wise Rates#0#AskPrice16")/100</f>
        <v>275.44836500000002</v>
      </c>
      <c r="K13" s="84">
        <f t="array" ref="K13">RTD("tickerplantrtdserver",,"FWRC1#EURUSD#Month Wise Rates#0#BidPrice16")</f>
        <v>84.01</v>
      </c>
      <c r="L13" s="84">
        <f t="array" ref="L13">RTD("tickerplantrtdserver",,"FWRC1#EURUSD#Month Wise Rates#0#AskPrice16")</f>
        <v>89.01</v>
      </c>
      <c r="M13" s="84">
        <f t="array" ref="M13">RTD("tickerplantrtdserver",,"FWRC1#GBPUSD#Month Wise Rates#0#BidPrice16")</f>
        <v>21.09</v>
      </c>
      <c r="N13" s="84">
        <f t="array" ref="N13">RTD("tickerplantrtdserver",,"FWRC1#GBPUSD#Month Wise Rates#0#AskPrice16")</f>
        <v>23.2</v>
      </c>
      <c r="O13" s="84">
        <f t="array" ref="O13">RTD("tickerplantrtdserver",,"FWRC1#USDJPY#Month Wise Rates#0#BidPrice16")</f>
        <v>-64.81</v>
      </c>
      <c r="P13" s="92">
        <f t="array" ref="P13">RTD("tickerplantrtdserver",,"FWRC1#USDJPY#Month Wise Rates#0#AskPrice16")</f>
        <v>-64.05</v>
      </c>
    </row>
    <row r="14" spans="1:18">
      <c r="A14" s="102" t="s">
        <v>46</v>
      </c>
      <c r="B14" s="99">
        <v>335</v>
      </c>
      <c r="C14" s="93">
        <f t="array" ref="C14">RTD("tickerplantrtdserver",,"FWRC1#USDINR#Month Wise Rates#0#BidPrice17")</f>
        <v>265.9194</v>
      </c>
      <c r="D14" s="81">
        <f t="array" ref="D14">RTD("tickerplantrtdserver",,"FWRC1#USDINR#Month Wise Rates#0#AskPrice17")</f>
        <v>267.9194</v>
      </c>
      <c r="E14" s="81">
        <f t="array" ref="E14">RTD("tickerplantrtdserver",,"FWRC1#EURINR#Month Wise Rates#0#BidPrice17")</f>
        <v>369.77210000000002</v>
      </c>
      <c r="F14" s="81">
        <f t="array" ref="F14">RTD("tickerplantrtdserver",,"FWRC1#EURINR#Month Wise Rates#0#AskPrice17")</f>
        <v>376.375</v>
      </c>
      <c r="G14" s="81">
        <f>RTD("tickerplantrtdserver",,"FWRC1#GBPINR#Month Wise Rates#0#BidPrice17")/100</f>
        <v>348.75579400000004</v>
      </c>
      <c r="H14" s="81">
        <f>RTD("tickerplantrtdserver",,"FWRC1#GBPINR#Month Wise Rates#0#AskPrice17")/100</f>
        <v>352.21067900000003</v>
      </c>
      <c r="I14" s="84">
        <f>RTD("tickerplantrtdserver",,"FWRC1#JPYINR#Month Wise Rates#0#BidPrice17")/100</f>
        <v>294.972193</v>
      </c>
      <c r="J14" s="84">
        <f>RTD("tickerplantrtdserver",,"FWRC1#JPYINR#Month Wise Rates#0#AskPrice17")/100</f>
        <v>299.30796800000002</v>
      </c>
      <c r="K14" s="84">
        <f t="array" ref="K14">RTD("tickerplantrtdserver",,"FWRC1#EURUSD#Month Wise Rates#0#BidPrice17")</f>
        <v>91.34</v>
      </c>
      <c r="L14" s="84">
        <f t="array" ref="L14">RTD("tickerplantrtdserver",,"FWRC1#EURUSD#Month Wise Rates#0#AskPrice17")</f>
        <v>96.84</v>
      </c>
      <c r="M14" s="84">
        <f t="array" ref="M14">RTD("tickerplantrtdserver",,"FWRC1#GBPUSD#Month Wise Rates#0#BidPrice17")</f>
        <v>22.29</v>
      </c>
      <c r="N14" s="84">
        <f t="array" ref="N14">RTD("tickerplantrtdserver",,"FWRC1#GBPUSD#Month Wise Rates#0#AskPrice17")</f>
        <v>24.58</v>
      </c>
      <c r="O14" s="84">
        <f t="array" ref="O14">RTD("tickerplantrtdserver",,"FWRC1#USDJPY#Month Wise Rates#0#BidPrice17")</f>
        <v>-69.81</v>
      </c>
      <c r="P14" s="92">
        <f t="array" ref="P14">RTD("tickerplantrtdserver",,"FWRC1#USDJPY#Month Wise Rates#0#AskPrice17")</f>
        <v>-66.31</v>
      </c>
    </row>
    <row r="15" spans="1:18" ht="15.75" thickBot="1">
      <c r="A15" s="103" t="s">
        <v>33</v>
      </c>
      <c r="B15" s="100">
        <v>365</v>
      </c>
      <c r="C15" s="94">
        <f t="array" ref="C15">RTD("tickerplantrtdserver",,"FWRC1#USDINR#Month Wise Rates#0#BidPrice18")</f>
        <v>288.4194</v>
      </c>
      <c r="D15" s="95">
        <f t="array" ref="D15">RTD("tickerplantrtdserver",,"FWRC1#USDINR#Month Wise Rates#0#AskPrice18")</f>
        <v>290.4194</v>
      </c>
      <c r="E15" s="95">
        <f t="array" ref="E15">RTD("tickerplantrtdserver",,"FWRC1#EURINR#Month Wise Rates#0#BidPrice18")</f>
        <v>401.65679999999998</v>
      </c>
      <c r="F15" s="95">
        <f t="array" ref="F15">RTD("tickerplantrtdserver",,"FWRC1#EURINR#Month Wise Rates#0#AskPrice18")</f>
        <v>406.22239999999999</v>
      </c>
      <c r="G15" s="95">
        <f>RTD("tickerplantrtdserver",,"FWRC1#GBPINR#Month Wise Rates#0#BidPrice18")/100</f>
        <v>377.41647599999999</v>
      </c>
      <c r="H15" s="95">
        <f>RTD("tickerplantrtdserver",,"FWRC1#GBPINR#Month Wise Rates#0#AskPrice18")/100</f>
        <v>381.94929999999999</v>
      </c>
      <c r="I15" s="96">
        <f>RTD("tickerplantrtdserver",,"FWRC1#JPYINR#Month Wise Rates#0#BidPrice18")/100</f>
        <v>321.47787599999998</v>
      </c>
      <c r="J15" s="96">
        <f>RTD("tickerplantrtdserver",,"FWRC1#JPYINR#Month Wise Rates#0#AskPrice18")/100</f>
        <v>324.77232100000003</v>
      </c>
      <c r="K15" s="96">
        <f t="array" ref="K15">RTD("tickerplantrtdserver",,"FWRC1#EURUSD#Month Wise Rates#0#BidPrice18")</f>
        <v>98.46</v>
      </c>
      <c r="L15" s="96">
        <f t="array" ref="L15">RTD("tickerplantrtdserver",,"FWRC1#EURUSD#Month Wise Rates#0#AskPrice18")</f>
        <v>101.36</v>
      </c>
      <c r="M15" s="96">
        <f t="array" ref="M15">RTD("tickerplantrtdserver",,"FWRC1#GBPUSD#Month Wise Rates#0#BidPrice18")</f>
        <v>23.45</v>
      </c>
      <c r="N15" s="96">
        <f t="array" ref="N15">RTD("tickerplantrtdserver",,"FWRC1#GBPUSD#Month Wise Rates#0#AskPrice18")</f>
        <v>25.95</v>
      </c>
      <c r="O15" s="96">
        <f t="array" ref="O15">RTD("tickerplantrtdserver",,"FWRC1#USDJPY#Month Wise Rates#0#BidPrice18")</f>
        <v>-75.92</v>
      </c>
      <c r="P15" s="97">
        <f t="array" ref="P15">RTD("tickerplantrtdserver",,"FWRC1#USDJPY#Month Wise Rates#0#AskPrice18")</f>
        <v>-73.92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8" customHeight="1"/>
  <cols>
    <col min="1" max="1" width="13.28515625" style="146" bestFit="1" customWidth="1"/>
    <col min="2" max="16384" width="9.140625" style="134"/>
  </cols>
  <sheetData>
    <row r="1" spans="1:7" ht="18" customHeight="1" thickBot="1">
      <c r="A1" s="131" t="s">
        <v>14</v>
      </c>
      <c r="B1" s="132" t="s">
        <v>20</v>
      </c>
      <c r="C1" s="132" t="s">
        <v>19</v>
      </c>
      <c r="D1" s="132" t="s">
        <v>18</v>
      </c>
      <c r="E1" s="133" t="s">
        <v>54</v>
      </c>
    </row>
    <row r="2" spans="1:7" ht="18" customHeight="1">
      <c r="A2" s="135" t="str">
        <f>RTD("tickerplantrtdserver",,"17#1#1#6069#USDINRCOMP#S#Descr.")</f>
        <v>USDINRCOMP</v>
      </c>
      <c r="B2" s="136">
        <f>RTD("tickerplantrtdserver",,"17#1#1#6069#USDINRCOMP#Open")</f>
        <v>76.17</v>
      </c>
      <c r="C2" s="136">
        <f>RTD("tickerplantrtdserver",,"17#1#1#6069#USDINRCOMP#High")</f>
        <v>76.180000000000007</v>
      </c>
      <c r="D2" s="136">
        <f>RTD("tickerplantrtdserver",,"17#1#1#6069#USDINRCOMP#Low")</f>
        <v>75.989999999999995</v>
      </c>
      <c r="E2" s="137">
        <f>RTD("tickerplantrtdserver",,"17#1#1#6069#USDINRCOMP#LTP")</f>
        <v>76.025000000000006</v>
      </c>
    </row>
    <row r="3" spans="1:7" ht="18" customHeight="1">
      <c r="A3" s="138" t="str">
        <f>RTD("tickerplantrtdserver",,"17#3#1#5949#EURINRCOMP#S#Descr.")</f>
        <v>EURINRCOMP</v>
      </c>
      <c r="B3" s="139">
        <f>RTD("tickerplantrtdserver",,"17#3#1#5949#EURINRCOMP#Open")</f>
        <v>85.28</v>
      </c>
      <c r="C3" s="139">
        <f>RTD("tickerplantrtdserver",,"17#3#1#5949#EURINRCOMP#High")</f>
        <v>85.327500000000001</v>
      </c>
      <c r="D3" s="139">
        <f>RTD("tickerplantrtdserver",,"17#3#1#5949#EURINRCOMP#Low")</f>
        <v>85.067499999999995</v>
      </c>
      <c r="E3" s="140">
        <f>RTD("tickerplantrtdserver",,"17#3#1#5949#EURINRCOMP#LTP")</f>
        <v>85.287499999999994</v>
      </c>
    </row>
    <row r="4" spans="1:7" ht="18" customHeight="1">
      <c r="A4" s="138" t="str">
        <f>RTD("tickerplantrtdserver",,"17#3#1#6031#GBPINRCOMP#S#Descr.")</f>
        <v>GBPINRCOMP</v>
      </c>
      <c r="B4" s="139">
        <f>RTD("tickerplantrtdserver",,"17#3#1#6031#GBPINRCOMP#Open")</f>
        <v>94.33</v>
      </c>
      <c r="C4" s="139">
        <f>RTD("tickerplantrtdserver",,"17#3#1#6031#GBPINRCOMP#High")</f>
        <v>94.48</v>
      </c>
      <c r="D4" s="139">
        <f>RTD("tickerplantrtdserver",,"17#3#1#6031#GBPINRCOMP#Low")</f>
        <v>94.097499999999997</v>
      </c>
      <c r="E4" s="140">
        <f>RTD("tickerplantrtdserver",,"17#3#1#6031#GBPINRCOMP#LTP")</f>
        <v>94.462500000000006</v>
      </c>
    </row>
    <row r="5" spans="1:7" ht="18" customHeight="1">
      <c r="A5" s="138" t="str">
        <f>RTD("tickerplantrtdserver",,"17#3#1#5978#JPYINRCOMP#S#Descr.")</f>
        <v>JPYINRCOMP</v>
      </c>
      <c r="B5" s="139">
        <f>RTD("tickerplantrtdserver",,"17#3#1#5978#JPYINRCOMP#Open")</f>
        <v>71.25</v>
      </c>
      <c r="C5" s="139">
        <f>RTD("tickerplantrtdserver",,"17#3#1#5978#JPYINRCOMP#High")</f>
        <v>71.257499999999993</v>
      </c>
      <c r="D5" s="139">
        <f>RTD("tickerplantrtdserver",,"17#3#1#5978#JPYINRCOMP#Low")</f>
        <v>71.002499999999998</v>
      </c>
      <c r="E5" s="140">
        <f>RTD("tickerplantrtdserver",,"17#3#1#5978#JPYINRCOMP#LTP")</f>
        <v>71.084999999999994</v>
      </c>
      <c r="G5" s="172" t="s">
        <v>59</v>
      </c>
    </row>
    <row r="6" spans="1:7" ht="18" customHeight="1">
      <c r="A6" s="138" t="str">
        <f>RTD("tickerplantrtdserver",,"17#3#1#6056#CHFINRCOMP#S#Descr.")</f>
        <v>CHFINRCOMP</v>
      </c>
      <c r="B6" s="139">
        <f>RTD("tickerplantrtdserver",,"17#3#1#6056#CHFINRCOMP#Open")</f>
        <v>80.072500000000005</v>
      </c>
      <c r="C6" s="139">
        <f>RTD("tickerplantrtdserver",,"17#3#1#6056#CHFINRCOMP#High")</f>
        <v>80.099999999999994</v>
      </c>
      <c r="D6" s="139">
        <f>RTD("tickerplantrtdserver",,"17#3#1#6056#CHFINRCOMP#Low")</f>
        <v>79.842500000000001</v>
      </c>
      <c r="E6" s="140">
        <f>RTD("tickerplantrtdserver",,"17#3#1#6056#CHFINRCOMP#LTP")</f>
        <v>80.010000000000005</v>
      </c>
      <c r="G6" s="172"/>
    </row>
    <row r="7" spans="1:7" ht="18" customHeight="1">
      <c r="A7" s="138" t="str">
        <f>RTD("tickerplantrtdserver",,"17#3#1#5921#CADINRCOMP#S#Descr.")</f>
        <v>CADINRCOMP</v>
      </c>
      <c r="B7" s="139">
        <f>RTD("tickerplantrtdserver",,"17#3#1#5921#CADINRCOMP#Open")</f>
        <v>56.072499999999998</v>
      </c>
      <c r="C7" s="139">
        <f>RTD("tickerplantrtdserver",,"17#3#1#5921#CADINRCOMP#High")</f>
        <v>56.092500000000001</v>
      </c>
      <c r="D7" s="139">
        <f>RTD("tickerplantrtdserver",,"17#3#1#5921#CADINRCOMP#Low")</f>
        <v>55.924999999999997</v>
      </c>
      <c r="E7" s="140">
        <f>RTD("tickerplantrtdserver",,"17#3#1#5921#CADINRCOMP#LTP")</f>
        <v>56.022500000000001</v>
      </c>
      <c r="G7" s="172"/>
    </row>
    <row r="8" spans="1:7" ht="18" customHeight="1">
      <c r="A8" s="138" t="str">
        <f>RTD("tickerplantrtdserver",,"17#3#1#5903#AUDINRCOMP#S#Descr.")</f>
        <v>AUDINRCOMP</v>
      </c>
      <c r="B8" s="139">
        <f>RTD("tickerplantrtdserver",,"17#3#1#5903#AUDINRCOMP#Open")</f>
        <v>52.327500000000001</v>
      </c>
      <c r="C8" s="139">
        <f>RTD("tickerplantrtdserver",,"17#3#1#5903#AUDINRCOMP#High")</f>
        <v>52.37</v>
      </c>
      <c r="D8" s="139">
        <f>RTD("tickerplantrtdserver",,"17#3#1#5903#AUDINRCOMP#Low")</f>
        <v>52.147500000000001</v>
      </c>
      <c r="E8" s="140">
        <f>RTD("tickerplantrtdserver",,"17#3#1#5903#AUDINRCOMP#LTP")</f>
        <v>52.305</v>
      </c>
      <c r="G8" s="172"/>
    </row>
    <row r="9" spans="1:7" ht="18" customHeight="1">
      <c r="A9" s="138" t="str">
        <f>RTD("tickerplantrtdserver",,"17#3#1#6041#SGDINRCOMP#S#Descr.")</f>
        <v>SGDINRCOMP</v>
      </c>
      <c r="B9" s="139">
        <f>RTD("tickerplantrtdserver",,"17#3#1#6041#SGDINRCOMP#Open")</f>
        <v>54.59</v>
      </c>
      <c r="C9" s="139">
        <f>RTD("tickerplantrtdserver",,"17#3#1#6041#SGDINRCOMP#High")</f>
        <v>54.604999999999997</v>
      </c>
      <c r="D9" s="139">
        <f>RTD("tickerplantrtdserver",,"17#3#1#6041#SGDINRCOMP#Low")</f>
        <v>54.407499999999999</v>
      </c>
      <c r="E9" s="140">
        <f>RTD("tickerplantrtdserver",,"17#3#1#6041#SGDINRCOMP#LTP")</f>
        <v>54.487499999999997</v>
      </c>
      <c r="G9" s="172"/>
    </row>
    <row r="10" spans="1:7" ht="18" customHeight="1">
      <c r="A10" s="138" t="str">
        <f>RTD("tickerplantrtdserver",,"12#2#1#5949#SEURUSD#S#Descr.")</f>
        <v>EURUSD</v>
      </c>
      <c r="B10" s="139">
        <f>RTD("tickerplantrtdserver",,"12#2#1#5949#SEURUSD#Open")</f>
        <v>1.1175999999999999</v>
      </c>
      <c r="C10" s="139">
        <f>RTD("tickerplantrtdserver",,"12#2#1#5949#SEURUSD#High")</f>
        <v>1.1269899999999999</v>
      </c>
      <c r="D10" s="139">
        <f>RTD("tickerplantrtdserver",,"12#2#1#5949#SEURUSD#Low")</f>
        <v>1.1167</v>
      </c>
      <c r="E10" s="140">
        <f>RTD("tickerplantrtdserver",,"12#2#1#5949#SEURUSD#LTP")</f>
        <v>1.1258999999999999</v>
      </c>
    </row>
    <row r="11" spans="1:7" ht="18" customHeight="1">
      <c r="A11" s="138" t="str">
        <f>RTD("tickerplantrtdserver",,"12#2#1#6031#SGBPUSD#S#Descr.")</f>
        <v>GBPUSD</v>
      </c>
      <c r="B11" s="139">
        <f>RTD("tickerplantrtdserver",,"12#2#1#6031#SGBPUSD#Open")</f>
        <v>1.2348399999999999</v>
      </c>
      <c r="C11" s="139">
        <f>RTD("tickerplantrtdserver",,"12#2#1#6031#SGBPUSD#High")</f>
        <v>1.2456400000000001</v>
      </c>
      <c r="D11" s="139">
        <f>RTD("tickerplantrtdserver",,"12#2#1#6031#SGBPUSD#Low")</f>
        <v>1.2333000000000001</v>
      </c>
      <c r="E11" s="140">
        <f>RTD("tickerplantrtdserver",,"12#2#1#6031#SGBPUSD#LTP")</f>
        <v>1.2447999999999999</v>
      </c>
    </row>
    <row r="12" spans="1:7" ht="18" customHeight="1">
      <c r="A12" s="138" t="str">
        <f>RTD("tickerplantrtdserver",,"12#2#1#6069#SUSDJPY#S#Descr.")</f>
        <v>USDJPY</v>
      </c>
      <c r="B12" s="141">
        <f>RTD("tickerplantrtdserver",,"12#2#1#6069#SUSDJPY#Open")</f>
        <v>106.86499999999999</v>
      </c>
      <c r="C12" s="141">
        <f>RTD("tickerplantrtdserver",,"12#2#1#6069#SUSDJPY#High")</f>
        <v>107.011</v>
      </c>
      <c r="D12" s="141">
        <f>RTD("tickerplantrtdserver",,"12#2#1#6069#SUSDJPY#Low")</f>
        <v>106.727</v>
      </c>
      <c r="E12" s="142">
        <f>RTD("tickerplantrtdserver",,"12#2#1#6069#SUSDJPY#LTP")</f>
        <v>106.855</v>
      </c>
    </row>
    <row r="13" spans="1:7" ht="18" customHeight="1">
      <c r="A13" s="138" t="str">
        <f>RTD("tickerplantrtdserver",,"12#2#1#6069#SUSDCHF#S#Descr.")</f>
        <v>USDCHF</v>
      </c>
      <c r="B13" s="139">
        <f>RTD("tickerplantrtdserver",,"12#2#1#6069#SUSDCHF#Open")</f>
        <v>0.95238</v>
      </c>
      <c r="C13" s="139">
        <f>RTD("tickerplantrtdserver",,"12#2#1#6069#SUSDCHF#High")</f>
        <v>0.95399999999999996</v>
      </c>
      <c r="D13" s="139">
        <f>RTD("tickerplantrtdserver",,"12#2#1#6069#SUSDCHF#Low")</f>
        <v>0.94589999999999996</v>
      </c>
      <c r="E13" s="140">
        <f>RTD("tickerplantrtdserver",,"12#2#1#6069#SUSDCHF#LTP")</f>
        <v>0.94730999999999999</v>
      </c>
    </row>
    <row r="14" spans="1:7" ht="18" customHeight="1">
      <c r="A14" s="138" t="str">
        <f>RTD("tickerplantrtdserver",,"12#2#1#6069#SUSDCAD#S#Descr.")</f>
        <v>USDCAD</v>
      </c>
      <c r="B14" s="139">
        <f>RTD("tickerplantrtdserver",,"12#2#1#6069#SUSDCAD#Open")</f>
        <v>1.36039</v>
      </c>
      <c r="C14" s="139">
        <f>RTD("tickerplantrtdserver",,"12#2#1#6069#SUSDCAD#High")</f>
        <v>1.3630100000000001</v>
      </c>
      <c r="D14" s="139">
        <f>RTD("tickerplantrtdserver",,"12#2#1#6069#SUSDCAD#Low")</f>
        <v>1.3524</v>
      </c>
      <c r="E14" s="140">
        <f>RTD("tickerplantrtdserver",,"12#2#1#6069#SUSDCAD#LTP")</f>
        <v>1.3539000000000001</v>
      </c>
    </row>
    <row r="15" spans="1:7" ht="18" customHeight="1">
      <c r="A15" s="138" t="str">
        <f>RTD("tickerplantrtdserver",,"12#2#1#5903#SAUDUSD#S#Descr.")</f>
        <v>AUDUSD</v>
      </c>
      <c r="B15" s="139">
        <f>RTD("tickerplantrtdserver",,"12#2#1#5903#SAUDUSD#Open")</f>
        <v>0.68339000000000005</v>
      </c>
      <c r="C15" s="139">
        <f>RTD("tickerplantrtdserver",,"12#2#1#5903#SAUDUSD#High")</f>
        <v>0.69113000000000002</v>
      </c>
      <c r="D15" s="139">
        <f>RTD("tickerplantrtdserver",,"12#2#1#5903#SAUDUSD#Low")</f>
        <v>0.68049000000000004</v>
      </c>
      <c r="E15" s="140">
        <f>RTD("tickerplantrtdserver",,"12#2#1#5903#SAUDUSD#LTP")</f>
        <v>0.6905</v>
      </c>
    </row>
    <row r="16" spans="1:7" ht="18" customHeight="1" thickBot="1">
      <c r="A16" s="143" t="str">
        <f>RTD("tickerplantrtdserver",,"12#2#1#6069#SUSDSGD#S#Descr.")</f>
        <v>USDSGD</v>
      </c>
      <c r="B16" s="144">
        <f>RTD("tickerplantrtdserver",,"12#2#1#6069#SUSDSGD#Open")</f>
        <v>1.3972</v>
      </c>
      <c r="C16" s="144">
        <f>RTD("tickerplantrtdserver",,"12#2#1#6069#SUSDSGD#High")</f>
        <v>1.3992</v>
      </c>
      <c r="D16" s="144">
        <f>RTD("tickerplantrtdserver",,"12#2#1#6069#SUSDSGD#Low")</f>
        <v>1.3917999999999999</v>
      </c>
      <c r="E16" s="145">
        <f>RTD("tickerplantrtdserver",,"12#2#1#6069#SUSDSGD#LTP")</f>
        <v>1.3923000000000001</v>
      </c>
    </row>
    <row r="17" spans="1:16" ht="18" customHeight="1" thickBot="1">
      <c r="B17" s="147"/>
      <c r="C17" s="147"/>
      <c r="D17" s="147"/>
      <c r="E17" s="147"/>
    </row>
    <row r="18" spans="1:16" ht="18" customHeight="1" thickBot="1">
      <c r="A18" s="131" t="s">
        <v>14</v>
      </c>
      <c r="B18" s="132" t="s">
        <v>55</v>
      </c>
      <c r="C18" s="132" t="s">
        <v>36</v>
      </c>
      <c r="D18" s="132" t="s">
        <v>37</v>
      </c>
      <c r="E18" s="132" t="s">
        <v>35</v>
      </c>
      <c r="F18" s="132" t="s">
        <v>38</v>
      </c>
      <c r="G18" s="132" t="s">
        <v>39</v>
      </c>
      <c r="H18" s="132" t="s">
        <v>34</v>
      </c>
      <c r="I18" s="132" t="s">
        <v>43</v>
      </c>
      <c r="J18" s="132" t="s">
        <v>44</v>
      </c>
      <c r="K18" s="132" t="s">
        <v>40</v>
      </c>
      <c r="L18" s="132" t="s">
        <v>45</v>
      </c>
      <c r="M18" s="132" t="s">
        <v>46</v>
      </c>
      <c r="N18" s="133" t="s">
        <v>33</v>
      </c>
    </row>
    <row r="19" spans="1:16" ht="18" customHeight="1">
      <c r="A19" s="135" t="str">
        <f>RTD("tickerplantrtdserver",,"17#1#1#6069#USDINRCOMP#S#Descr.")</f>
        <v>USDINRCOMP</v>
      </c>
      <c r="B19" s="148">
        <f t="array" ref="B19">RTD("tickerplantrtdserver",,"FWRC1#USDINR#Month End Rates#0#Close0")</f>
        <v>76.025000000000006</v>
      </c>
      <c r="C19" s="149">
        <f>RTD("tickerplantrtdserver",,"FWRC1#USDINR#Month End Rates#0#Close0")+RTD("tickerplantrtdserver",,"FWRC1#USDINR#Month End Rates#0#Close4")/100</f>
        <v>76.0625</v>
      </c>
      <c r="D19" s="148">
        <f>RTD("tickerplantrtdserver",,"FWRC1#USDINR#Month End Rates#0#Close0")+RTD("tickerplantrtdserver",,"FWRC1#USDINR#Month End Rates#0#Close5")/100</f>
        <v>76.282499999999999</v>
      </c>
      <c r="E19" s="150">
        <f>RTD("tickerplantrtdserver",,"FWRC1#USDINR#Month End Rates#0#Close0")+RTD("tickerplantrtdserver",,"FWRC1#USDINR#Month End Rates#0#Close6")/100</f>
        <v>76.50500000000001</v>
      </c>
      <c r="F19" s="150">
        <f>RTD("tickerplantrtdserver",,"FWRC1#USDINR#Month End Rates#0#Close0")+RTD("tickerplantrtdserver",,"FWRC1#USDINR#Month End Rates#0#Close7")/100</f>
        <v>76.745000000000005</v>
      </c>
      <c r="G19" s="150">
        <f>RTD("tickerplantrtdserver",,"FWRC1#USDINR#Month End Rates#0#Close0")+RTD("tickerplantrtdserver",,"FWRC1#USDINR#Month End Rates#0#Close8")/100</f>
        <v>76.984999999999999</v>
      </c>
      <c r="H19" s="150">
        <f>RTD("tickerplantrtdserver",,"FWRC1#USDINR#Month End Rates#0#Close0")+RTD("tickerplantrtdserver",,"FWRC1#USDINR#Month End Rates#0#Close9")/100</f>
        <v>77.22</v>
      </c>
      <c r="I19" s="150">
        <f>RTD("tickerplantrtdserver",,"FWRC1#USDINR#Month End Rates#0#Close0")+RTD("tickerplantrtdserver",,"FWRC1#USDINR#Month End Rates#0#Close10")/100</f>
        <v>77.492500000000007</v>
      </c>
      <c r="J19" s="150">
        <f>RTD("tickerplantrtdserver",,"FWRC1#USDINR#Month End Rates#0#Close0")+RTD("tickerplantrtdserver",,"FWRC1#USDINR#Month End Rates#0#Close11")/100</f>
        <v>77.727500000000006</v>
      </c>
      <c r="K19" s="150">
        <f>RTD("tickerplantrtdserver",,"FWRC1#USDINR#Month End Rates#0#Close0")+RTD("tickerplantrtdserver",,"FWRC1#USDINR#Month End Rates#0#Close12")/100</f>
        <v>77.940000000000012</v>
      </c>
      <c r="L19" s="150">
        <f>RTD("tickerplantrtdserver",,"FWRC1#USDINR#Month End Rates#0#Close0")+RTD("tickerplantrtdserver",,"FWRC1#USDINR#Month End Rates#0#Close13")/100</f>
        <v>78.210000000000008</v>
      </c>
      <c r="M19" s="150">
        <f>RTD("tickerplantrtdserver",,"FWRC1#USDINR#Month End Rates#0#Close0")+RTD("tickerplantrtdserver",,"FWRC1#USDINR#Month End Rates#0#Close14")/100</f>
        <v>78.510000000000005</v>
      </c>
      <c r="N19" s="151">
        <f>RTD("tickerplantrtdserver",,"FWRC1#USDINR#Month End Rates#0#Close0")+RTD("tickerplantrtdserver",,"FWRC1#USDINR#Month End Rates#0#Close15")/100</f>
        <v>78.734999999999999</v>
      </c>
    </row>
    <row r="20" spans="1:16" ht="18" customHeight="1">
      <c r="A20" s="138" t="str">
        <f>RTD("tickerplantrtdserver",,"17#3#1#5949#EURINRCOMP#S#Descr.")</f>
        <v>EURINRCOMP</v>
      </c>
      <c r="B20" s="152">
        <f t="array" ref="B20">RTD("tickerplantrtdserver",,"FWRC1#EURINR#Month End Rates#0#Close0")</f>
        <v>85.287499999999994</v>
      </c>
      <c r="C20" s="153">
        <f>RTD("tickerplantrtdserver",,"FWRC1#EURINR#Month End Rates#0#Close0")+RTD("tickerplantrtdserver",,"FWRC1#EURINR#Month End Rates#0#Close4")/100</f>
        <v>85.34044999999999</v>
      </c>
      <c r="D20" s="153">
        <f>RTD("tickerplantrtdserver",,"FWRC1#EURINR#Month End Rates#0#Close0")+RTD("tickerplantrtdserver",,"FWRC1#EURINR#Month End Rates#0#Close5")/100</f>
        <v>85.646850000000001</v>
      </c>
      <c r="E20" s="153">
        <f>RTD("tickerplantrtdserver",,"FWRC1#EURINR#Month End Rates#0#Close0")+RTD("tickerplantrtdserver",,"FWRC1#EURINR#Month End Rates#0#Close6")/100</f>
        <v>85.976949999999988</v>
      </c>
      <c r="F20" s="153">
        <f>RTD("tickerplantrtdserver",,"FWRC1#EURINR#Month End Rates#0#Close0")+RTD("tickerplantrtdserver",,"FWRC1#EURINR#Month End Rates#0#Close7")/100</f>
        <v>86.295374999999993</v>
      </c>
      <c r="G20" s="153">
        <f>RTD("tickerplantrtdserver",,"FWRC1#EURINR#Month End Rates#0#Close0")+RTD("tickerplantrtdserver",,"FWRC1#EURINR#Month End Rates#0#Close8")/100</f>
        <v>86.612624999999994</v>
      </c>
      <c r="H20" s="153">
        <f>RTD("tickerplantrtdserver",,"FWRC1#EURINR#Month End Rates#0#Close0")+RTD("tickerplantrtdserver",,"FWRC1#EURINR#Month End Rates#0#Close9")/100</f>
        <v>86.93912499999999</v>
      </c>
      <c r="I20" s="153">
        <f>RTD("tickerplantrtdserver",,"FWRC1#EURINR#Month End Rates#0#Close0")+RTD("tickerplantrtdserver",,"FWRC1#EURINR#Month End Rates#0#Close10")/100</f>
        <v>87.35414999999999</v>
      </c>
      <c r="J20" s="153">
        <f>RTD("tickerplantrtdserver",,"FWRC1#EURINR#Month End Rates#0#Close0")+RTD("tickerplantrtdserver",,"FWRC1#EURINR#Month End Rates#0#Close11")/100</f>
        <v>87.662299999999988</v>
      </c>
      <c r="K20" s="153">
        <f>RTD("tickerplantrtdserver",,"FWRC1#EURINR#Month End Rates#0#Close0")+RTD("tickerplantrtdserver",,"FWRC1#EURINR#Month End Rates#0#Close12")/100</f>
        <v>87.974849999999989</v>
      </c>
      <c r="L20" s="153">
        <f>RTD("tickerplantrtdserver",,"FWRC1#EURINR#Month End Rates#0#Close0")+RTD("tickerplantrtdserver",,"FWRC1#EURINR#Month End Rates#0#Close13")/100</f>
        <v>88.396674999999988</v>
      </c>
      <c r="M20" s="153">
        <f>RTD("tickerplantrtdserver",,"FWRC1#EURINR#Month End Rates#0#Close0")+RTD("tickerplantrtdserver",,"FWRC1#EURINR#Month End Rates#0#Close14")/100</f>
        <v>88.71952499999999</v>
      </c>
      <c r="N20" s="154">
        <f>RTD("tickerplantrtdserver",,"FWRC1#EURINR#Month End Rates#0#Close0")+RTD("tickerplantrtdserver",,"FWRC1#EURINR#Month End Rates#0#Close15")/100</f>
        <v>89.039974999999998</v>
      </c>
    </row>
    <row r="21" spans="1:16" ht="18" customHeight="1">
      <c r="A21" s="138" t="str">
        <f>RTD("tickerplantrtdserver",,"17#3#1#6031#GBPINRCOMP#S#Descr.")</f>
        <v>GBPINRCOMP</v>
      </c>
      <c r="B21" s="153">
        <f t="array" ref="B21">RTD("tickerplantrtdserver",,"FWRC1#GBPINR#Month End Rates#0#Close0")</f>
        <v>94.462500000000006</v>
      </c>
      <c r="C21" s="153">
        <f>RTD("tickerplantrtdserver",,"FWRC1#GBPINR#Month End Rates#0#Close0")+RTD("tickerplantrtdserver",,"FWRC1#GBPINR#Month End Rates#0#Close4")/10000</f>
        <v>94.512562000000003</v>
      </c>
      <c r="D21" s="153">
        <f>RTD("tickerplantrtdserver",,"FWRC1#GBPINR#Month End Rates#0#Close0")+RTD("tickerplantrtdserver",,"FWRC1#GBPINR#Month End Rates#0#Close5")/10000</f>
        <v>94.799933500000009</v>
      </c>
      <c r="E21" s="153">
        <f>RTD("tickerplantrtdserver",,"FWRC1#GBPINR#Month End Rates#0#Close0")+RTD("tickerplantrtdserver",,"FWRC1#GBPINR#Month End Rates#0#Close6")/10000</f>
        <v>95.11287025</v>
      </c>
      <c r="F21" s="153">
        <f>RTD("tickerplantrtdserver",,"FWRC1#GBPINR#Month End Rates#0#Close0")+RTD("tickerplantrtdserver",,"FWRC1#GBPINR#Month End Rates#0#Close7")/10000</f>
        <v>95.414353500000004</v>
      </c>
      <c r="G21" s="153">
        <f>RTD("tickerplantrtdserver",,"FWRC1#GBPINR#Month End Rates#0#Close0")+RTD("tickerplantrtdserver",,"FWRC1#GBPINR#Month End Rates#0#Close8")/10000</f>
        <v>95.711610250000007</v>
      </c>
      <c r="H21" s="153">
        <f>RTD("tickerplantrtdserver",,"FWRC1#GBPINR#Month End Rates#0#Close0")+RTD("tickerplantrtdserver",,"FWRC1#GBPINR#Month End Rates#0#Close9")/10000</f>
        <v>96.01276</v>
      </c>
      <c r="I21" s="153">
        <f>RTD("tickerplantrtdserver",,"FWRC1#GBPINR#Month End Rates#0#Close0")+RTD("tickerplantrtdserver",,"FWRC1#GBPINR#Month End Rates#0#Close10")/10000</f>
        <v>96.410755250000008</v>
      </c>
      <c r="J21" s="153">
        <f>RTD("tickerplantrtdserver",,"FWRC1#GBPINR#Month End Rates#0#Close0")+RTD("tickerplantrtdserver",,"FWRC1#GBPINR#Month End Rates#0#Close11")/10000</f>
        <v>96.698748250000008</v>
      </c>
      <c r="K21" s="153">
        <f>RTD("tickerplantrtdserver",,"FWRC1#GBPINR#Month End Rates#0#Close0")+RTD("tickerplantrtdserver",,"FWRC1#GBPINR#Month End Rates#0#Close12")/10000</f>
        <v>96.997394500000013</v>
      </c>
      <c r="L21" s="153">
        <f>RTD("tickerplantrtdserver",,"FWRC1#GBPINR#Month End Rates#0#Close0")+RTD("tickerplantrtdserver",,"FWRC1#GBPINR#Month End Rates#0#Close13")/10000</f>
        <v>97.396060750000004</v>
      </c>
      <c r="M21" s="153">
        <f>RTD("tickerplantrtdserver",,"FWRC1#GBPINR#Month End Rates#0#Close0")+RTD("tickerplantrtdserver",,"FWRC1#GBPINR#Month End Rates#0#Close14")/10000</f>
        <v>97.699455</v>
      </c>
      <c r="N21" s="154">
        <f>RTD("tickerplantrtdserver",,"FWRC1#GBPINR#Month End Rates#0#Close0")+RTD("tickerplantrtdserver",,"FWRC1#GBPINR#Month End Rates#0#Close15")/10000</f>
        <v>97.988500500000001</v>
      </c>
    </row>
    <row r="22" spans="1:16" ht="18" customHeight="1">
      <c r="A22" s="138" t="str">
        <f>RTD("tickerplantrtdserver",,"17#3#1#5978#JPYINRCOMP#S#Descr.")</f>
        <v>JPYINRCOMP</v>
      </c>
      <c r="B22" s="152">
        <f>RTD("tickerplantrtdserver",,"FWRC1#JPYINR#Month End Rates#0#Close0")</f>
        <v>71.084999999999994</v>
      </c>
      <c r="C22" s="153">
        <f>RTD("tickerplantrtdserver",,"FWRC1#JPYINR#Month End Rates#0#Close0")+RTD("tickerplantrtdserver",,"FWRC1#JPYINR#Month End Rates#0#Close4")/10000</f>
        <v>71.127375999999998</v>
      </c>
      <c r="D22" s="153">
        <f>RTD("tickerplantrtdserver",,"FWRC1#JPYINR#Month End Rates#0#Close0")+RTD("tickerplantrtdserver",,"FWRC1#JPYINR#Month End Rates#0#Close5")/10000</f>
        <v>71.364684499999996</v>
      </c>
      <c r="E22" s="153">
        <f>RTD("tickerplantrtdserver",,"FWRC1#JPYINR#Month End Rates#0#Close0")+RTD("tickerplantrtdserver",,"FWRC1#JPYINR#Month End Rates#0#Close6")/10000</f>
        <v>71.623949499999995</v>
      </c>
      <c r="F22" s="153">
        <f>RTD("tickerplantrtdserver",,"FWRC1#JPYINR#Month End Rates#0#Close0")+RTD("tickerplantrtdserver",,"FWRC1#JPYINR#Month End Rates#0#Close7")/10000</f>
        <v>71.872664499999999</v>
      </c>
      <c r="G22" s="153">
        <f>RTD("tickerplantrtdserver",,"FWRC1#JPYINR#Month End Rates#0#Close0")+RTD("tickerplantrtdserver",,"FWRC1#JPYINR#Month End Rates#0#Close8")/10000</f>
        <v>72.121302999999997</v>
      </c>
      <c r="H22" s="153">
        <f>RTD("tickerplantrtdserver",,"FWRC1#JPYINR#Month End Rates#0#Close0")+RTD("tickerplantrtdserver",,"FWRC1#JPYINR#Month End Rates#0#Close9")/10000</f>
        <v>72.381250749999992</v>
      </c>
      <c r="I22" s="153">
        <f>RTD("tickerplantrtdserver",,"FWRC1#JPYINR#Month End Rates#0#Close0")+RTD("tickerplantrtdserver",,"FWRC1#JPYINR#Month End Rates#0#Close10")/10000</f>
        <v>72.734040749999991</v>
      </c>
      <c r="J22" s="153">
        <f>RTD("tickerplantrtdserver",,"FWRC1#JPYINR#Month End Rates#0#Close0")+RTD("tickerplantrtdserver",,"FWRC1#JPYINR#Month End Rates#0#Close11")/10000</f>
        <v>72.980548499999998</v>
      </c>
      <c r="K22" s="153">
        <f>RTD("tickerplantrtdserver",,"FWRC1#JPYINR#Month End Rates#0#Close0")+RTD("tickerplantrtdserver",,"FWRC1#JPYINR#Month End Rates#0#Close12")/10000</f>
        <v>73.23217975</v>
      </c>
      <c r="L22" s="153">
        <f>RTD("tickerplantrtdserver",,"FWRC1#JPYINR#Month End Rates#0#Close0")+RTD("tickerplantrtdserver",,"FWRC1#JPYINR#Month End Rates#0#Close13")/10000</f>
        <v>73.577546999999996</v>
      </c>
      <c r="M22" s="153">
        <f>RTD("tickerplantrtdserver",,"FWRC1#JPYINR#Month End Rates#0#Close0")+RTD("tickerplantrtdserver",,"FWRC1#JPYINR#Month End Rates#0#Close14")/10000</f>
        <v>73.822765999999987</v>
      </c>
      <c r="N22" s="154">
        <f>RTD("tickerplantrtdserver",,"FWRC1#JPYINR#Month End Rates#0#Close0")+RTD("tickerplantrtdserver",,"FWRC1#JPYINR#Month End Rates#0#Close15")/10000</f>
        <v>74.088395999999989</v>
      </c>
    </row>
    <row r="23" spans="1:16" ht="18" customHeight="1">
      <c r="A23" s="138" t="str">
        <f>RTD("tickerplantrtdserver",,"17#3#1#6056#CHFINRCOMP#S#Descr.")</f>
        <v>CHFINRCOMP</v>
      </c>
      <c r="B23" s="152">
        <f>RTD("tickerplantrtdserver",,"FWRC1#CHFINR#Month Wise Rates#0#Close0")</f>
        <v>80.010000000000005</v>
      </c>
      <c r="C23" s="153">
        <f>RTD("tickerplantrtdserver",,"FWRC1#CHFINR#Month Wise Rates#0#Close0")+RTD("tickerplantrtdserver",,"FWRC1#CHFINR#Month Wise Rates#0#Close7")/10000</f>
        <v>80.297697790000001</v>
      </c>
      <c r="D23" s="153">
        <f>RTD("tickerplantrtdserver",,"FWRC1#CHFINR#Month Wise Rates#0#Close0")+RTD("tickerplantrtdserver",,"FWRC1#CHFINR#Month Wise Rates#0#Close8")/10000</f>
        <v>80.603951870000003</v>
      </c>
      <c r="E23" s="153">
        <f>RTD("tickerplantrtdserver",,"FWRC1#CHFINR#Month Wise Rates#0#Close0")+RTD("tickerplantrtdserver",,"FWRC1#CHFINR#Month Wise Rates#0#Close9")/10000</f>
        <v>80.940990790000001</v>
      </c>
      <c r="F23" s="153">
        <f>RTD("tickerplantrtdserver",,"FWRC1#CHFINR#Month Wise Rates#0#Close0")+RTD("tickerplantrtdserver",,"FWRC1#CHFINR#Month Wise Rates#0#Close10")/10000</f>
        <v>81.28845776</v>
      </c>
      <c r="G23" s="153">
        <f>RTD("tickerplantrtdserver",,"FWRC1#CHFINR#Month Wise Rates#0#Close0")+RTD("tickerplantrtdserver",,"FWRC1#CHFINR#Month Wise Rates#0#Close11")/10000</f>
        <v>81.592634570000001</v>
      </c>
      <c r="H23" s="153">
        <f>RTD("tickerplantrtdserver",,"FWRC1#CHFINR#Month Wise Rates#0#Close0")+RTD("tickerplantrtdserver",,"FWRC1#CHFINR#Month Wise Rates#0#Close12")/10000</f>
        <v>81.933216049999999</v>
      </c>
      <c r="I23" s="153">
        <f>RTD("tickerplantrtdserver",,"FWRC1#CHFINR#Month Wise Rates#0#Close0")+RTD("tickerplantrtdserver",,"FWRC1#CHFINR#Month Wise Rates#0#Close13")/10000</f>
        <v>82.320814320000011</v>
      </c>
      <c r="J23" s="153">
        <f>RTD("tickerplantrtdserver",,"FWRC1#CHFINR#Month Wise Rates#0#Close0")+RTD("tickerplantrtdserver",,"FWRC1#CHFINR#Month Wise Rates#0#Close14")/10000</f>
        <v>82.635872840000005</v>
      </c>
      <c r="K23" s="153">
        <f>RTD("tickerplantrtdserver",,"FWRC1#CHFINR#Month Wise Rates#0#Close0")+RTD("tickerplantrtdserver",,"FWRC1#CHFINR#Month Wise Rates#0#Close15")/10000</f>
        <v>82.95989981000001</v>
      </c>
      <c r="L23" s="153">
        <f>RTD("tickerplantrtdserver",,"FWRC1#CHFINR#Month Wise Rates#0#Close0")+RTD("tickerplantrtdserver",,"FWRC1#CHFINR#Month Wise Rates#0#Close16")/10000</f>
        <v>83.323905300000007</v>
      </c>
      <c r="M23" s="153">
        <f>RTD("tickerplantrtdserver",,"FWRC1#CHFINR#Month Wise Rates#0#Close0")+RTD("tickerplantrtdserver",,"FWRC1#CHFINR#Month Wise Rates#0#Close17")/10000</f>
        <v>83.688291490000012</v>
      </c>
      <c r="N23" s="154">
        <f>RTD("tickerplantrtdserver",,"FWRC1#CHFINR#Month Wise Rates#0#Close0")+RTD("tickerplantrtdserver",,"FWRC1#CHFINR#Month Wise Rates#0#Close18")/10000</f>
        <v>83.981910510000006</v>
      </c>
      <c r="P23" s="172" t="s">
        <v>60</v>
      </c>
    </row>
    <row r="24" spans="1:16" ht="18" customHeight="1">
      <c r="A24" s="138" t="str">
        <f>RTD("tickerplantrtdserver",,"17#3#1#5921#CADINRCOMP#S#Descr.")</f>
        <v>CADINRCOMP</v>
      </c>
      <c r="B24" s="153">
        <f>RTD("tickerplantrtdserver",,"FWRC1#CADINR#Month Wise Rates#0#Close0")</f>
        <v>56.022500000000001</v>
      </c>
      <c r="C24" s="153">
        <f>RTD("tickerplantrtdserver",,"FWRC1#CADINR#Month Wise Rates#0#Close0")+RTD("tickerplantrtdserver",,"FWRC1#CADINR#Month Wise Rates#0#Close7")/10000</f>
        <v>56.182219699999997</v>
      </c>
      <c r="D24" s="153">
        <f>RTD("tickerplantrtdserver",,"FWRC1#CADINR#Month Wise Rates#0#Close0")+RTD("tickerplantrtdserver",,"FWRC1#CADINR#Month Wise Rates#0#Close8")/10000</f>
        <v>56.347480009999998</v>
      </c>
      <c r="E24" s="153">
        <f>RTD("tickerplantrtdserver",,"FWRC1#CADINR#Month Wise Rates#0#Close0")+RTD("tickerplantrtdserver",,"FWRC1#CADINR#Month Wise Rates#0#Close9")/10000</f>
        <v>56.532466230000004</v>
      </c>
      <c r="F24" s="153">
        <f>RTD("tickerplantrtdserver",,"FWRC1#CADINR#Month Wise Rates#0#Close0")+RTD("tickerplantrtdserver",,"FWRC1#CADINR#Month Wise Rates#0#Close10")/10000</f>
        <v>56.715857810000003</v>
      </c>
      <c r="G24" s="153">
        <f>RTD("tickerplantrtdserver",,"FWRC1#CADINR#Month Wise Rates#0#Close0")+RTD("tickerplantrtdserver",,"FWRC1#CADINR#Month Wise Rates#0#Close11")/10000</f>
        <v>56.87771351</v>
      </c>
      <c r="H24" s="153">
        <f>RTD("tickerplantrtdserver",,"FWRC1#CADINR#Month Wise Rates#0#Close0")+RTD("tickerplantrtdserver",,"FWRC1#CADINR#Month Wise Rates#0#Close12")/10000</f>
        <v>57.067683700000003</v>
      </c>
      <c r="I24" s="153">
        <f>RTD("tickerplantrtdserver",,"FWRC1#CADINR#Month Wise Rates#0#Close0")+RTD("tickerplantrtdserver",,"FWRC1#CADINR#Month Wise Rates#0#Close13")/10000</f>
        <v>57.27251725</v>
      </c>
      <c r="J24" s="153">
        <f>RTD("tickerplantrtdserver",,"FWRC1#CADINR#Month Wise Rates#0#Close0")+RTD("tickerplantrtdserver",,"FWRC1#CADINR#Month Wise Rates#0#Close14")/10000</f>
        <v>57.429372319999999</v>
      </c>
      <c r="K24" s="153">
        <f>RTD("tickerplantrtdserver",,"FWRC1#CADINR#Month Wise Rates#0#Close0")+RTD("tickerplantrtdserver",,"FWRC1#CADINR#Month Wise Rates#0#Close15")/10000</f>
        <v>57.614048519999997</v>
      </c>
      <c r="L24" s="153">
        <f>RTD("tickerplantrtdserver",,"FWRC1#CADINR#Month Wise Rates#0#Close0")+RTD("tickerplantrtdserver",,"FWRC1#CADINR#Month Wise Rates#0#Close16")/10000</f>
        <v>57.836521400000002</v>
      </c>
      <c r="M24" s="153">
        <f>RTD("tickerplantrtdserver",,"FWRC1#CADINR#Month Wise Rates#0#Close0")+RTD("tickerplantrtdserver",,"FWRC1#CADINR#Month Wise Rates#0#Close17")/10000</f>
        <v>58.003981850000002</v>
      </c>
      <c r="N24" s="154">
        <f>RTD("tickerplantrtdserver",,"FWRC1#CADINR#Month Wise Rates#0#Close0")+RTD("tickerplantrtdserver",,"FWRC1#CADINR#Month Wise Rates#0#Close18")/10000</f>
        <v>58.150847720000002</v>
      </c>
      <c r="P24" s="172"/>
    </row>
    <row r="25" spans="1:16" ht="18" customHeight="1">
      <c r="A25" s="138" t="str">
        <f>RTD("tickerplantrtdserver",,"17#3#1#5903#AUDINRCOMP#S#Descr.")</f>
        <v>AUDINRCOMP</v>
      </c>
      <c r="B25" s="153">
        <f>RTD("tickerplantrtdserver",,"FWRC1#AUDINR#Month Wise Rates#0#Close0")</f>
        <v>52.305</v>
      </c>
      <c r="C25" s="153">
        <f>RTD("tickerplantrtdserver",,"FWRC1#AUDINR#Month Wise Rates#0#Close0")+RTD("tickerplantrtdserver",,"FWRC1#AUDINR#Month Wise Rates#0#Close7")/10000</f>
        <v>52.451895039999997</v>
      </c>
      <c r="D25" s="153">
        <f>RTD("tickerplantrtdserver",,"FWRC1#AUDINR#Month Wise Rates#0#Close0")+RTD("tickerplantrtdserver",,"FWRC1#AUDINR#Month Wise Rates#0#Close8")/10000</f>
        <v>52.606297679999997</v>
      </c>
      <c r="E25" s="153">
        <f>RTD("tickerplantrtdserver",,"FWRC1#AUDINR#Month Wise Rates#0#Close0")+RTD("tickerplantrtdserver",,"FWRC1#AUDINR#Month Wise Rates#0#Close9")/10000</f>
        <v>52.778248810000001</v>
      </c>
      <c r="F25" s="153">
        <f>RTD("tickerplantrtdserver",,"FWRC1#AUDINR#Month Wise Rates#0#Close0")+RTD("tickerplantrtdserver",,"FWRC1#AUDINR#Month Wise Rates#0#Close10")/10000</f>
        <v>52.94809867</v>
      </c>
      <c r="G25" s="153">
        <f>RTD("tickerplantrtdserver",,"FWRC1#AUDINR#Month Wise Rates#0#Close0")+RTD("tickerplantrtdserver",,"FWRC1#AUDINR#Month Wise Rates#0#Close11")/10000</f>
        <v>53.098799640000003</v>
      </c>
      <c r="H25" s="153">
        <f>RTD("tickerplantrtdserver",,"FWRC1#AUDINR#Month Wise Rates#0#Close0")+RTD("tickerplantrtdserver",,"FWRC1#AUDINR#Month Wise Rates#0#Close12")/10000</f>
        <v>53.271827129999998</v>
      </c>
      <c r="I25" s="153">
        <f>RTD("tickerplantrtdserver",,"FWRC1#AUDINR#Month Wise Rates#0#Close0")+RTD("tickerplantrtdserver",,"FWRC1#AUDINR#Month Wise Rates#0#Close13")/10000</f>
        <v>53.450334820000002</v>
      </c>
      <c r="J25" s="153">
        <f>RTD("tickerplantrtdserver",,"FWRC1#AUDINR#Month Wise Rates#0#Close0")+RTD("tickerplantrtdserver",,"FWRC1#AUDINR#Month Wise Rates#0#Close14")/10000</f>
        <v>53.602096670000002</v>
      </c>
      <c r="K25" s="153">
        <f>RTD("tickerplantrtdserver",,"FWRC1#AUDINR#Month Wise Rates#0#Close0")+RTD("tickerplantrtdserver",,"FWRC1#AUDINR#Month Wise Rates#0#Close15")/10000</f>
        <v>53.756548909999999</v>
      </c>
      <c r="L25" s="153">
        <f>RTD("tickerplantrtdserver",,"FWRC1#AUDINR#Month Wise Rates#0#Close0")+RTD("tickerplantrtdserver",,"FWRC1#AUDINR#Month Wise Rates#0#Close16")/10000</f>
        <v>53.967464030000002</v>
      </c>
      <c r="M25" s="153">
        <f>RTD("tickerplantrtdserver",,"FWRC1#AUDINR#Month Wise Rates#0#Close0")+RTD("tickerplantrtdserver",,"FWRC1#AUDINR#Month Wise Rates#0#Close17")/10000</f>
        <v>54.110083459999998</v>
      </c>
      <c r="N25" s="154">
        <f>RTD("tickerplantrtdserver",,"FWRC1#AUDINR#Month Wise Rates#0#Close0")+RTD("tickerplantrtdserver",,"FWRC1#AUDINR#Month Wise Rates#0#Close18")/10000</f>
        <v>54.256578159999997</v>
      </c>
      <c r="P25" s="172"/>
    </row>
    <row r="26" spans="1:16" ht="18" customHeight="1">
      <c r="A26" s="138" t="str">
        <f>RTD("tickerplantrtdserver",,"17#3#1#6041#SGDINRCOMP#S#Descr.")</f>
        <v>SGDINRCOMP</v>
      </c>
      <c r="B26" s="153">
        <f>RTD("tickerplantrtdserver",,"FWRC1#SGDINR#Month Wise Rates#0#Close0")</f>
        <v>54.487499999999997</v>
      </c>
      <c r="C26" s="153">
        <f>RTD("tickerplantrtdserver",,"FWRC1#SGDINR#Month Wise Rates#0#Close0")+RTD("tickerplantrtdserver",,"FWRC1#SGDINR#Month Wise Rates#0#Close7")/10000</f>
        <v>54.632647089999999</v>
      </c>
      <c r="D26" s="153">
        <f>RTD("tickerplantrtdserver",,"FWRC1#SGDINR#Month Wise Rates#0#Close0")+RTD("tickerplantrtdserver",,"FWRC1#SGDINR#Month Wise Rates#0#Close8")/10000</f>
        <v>54.77881902</v>
      </c>
      <c r="E26" s="153">
        <f>RTD("tickerplantrtdserver",,"FWRC1#SGDINR#Month Wise Rates#0#Close0")+RTD("tickerplantrtdserver",,"FWRC1#SGDINR#Month Wise Rates#0#Close9")/10000</f>
        <v>54.96232689</v>
      </c>
      <c r="F26" s="153">
        <f>RTD("tickerplantrtdserver",,"FWRC1#SGDINR#Month Wise Rates#0#Close0")+RTD("tickerplantrtdserver",,"FWRC1#SGDINR#Month Wise Rates#0#Close10")/10000</f>
        <v>55.191565269999998</v>
      </c>
      <c r="G26" s="153">
        <f>RTD("tickerplantrtdserver",,"FWRC1#SGDINR#Month Wise Rates#0#Close0")+RTD("tickerplantrtdserver",,"FWRC1#SGDINR#Month Wise Rates#0#Close11")/10000</f>
        <v>55.352897759999998</v>
      </c>
      <c r="H26" s="153">
        <f>RTD("tickerplantrtdserver",,"FWRC1#SGDINR#Month Wise Rates#0#Close0")+RTD("tickerplantrtdserver",,"FWRC1#SGDINR#Month Wise Rates#0#Close12")/10000</f>
        <v>55.534866719999997</v>
      </c>
      <c r="I26" s="153">
        <f>RTD("tickerplantrtdserver",,"FWRC1#SGDINR#Month Wise Rates#0#Close0")+RTD("tickerplantrtdserver",,"FWRC1#SGDINR#Month Wise Rates#0#Close13")/10000</f>
        <v>55.727773769999999</v>
      </c>
      <c r="J26" s="153">
        <f>RTD("tickerplantrtdserver",,"FWRC1#SGDINR#Month Wise Rates#0#Close0")+RTD("tickerplantrtdserver",,"FWRC1#SGDINR#Month Wise Rates#0#Close14")/10000</f>
        <v>55.896291569999995</v>
      </c>
      <c r="K26" s="153">
        <f>RTD("tickerplantrtdserver",,"FWRC1#SGDINR#Month Wise Rates#0#Close0")+RTD("tickerplantrtdserver",,"FWRC1#SGDINR#Month Wise Rates#0#Close15")/10000</f>
        <v>56.0631749</v>
      </c>
      <c r="L26" s="153">
        <f>RTD("tickerplantrtdserver",,"FWRC1#SGDINR#Month Wise Rates#0#Close0")+RTD("tickerplantrtdserver",,"FWRC1#SGDINR#Month Wise Rates#0#Close16")/10000</f>
        <v>56.291524529999997</v>
      </c>
      <c r="M26" s="153">
        <f>RTD("tickerplantrtdserver",,"FWRC1#SGDINR#Month Wise Rates#0#Close0")+RTD("tickerplantrtdserver",,"FWRC1#SGDINR#Month Wise Rates#0#Close17")/10000</f>
        <v>56.445720959999996</v>
      </c>
      <c r="N26" s="154">
        <f>RTD("tickerplantrtdserver",,"FWRC1#SGDINR#Month Wise Rates#0#Close0")+RTD("tickerplantrtdserver",,"FWRC1#SGDINR#Month Wise Rates#0#Close18")/10000</f>
        <v>56.607033859999994</v>
      </c>
      <c r="P26" s="172"/>
    </row>
    <row r="27" spans="1:16" ht="18" customHeight="1">
      <c r="A27" s="138" t="str">
        <f>RTD("tickerplantrtdserver",,"12#2#1#5949#SEURUSD#S#Descr.")</f>
        <v>EURUSD</v>
      </c>
      <c r="B27" s="153">
        <f>RTD("tickerplantrtdserver",,"FWRC1#EURUSD#Month Wise Rates#0#Close0")</f>
        <v>1.1258999999999999</v>
      </c>
      <c r="C27" s="153">
        <f>RTD("tickerplantrtdserver",,"FWRC1#EURUSD#Month Wise Rates#0#Close0")+RTD("tickerplantrtdserver",,"FWRC1#EURUSD#Month Wise Rates#0#Close7")/10000</f>
        <v>1.1266749999999999</v>
      </c>
      <c r="D27" s="153">
        <f>RTD("tickerplantrtdserver",,"FWRC1#EURUSD#Month Wise Rates#0#Close0")+RTD("tickerplantrtdserver",,"FWRC1#EURUSD#Month Wise Rates#0#Close8")/10000</f>
        <v>1.1274709999999999</v>
      </c>
      <c r="E27" s="153">
        <f>RTD("tickerplantrtdserver",,"FWRC1#EURUSD#Month Wise Rates#0#Close0")+RTD("tickerplantrtdserver",,"FWRC1#EURUSD#Month Wise Rates#0#Close9")/10000</f>
        <v>1.128285</v>
      </c>
      <c r="F27" s="153">
        <f>RTD("tickerplantrtdserver",,"FWRC1#EURUSD#Month Wise Rates#0#Close0")+RTD("tickerplantrtdserver",,"FWRC1#EURUSD#Month Wise Rates#0#Close10")/10000</f>
        <v>1.1291289999999998</v>
      </c>
      <c r="G27" s="153">
        <f>RTD("tickerplantrtdserver",,"FWRC1#EURUSD#Month Wise Rates#0#Close0")+RTD("tickerplantrtdserver",,"FWRC1#EURUSD#Month Wise Rates#0#Close11")/10000</f>
        <v>1.1298629999999998</v>
      </c>
      <c r="H27" s="153">
        <f>RTD("tickerplantrtdserver",,"FWRC1#EURUSD#Month Wise Rates#0#Close0")+RTD("tickerplantrtdserver",,"FWRC1#EURUSD#Month Wise Rates#0#Close12")/10000</f>
        <v>1.1306539999999998</v>
      </c>
      <c r="I27" s="153">
        <f>RTD("tickerplantrtdserver",,"FWRC1#EURUSD#Month Wise Rates#0#Close0")+RTD("tickerplantrtdserver",,"FWRC1#EURUSD#Month Wise Rates#0#Close13")/10000</f>
        <v>1.1319359999999998</v>
      </c>
      <c r="J27" s="153">
        <f>RTD("tickerplantrtdserver",,"FWRC1#EURUSD#Month Wise Rates#0#Close0")+RTD("tickerplantrtdserver",,"FWRC1#EURUSD#Month Wise Rates#0#Close14")/10000</f>
        <v>1.1326959999999999</v>
      </c>
      <c r="K27" s="153">
        <f>RTD("tickerplantrtdserver",,"FWRC1#EURUSD#Month Wise Rates#0#Close0")+RTD("tickerplantrtdserver",,"FWRC1#EURUSD#Month Wise Rates#0#Close15")/10000</f>
        <v>1.1334059999999999</v>
      </c>
      <c r="L27" s="153">
        <f>RTD("tickerplantrtdserver",,"FWRC1#EURUSD#Month Wise Rates#0#Close0")+RTD("tickerplantrtdserver",,"FWRC1#EURUSD#Month Wise Rates#0#Close16")/10000</f>
        <v>1.134301</v>
      </c>
      <c r="M27" s="153">
        <f>RTD("tickerplantrtdserver",,"FWRC1#EURUSD#Month Wise Rates#0#Close0")+RTD("tickerplantrtdserver",,"FWRC1#EURUSD#Month Wise Rates#0#Close17")/10000</f>
        <v>1.1350339999999999</v>
      </c>
      <c r="N27" s="154">
        <f>RTD("tickerplantrtdserver",,"FWRC1#EURUSD#Month Wise Rates#0#Close0")+RTD("tickerplantrtdserver",,"FWRC1#EURUSD#Month Wise Rates#0#Close18")/10000</f>
        <v>1.1357459999999999</v>
      </c>
      <c r="P27" s="172"/>
    </row>
    <row r="28" spans="1:16" ht="18" customHeight="1">
      <c r="A28" s="138" t="str">
        <f>RTD("tickerplantrtdserver",,"12#2#1#6031#SGBPUSD#S#Descr.")</f>
        <v>GBPUSD</v>
      </c>
      <c r="B28" s="153">
        <f>RTD("tickerplantrtdserver",,"FWRC1#GBPUSD#Month Wise Rates#0#Close0")</f>
        <v>1.2447999999999999</v>
      </c>
      <c r="C28" s="153">
        <f>RTD("tickerplantrtdserver",,"FWRC1#GBPUSD#Month Wise Rates#0#Close0")+RTD("tickerplantrtdserver",,"FWRC1#GBPUSD#Month Wise Rates#0#Close7")/10000</f>
        <v>1.2450289999999999</v>
      </c>
      <c r="D28" s="153">
        <f>RTD("tickerplantrtdserver",,"FWRC1#GBPUSD#Month Wise Rates#0#Close0")+RTD("tickerplantrtdserver",,"FWRC1#GBPUSD#Month Wise Rates#0#Close8")/10000</f>
        <v>1.24522</v>
      </c>
      <c r="E28" s="153">
        <f>RTD("tickerplantrtdserver",,"FWRC1#GBPUSD#Month Wise Rates#0#Close0")+RTD("tickerplantrtdserver",,"FWRC1#GBPUSD#Month Wise Rates#0#Close9")/10000</f>
        <v>1.2454099999999999</v>
      </c>
      <c r="F28" s="153">
        <f>RTD("tickerplantrtdserver",,"FWRC1#GBPUSD#Month Wise Rates#0#Close0")+RTD("tickerplantrtdserver",,"FWRC1#GBPUSD#Month Wise Rates#0#Close10")/10000</f>
        <v>1.2456119999999999</v>
      </c>
      <c r="G28" s="153">
        <f>RTD("tickerplantrtdserver",,"FWRC1#GBPUSD#Month Wise Rates#0#Close0")+RTD("tickerplantrtdserver",,"FWRC1#GBPUSD#Month Wise Rates#0#Close11")/10000</f>
        <v>1.245763</v>
      </c>
      <c r="H28" s="153">
        <f>RTD("tickerplantrtdserver",,"FWRC1#GBPUSD#Month Wise Rates#0#Close0")+RTD("tickerplantrtdserver",,"FWRC1#GBPUSD#Month Wise Rates#0#Close12")/10000</f>
        <v>1.2459039999999999</v>
      </c>
      <c r="I28" s="153">
        <f>RTD("tickerplantrtdserver",,"FWRC1#GBPUSD#Month Wise Rates#0#Close0")+RTD("tickerplantrtdserver",,"FWRC1#GBPUSD#Month Wise Rates#0#Close13")/10000</f>
        <v>1.2464449999999998</v>
      </c>
      <c r="J28" s="153">
        <f>RTD("tickerplantrtdserver",,"FWRC1#GBPUSD#Month Wise Rates#0#Close0")+RTD("tickerplantrtdserver",,"FWRC1#GBPUSD#Month Wise Rates#0#Close14")/10000</f>
        <v>1.2465899999999999</v>
      </c>
      <c r="K28" s="153">
        <f>RTD("tickerplantrtdserver",,"FWRC1#GBPUSD#Month Wise Rates#0#Close0")+RTD("tickerplantrtdserver",,"FWRC1#GBPUSD#Month Wise Rates#0#Close15")/10000</f>
        <v>1.2467849999999998</v>
      </c>
      <c r="L28" s="153">
        <f>RTD("tickerplantrtdserver",,"FWRC1#GBPUSD#Month Wise Rates#0#Close0")+RTD("tickerplantrtdserver",,"FWRC1#GBPUSD#Month Wise Rates#0#Close16")/10000</f>
        <v>1.2469089999999998</v>
      </c>
      <c r="M28" s="153">
        <f>RTD("tickerplantrtdserver",,"FWRC1#GBPUSD#Month Wise Rates#0#Close0")+RTD("tickerplantrtdserver",,"FWRC1#GBPUSD#Month Wise Rates#0#Close17")/10000</f>
        <v>1.2470289999999999</v>
      </c>
      <c r="N28" s="154">
        <f>RTD("tickerplantrtdserver",,"FWRC1#GBPUSD#Month Wise Rates#0#Close0")+RTD("tickerplantrtdserver",,"FWRC1#GBPUSD#Month Wise Rates#0#Close18")/10000</f>
        <v>1.2471449999999999</v>
      </c>
    </row>
    <row r="29" spans="1:16" ht="18" customHeight="1">
      <c r="A29" s="138" t="str">
        <f>RTD("tickerplantrtdserver",,"12#2#1#6069#SUSDJPY#S#Descr.")</f>
        <v>USDJPY</v>
      </c>
      <c r="B29" s="155">
        <f>RTD("tickerplantrtdserver",,"FWRC1#USDJPY#Month Wise Rates#0#Close0")</f>
        <v>106.855</v>
      </c>
      <c r="C29" s="155">
        <f>RTD("tickerplantrtdserver",,"FWRC1#USDJPY#Month Wise Rates#0#Close0")+RTD("tickerplantrtdserver",,"FWRC1#USDJPY#Month Wise Rates#0#Close7")/100</f>
        <v>106.7941</v>
      </c>
      <c r="D29" s="155">
        <f>RTD("tickerplantrtdserver",,"FWRC1#USDJPY#Month Wise Rates#0#Close0")+RTD("tickerplantrtdserver",,"FWRC1#USDJPY#Month Wise Rates#0#Close8")/100</f>
        <v>106.7505</v>
      </c>
      <c r="E29" s="155">
        <f>RTD("tickerplantrtdserver",,"FWRC1#USDJPY#Month Wise Rates#0#Close0")+RTD("tickerplantrtdserver",,"FWRC1#USDJPY#Month Wise Rates#0#Close9")/100</f>
        <v>106.6992</v>
      </c>
      <c r="F29" s="155">
        <f>RTD("tickerplantrtdserver",,"FWRC1#USDJPY#Month Wise Rates#0#Close0")+RTD("tickerplantrtdserver",,"FWRC1#USDJPY#Month Wise Rates#0#Close10")/100</f>
        <v>106.62910000000001</v>
      </c>
      <c r="G29" s="155">
        <f>RTD("tickerplantrtdserver",,"FWRC1#USDJPY#Month Wise Rates#0#Close0")+RTD("tickerplantrtdserver",,"FWRC1#USDJPY#Month Wise Rates#0#Close11")/100</f>
        <v>106.5827</v>
      </c>
      <c r="H29" s="155">
        <f>RTD("tickerplantrtdserver",,"FWRC1#USDJPY#Month Wise Rates#0#Close0")+RTD("tickerplantrtdserver",,"FWRC1#USDJPY#Month Wise Rates#0#Close12")/100</f>
        <v>106.53540000000001</v>
      </c>
      <c r="I29" s="155">
        <f>RTD("tickerplantrtdserver",,"FWRC1#USDJPY#Month Wise Rates#0#Close0")+RTD("tickerplantrtdserver",,"FWRC1#USDJPY#Month Wise Rates#0#Close13")/100</f>
        <v>106.3914</v>
      </c>
      <c r="J29" s="155">
        <f>RTD("tickerplantrtdserver",,"FWRC1#USDJPY#Month Wise Rates#0#Close0")+RTD("tickerplantrtdserver",,"FWRC1#USDJPY#Month Wise Rates#0#Close14")/100</f>
        <v>106.334</v>
      </c>
      <c r="K29" s="155">
        <f>RTD("tickerplantrtdserver",,"FWRC1#USDJPY#Month Wise Rates#0#Close0")+RTD("tickerplantrtdserver",,"FWRC1#USDJPY#Month Wise Rates#0#Close15")/100</f>
        <v>106.28370000000001</v>
      </c>
      <c r="L29" s="155">
        <f>RTD("tickerplantrtdserver",,"FWRC1#USDJPY#Month Wise Rates#0#Close0")+RTD("tickerplantrtdserver",,"FWRC1#USDJPY#Month Wise Rates#0#Close16")/100</f>
        <v>106.2069</v>
      </c>
      <c r="M29" s="155">
        <f>RTD("tickerplantrtdserver",,"FWRC1#USDJPY#Month Wise Rates#0#Close0")+RTD("tickerplantrtdserver",,"FWRC1#USDJPY#Month Wise Rates#0#Close17")/100</f>
        <v>106.15690000000001</v>
      </c>
      <c r="N29" s="156">
        <f>RTD("tickerplantrtdserver",,"FWRC1#USDJPY#Month Wise Rates#0#Close0")+RTD("tickerplantrtdserver",,"FWRC1#USDJPY#Month Wise Rates#0#Close18")/100</f>
        <v>106.0958</v>
      </c>
    </row>
    <row r="30" spans="1:16" ht="18" customHeight="1">
      <c r="A30" s="138" t="str">
        <f>RTD("tickerplantrtdserver",,"12#2#1#6069#SUSDCHF#S#Descr.")</f>
        <v>USDCHF</v>
      </c>
      <c r="B30" s="153">
        <f>RTD("tickerplantrtdserver",,"FWRC1#USDCHF#Month Wise Rates#0#Close0")</f>
        <v>0.94730999999999999</v>
      </c>
      <c r="C30" s="153">
        <f>RTD("tickerplantrtdserver",,"FWRC1#USDCHF#Month Wise Rates#0#Close0")+RTD("tickerplantrtdserver",,"FWRC1#USDCHF#Month Wise Rates#0#Close7")/10000</f>
        <v>0.94645000000000001</v>
      </c>
      <c r="D30" s="153">
        <f>RTD("tickerplantrtdserver",,"FWRC1#USDCHF#Month Wise Rates#0#Close0")+RTD("tickerplantrtdserver",,"FWRC1#USDCHF#Month Wise Rates#0#Close8")/10000</f>
        <v>0.94557899999999995</v>
      </c>
      <c r="E30" s="153">
        <f>RTD("tickerplantrtdserver",,"FWRC1#USDCHF#Month Wise Rates#0#Close0")+RTD("tickerplantrtdserver",,"FWRC1#USDCHF#Month Wise Rates#0#Close9")/10000</f>
        <v>0.94473099999999999</v>
      </c>
      <c r="F30" s="153">
        <f>RTD("tickerplantrtdserver",,"FWRC1#USDCHF#Month Wise Rates#0#Close0")+RTD("tickerplantrtdserver",,"FWRC1#USDCHF#Month Wise Rates#0#Close10")/10000</f>
        <v>0.94374800000000003</v>
      </c>
      <c r="G30" s="153">
        <f>RTD("tickerplantrtdserver",,"FWRC1#USDCHF#Month Wise Rates#0#Close0")+RTD("tickerplantrtdserver",,"FWRC1#USDCHF#Month Wise Rates#0#Close11")/10000</f>
        <v>0.94295030000000002</v>
      </c>
      <c r="H30" s="153">
        <f>RTD("tickerplantrtdserver",,"FWRC1#USDCHF#Month Wise Rates#0#Close0")+RTD("tickerplantrtdserver",,"FWRC1#USDCHF#Month Wise Rates#0#Close12")/10000</f>
        <v>0.94209500000000002</v>
      </c>
      <c r="I30" s="153">
        <f>RTD("tickerplantrtdserver",,"FWRC1#USDCHF#Month Wise Rates#0#Close0")+RTD("tickerplantrtdserver",,"FWRC1#USDCHF#Month Wise Rates#0#Close13")/10000</f>
        <v>0.94072599999999995</v>
      </c>
      <c r="J30" s="153">
        <f>RTD("tickerplantrtdserver",,"FWRC1#USDCHF#Month Wise Rates#0#Close0")+RTD("tickerplantrtdserver",,"FWRC1#USDCHF#Month Wise Rates#0#Close14")/10000</f>
        <v>0.93976300000000001</v>
      </c>
      <c r="K30" s="153">
        <f>RTD("tickerplantrtdserver",,"FWRC1#USDCHF#Month Wise Rates#0#Close0")+RTD("tickerplantrtdserver",,"FWRC1#USDCHF#Month Wise Rates#0#Close15")/10000</f>
        <v>0.93898300000000001</v>
      </c>
      <c r="L30" s="153">
        <f>RTD("tickerplantrtdserver",,"FWRC1#USDCHF#Month Wise Rates#0#Close0")+RTD("tickerplantrtdserver",,"FWRC1#USDCHF#Month Wise Rates#0#Close16")/10000</f>
        <v>0.93813299999999999</v>
      </c>
      <c r="M30" s="153">
        <f>RTD("tickerplantrtdserver",,"FWRC1#USDCHF#Month Wise Rates#0#Close0")+RTD("tickerplantrtdserver",,"FWRC1#USDCHF#Month Wise Rates#0#Close17")/10000</f>
        <v>0.93746600000000002</v>
      </c>
      <c r="N30" s="154">
        <f>RTD("tickerplantrtdserver",,"FWRC1#USDCHF#Month Wise Rates#0#Close0")+RTD("tickerplantrtdserver",,"FWRC1#USDCHF#Month Wise Rates#0#Close18")/10000</f>
        <v>0.93642300000000001</v>
      </c>
    </row>
    <row r="31" spans="1:16" ht="18" customHeight="1">
      <c r="A31" s="138" t="str">
        <f>RTD("tickerplantrtdserver",,"12#2#1#6069#SUSDCAD#S#Descr.")</f>
        <v>USDCAD</v>
      </c>
      <c r="B31" s="153">
        <f>RTD("tickerplantrtdserver",,"FWRC1#USDCAD#Month Wise Rates#0#Close0")</f>
        <v>1.3539000000000001</v>
      </c>
      <c r="C31" s="153">
        <f>RTD("tickerplantrtdserver",,"FWRC1#USDCAD#Month Wise Rates#0#Close0")+RTD("tickerplantrtdserver",,"FWRC1#USDCAD#Month Wise Rates#0#Close7")/10000</f>
        <v>1.353707</v>
      </c>
      <c r="D31" s="153">
        <f>RTD("tickerplantrtdserver",,"FWRC1#USDCAD#Month Wise Rates#0#Close0")+RTD("tickerplantrtdserver",,"FWRC1#USDCAD#Month Wise Rates#0#Close8")/10000</f>
        <v>1.353623</v>
      </c>
      <c r="E31" s="153">
        <f>RTD("tickerplantrtdserver",,"FWRC1#USDCAD#Month Wise Rates#0#Close0")+RTD("tickerplantrtdserver",,"FWRC1#USDCAD#Month Wise Rates#0#Close9")/10000</f>
        <v>1.3535870000000001</v>
      </c>
      <c r="F31" s="153">
        <f>RTD("tickerplantrtdserver",,"FWRC1#USDCAD#Month Wise Rates#0#Close0")+RTD("tickerplantrtdserver",,"FWRC1#USDCAD#Month Wise Rates#0#Close10")/10000</f>
        <v>1.3535220000000001</v>
      </c>
      <c r="G31" s="153">
        <f>RTD("tickerplantrtdserver",,"FWRC1#USDCAD#Month Wise Rates#0#Close0")+RTD("tickerplantrtdserver",,"FWRC1#USDCAD#Month Wise Rates#0#Close11")/10000</f>
        <v>1.3535100000000002</v>
      </c>
      <c r="H31" s="153">
        <f>RTD("tickerplantrtdserver",,"FWRC1#USDCAD#Month Wise Rates#0#Close0")+RTD("tickerplantrtdserver",,"FWRC1#USDCAD#Month Wise Rates#0#Close12")/10000</f>
        <v>1.3534940000000002</v>
      </c>
      <c r="I31" s="153">
        <f>RTD("tickerplantrtdserver",,"FWRC1#USDCAD#Month Wise Rates#0#Close0")+RTD("tickerplantrtdserver",,"FWRC1#USDCAD#Month Wise Rates#0#Close13")/10000</f>
        <v>1.3532170000000001</v>
      </c>
      <c r="J31" s="153">
        <f>RTD("tickerplantrtdserver",,"FWRC1#USDCAD#Month Wise Rates#0#Close0")+RTD("tickerplantrtdserver",,"FWRC1#USDCAD#Month Wise Rates#0#Close14")/10000</f>
        <v>1.3532820000000001</v>
      </c>
      <c r="K31" s="153">
        <f>RTD("tickerplantrtdserver",,"FWRC1#USDCAD#Month Wise Rates#0#Close0")+RTD("tickerplantrtdserver",,"FWRC1#USDCAD#Month Wise Rates#0#Close15")/10000</f>
        <v>1.3532920000000002</v>
      </c>
      <c r="L31" s="153">
        <f>RTD("tickerplantrtdserver",,"FWRC1#USDCAD#Month Wise Rates#0#Close0")+RTD("tickerplantrtdserver",,"FWRC1#USDCAD#Month Wise Rates#0#Close16")/10000</f>
        <v>1.353299</v>
      </c>
      <c r="M31" s="153">
        <f>RTD("tickerplantrtdserver",,"FWRC1#USDCAD#Month Wise Rates#0#Close0")+RTD("tickerplantrtdserver",,"FWRC1#USDCAD#Month Wise Rates#0#Close17")/10000</f>
        <v>1.3525590000000001</v>
      </c>
      <c r="N31" s="154">
        <f>RTD("tickerplantrtdserver",,"FWRC1#USDCAD#Month Wise Rates#0#Close0")+RTD("tickerplantrtdserver",,"FWRC1#USDCAD#Month Wise Rates#0#Close18")/10000</f>
        <v>1.353453</v>
      </c>
    </row>
    <row r="32" spans="1:16" ht="18" customHeight="1">
      <c r="A32" s="138" t="str">
        <f>RTD("tickerplantrtdserver",,"12#2#1#5903#SAUDUSD#S#Descr.")</f>
        <v>AUDUSD</v>
      </c>
      <c r="B32" s="153">
        <f>RTD("tickerplantrtdserver",,"FWRC1#AUDUSD#Month Wise Rates#0#Close0")</f>
        <v>0.6905</v>
      </c>
      <c r="C32" s="153">
        <f>RTD("tickerplantrtdserver",,"FWRC1#AUDUSD#Month Wise Rates#0#Close0")+RTD("tickerplantrtdserver",,"FWRC1#AUDUSD#Month Wise Rates#0#Close7")/10000</f>
        <v>0.69055500000000003</v>
      </c>
      <c r="D32" s="153">
        <f>RTD("tickerplantrtdserver",,"FWRC1#AUDUSD#Month Wise Rates#0#Close0")+RTD("tickerplantrtdserver",,"FWRC1#AUDUSD#Month Wise Rates#0#Close8")/10000</f>
        <v>0.69057100000000005</v>
      </c>
      <c r="E32" s="153">
        <f>RTD("tickerplantrtdserver",,"FWRC1#AUDUSD#Month Wise Rates#0#Close0")+RTD("tickerplantrtdserver",,"FWRC1#AUDUSD#Month Wise Rates#0#Close9")/10000</f>
        <v>0.69058900000000001</v>
      </c>
      <c r="F32" s="153">
        <f>RTD("tickerplantrtdserver",,"FWRC1#AUDUSD#Month Wise Rates#0#Close0")+RTD("tickerplantrtdserver",,"FWRC1#AUDUSD#Month Wise Rates#0#Close10")/10000</f>
        <v>0.69056200000000001</v>
      </c>
      <c r="G32" s="153">
        <f>RTD("tickerplantrtdserver",,"FWRC1#AUDUSD#Month Wise Rates#0#Close0")+RTD("tickerplantrtdserver",,"FWRC1#AUDUSD#Month Wise Rates#0#Close11")/10000</f>
        <v>0.69052899999999995</v>
      </c>
      <c r="H32" s="153">
        <f>RTD("tickerplantrtdserver",,"FWRC1#AUDUSD#Month Wise Rates#0#Close0")+RTD("tickerplantrtdserver",,"FWRC1#AUDUSD#Month Wise Rates#0#Close12")/10000</f>
        <v>0.69049099999999997</v>
      </c>
      <c r="I32" s="153">
        <f>RTD("tickerplantrtdserver",,"FWRC1#AUDUSD#Month Wise Rates#0#Close0")+RTD("tickerplantrtdserver",,"FWRC1#AUDUSD#Month Wise Rates#0#Close13")/10000</f>
        <v>0.69042899999999996</v>
      </c>
      <c r="J32" s="153">
        <f>RTD("tickerplantrtdserver",,"FWRC1#AUDUSD#Month Wise Rates#0#Close0")+RTD("tickerplantrtdserver",,"FWRC1#AUDUSD#Month Wise Rates#0#Close14")/10000</f>
        <v>0.69038549999999999</v>
      </c>
      <c r="K32" s="153">
        <f>RTD("tickerplantrtdserver",,"FWRC1#AUDUSD#Month Wise Rates#0#Close0")+RTD("tickerplantrtdserver",,"FWRC1#AUDUSD#Month Wise Rates#0#Close15")/10000</f>
        <v>0.69032899999999997</v>
      </c>
      <c r="L32" s="153">
        <f>RTD("tickerplantrtdserver",,"FWRC1#AUDUSD#Month Wise Rates#0#Close0")+RTD("tickerplantrtdserver",,"FWRC1#AUDUSD#Month Wise Rates#0#Close16")/10000</f>
        <v>0.69023599999999996</v>
      </c>
      <c r="M32" s="153">
        <f>RTD("tickerplantrtdserver",,"FWRC1#AUDUSD#Month Wise Rates#0#Close0")+RTD("tickerplantrtdserver",,"FWRC1#AUDUSD#Month Wise Rates#0#Close17")/10000</f>
        <v>0.69018299999999999</v>
      </c>
      <c r="N32" s="154">
        <f>RTD("tickerplantrtdserver",,"FWRC1#AUDUSD#Month Wise Rates#0#Close0")+RTD("tickerplantrtdserver",,"FWRC1#AUDUSD#Month Wise Rates#0#Close18")/10000</f>
        <v>0.69005899999999998</v>
      </c>
    </row>
    <row r="33" spans="1:18" ht="18" customHeight="1" thickBot="1">
      <c r="A33" s="143" t="str">
        <f>RTD("tickerplantrtdserver",,"12#2#1#6069#SUSDSGD#S#Descr.")</f>
        <v>USDSGD</v>
      </c>
      <c r="B33" s="144">
        <f>RTD("tickerplantrtdserver",,"12#2#1#6069#SUSDSGD#LTP")</f>
        <v>1.3923000000000001</v>
      </c>
      <c r="C33" s="144">
        <f>RTD("tickerplantrtdserver",,"12#2#1#6069#SUSDSGD#LTP")+RTD("tickerplantrtdserver",,"12#1#1#6069#FUSDSGD\01M#LTP")/10000</f>
        <v>1.3922190000000001</v>
      </c>
      <c r="D33" s="144">
        <f>RTD("tickerplantrtdserver",,"12#2#1#6069#SUSDSGD#LTP")+RTD("tickerplantrtdserver",,"12#1#1#6069#FUSDSGD\02M#LTP")/10000</f>
        <v>1.3917900000000001</v>
      </c>
      <c r="E33" s="144">
        <f>RTD("tickerplantrtdserver",,"12#2#1#6069#SUSDSGD#LTP")+RTD("tickerplantrtdserver",,"12#1#1#6069#FUSDSGD\03M#LTP")/10000</f>
        <v>1.3915250000000001</v>
      </c>
      <c r="F33" s="144">
        <f>RTD("tickerplantrtdserver",,"12#2#1#6069#SUSDSGD#LTP")+RTD("tickerplantrtdserver",,"12#1#1#6069#FUSDSGD\04M#LTP")/10000</f>
        <v>1.391443</v>
      </c>
      <c r="G33" s="144">
        <f>RTD("tickerplantrtdserver",,"12#2#1#6069#SUSDSGD#LTP")+RTD("tickerplantrtdserver",,"12#1#1#6069#FUSDSGD\05M#LTP")/10000</f>
        <v>1.3911840000000002</v>
      </c>
      <c r="H33" s="144">
        <f>RTD("tickerplantrtdserver",,"12#2#1#6069#SUSDSGD#LTP")+RTD("tickerplantrtdserver",,"12#1#1#6069#FUSDSGD\06M#LTP")/10000</f>
        <v>1.3911560000000001</v>
      </c>
      <c r="I33" s="144">
        <f>RTD("tickerplantrtdserver",,"12#2#1#6069#SUSDSGD#LTP")+RTD("tickerplantrtdserver",,"12#1#1#6069#FUSDSGD\07M#LTP")/10000</f>
        <v>1.3910073200000002</v>
      </c>
      <c r="J33" s="144">
        <f>RTD("tickerplantrtdserver",,"12#2#1#6069#SUSDSGD#LTP")+RTD("tickerplantrtdserver",,"12#1#1#6069#FUSDSGD\08M#LTP")/10000</f>
        <v>1.3908480200000002</v>
      </c>
      <c r="K33" s="144">
        <f>RTD("tickerplantrtdserver",,"12#2#1#6069#SUSDSGD#LTP")+RTD("tickerplantrtdserver",,"12#1#1#6069#FUSDSGD\09M#LTP")/10000</f>
        <v>1.3906800000000001</v>
      </c>
      <c r="L33" s="144">
        <f>RTD("tickerplantrtdserver",,"12#2#1#6069#SUSDSGD#LTP")+RTD("tickerplantrtdserver",,"12#1#1#6069#FUSDSGD\10M#LTP")/10000</f>
        <v>1.3905379600000001</v>
      </c>
      <c r="M33" s="144">
        <f>RTD("tickerplantrtdserver",,"12#2#1#6069#SUSDSGD#LTP")+RTD("tickerplantrtdserver",,"12#1#1#6069#FUSDSGD\11M#LTP")/10000</f>
        <v>1.3904013200000001</v>
      </c>
      <c r="N33" s="145">
        <f>RTD("tickerplantrtdserver",,"12#2#1#6069#SUSDSGD#LTP")+RTD("tickerplantrtdserver",,"12#1#1#6069#FUSDSGD\12M#LTP")/10000</f>
        <v>1.39015</v>
      </c>
    </row>
    <row r="34" spans="1:18" ht="18" customHeight="1" thickBot="1"/>
    <row r="35" spans="1:18" ht="18" customHeight="1" thickBot="1">
      <c r="A35" s="131" t="s">
        <v>14</v>
      </c>
      <c r="B35" s="157" t="s">
        <v>56</v>
      </c>
      <c r="C35" s="157" t="s">
        <v>57</v>
      </c>
      <c r="D35" s="157" t="s">
        <v>58</v>
      </c>
      <c r="E35" s="157" t="s">
        <v>36</v>
      </c>
      <c r="F35" s="157" t="s">
        <v>37</v>
      </c>
      <c r="G35" s="157" t="s">
        <v>35</v>
      </c>
      <c r="H35" s="157" t="s">
        <v>38</v>
      </c>
      <c r="I35" s="157" t="s">
        <v>39</v>
      </c>
      <c r="J35" s="157" t="s">
        <v>34</v>
      </c>
      <c r="K35" s="158" t="s">
        <v>43</v>
      </c>
      <c r="L35" s="158" t="s">
        <v>44</v>
      </c>
      <c r="M35" s="158" t="s">
        <v>40</v>
      </c>
      <c r="N35" s="158" t="s">
        <v>45</v>
      </c>
      <c r="O35" s="158" t="s">
        <v>46</v>
      </c>
      <c r="P35" s="159" t="s">
        <v>33</v>
      </c>
      <c r="R35" s="172" t="s">
        <v>61</v>
      </c>
    </row>
    <row r="36" spans="1:18" ht="18" customHeight="1">
      <c r="A36" s="135" t="s">
        <v>27</v>
      </c>
      <c r="B36" s="160">
        <f>RTD("tickerplantrtdserver",,"47#5#1#5629#USDON.LIBOR#LTP")</f>
        <v>7.5249999999999997E-2</v>
      </c>
      <c r="C36" s="160">
        <f>RTD("tickerplantrtdserver",,"47#5#1#5629#USD1W.LIBOR#LTP")</f>
        <v>0.1125</v>
      </c>
      <c r="D36" s="160">
        <f>RTD("tickerplantrtdserver",,"47#5#1#5629#USD2W.LIBOR#LTP")</f>
        <v>0.17113</v>
      </c>
      <c r="E36" s="161">
        <f>RTD("tickerplantrtdserver",,"47#5#1#5629#USD1M.LIBOR#LTP")</f>
        <v>0.19012999999999999</v>
      </c>
      <c r="F36" s="161">
        <f>RTD("tickerplantrtdserver",,"47#5#1#5629#USD2M.LIBOR#LTP")</f>
        <v>0.26700000000000002</v>
      </c>
      <c r="G36" s="161">
        <f>RTD("tickerplantrtdserver",,"47#5#1#5629#USD3M.LIBOR#LTP")</f>
        <v>0.30513000000000001</v>
      </c>
      <c r="H36" s="161">
        <f>RTD("tickerplantrtdserver",,"47#5#1#5629#USD4M.LIBOR#LTP")</f>
        <v>0.31709999999999999</v>
      </c>
      <c r="I36" s="161">
        <f>RTD("tickerplantrtdserver",,"47#5#1#5629#USD5M.LIBOR#LTP")</f>
        <v>0.36725999999999998</v>
      </c>
      <c r="J36" s="161">
        <f>RTD("tickerplantrtdserver",,"47#5#1#5629#USD6M.LIBOR#LTP")</f>
        <v>0.41449999999999998</v>
      </c>
      <c r="K36" s="162">
        <f>RTD("tickerplantrtdserver",,"47#5#1#5629#USD7M.LIBOR#LTP")</f>
        <v>0.46740999999999999</v>
      </c>
      <c r="L36" s="162">
        <f>RTD("tickerplantrtdserver",,"47#5#1#5629#USD8M.LIBOR#LTP")</f>
        <v>0.51214999999999999</v>
      </c>
      <c r="M36" s="162">
        <f>RTD("tickerplantrtdserver",,"47#5#1#5629#USD9M.LIBOR#LTP")</f>
        <v>0.55079999999999996</v>
      </c>
      <c r="N36" s="162">
        <f>RTD("tickerplantrtdserver",,"47#5#1#5629#USD10M.LIBOR#LTP")</f>
        <v>0.59025000000000005</v>
      </c>
      <c r="O36" s="162">
        <f>RTD("tickerplantrtdserver",,"47#5#1#5629#USD11M.LIBOR#LTP")</f>
        <v>0.63939999999999997</v>
      </c>
      <c r="P36" s="163">
        <f>RTD("tickerplantrtdserver",,"47#5#1#5629#USD1Y.LIBOR#LTP")</f>
        <v>0.57574999999999998</v>
      </c>
      <c r="R36" s="172"/>
    </row>
    <row r="37" spans="1:18" ht="18" customHeight="1">
      <c r="A37" s="138" t="s">
        <v>25</v>
      </c>
      <c r="B37" s="164">
        <f>RTD("tickerplantrtdserver",,"47#5#1#5629#EURON.LIBOR#LTP")</f>
        <v>-0.56699999999999995</v>
      </c>
      <c r="C37" s="164">
        <f>RTD("tickerplantrtdserver",,"47#5#1#5629#EUR1W.LIBOR#LTP")</f>
        <v>-0.53042999999999996</v>
      </c>
      <c r="D37" s="164">
        <f>RTD("tickerplantrtdserver",,"47#5#1#5629#EUR2W.LIBOR#LTP")</f>
        <v>4.471E-2</v>
      </c>
      <c r="E37" s="165">
        <f>RTD("tickerplantrtdserver",,"47#5#1#5629#EUR1M.LIBOR#LTP")</f>
        <v>-0.48742999999999997</v>
      </c>
      <c r="F37" s="165">
        <f>RTD("tickerplantrtdserver",,"47#5#1#5629#EUR2M.LIBOR#LTP")</f>
        <v>-0.41843000000000002</v>
      </c>
      <c r="G37" s="165">
        <f>RTD("tickerplantrtdserver",,"47#5#1#5629#EUR3M.LIBOR#LTP")</f>
        <v>-0.41456999999999999</v>
      </c>
      <c r="H37" s="165">
        <f>RTD("tickerplantrtdserver",,"47#5#1#5629#EUR4M.LIBOR#LTP")</f>
        <v>0.14713999999999999</v>
      </c>
      <c r="I37" s="165">
        <f>RTD("tickerplantrtdserver",,"47#5#1#5629#EUR5M.LIBOR#LTP")</f>
        <v>0.17357</v>
      </c>
      <c r="J37" s="165">
        <f>RTD("tickerplantrtdserver",,"47#5#1#5629#EUR6M.LIBOR#LTP")</f>
        <v>-0.30029</v>
      </c>
      <c r="K37" s="166">
        <f>RTD("tickerplantrtdserver",,"47#5#1#5629#EUR7M.LIBOR#LTP")</f>
        <v>0.22928999999999999</v>
      </c>
      <c r="L37" s="166">
        <f>RTD("tickerplantrtdserver",,"47#5#1#5629#EUR8M.LIBOR#LTP")</f>
        <v>0.26357000000000003</v>
      </c>
      <c r="M37" s="166">
        <f>RTD("tickerplantrtdserver",,"47#5#1#5629#EUR9M.LIBOR#LTP")</f>
        <v>0.29357</v>
      </c>
      <c r="N37" s="166">
        <f>RTD("tickerplantrtdserver",,"47#5#1#5629#EUR10M.LIBOR#LTP")</f>
        <v>0.32429000000000002</v>
      </c>
      <c r="O37" s="166">
        <f>RTD("tickerplantrtdserver",,"47#5#1#5629#EUR11M.LIBOR#LTP")</f>
        <v>0.35499999999999998</v>
      </c>
      <c r="P37" s="167">
        <f>RTD("tickerplantrtdserver",,"47#5#1#5629#EUR1Y.LIBOR#LTP")</f>
        <v>-0.18956999999999999</v>
      </c>
      <c r="R37" s="172"/>
    </row>
    <row r="38" spans="1:18" ht="18" customHeight="1">
      <c r="A38" s="138" t="s">
        <v>23</v>
      </c>
      <c r="B38" s="164">
        <f>RTD("tickerplantrtdserver",,"47#5#1#5629#GBPON.LIBOR#LTP")</f>
        <v>5.6500000000000002E-2</v>
      </c>
      <c r="C38" s="164">
        <f>RTD("tickerplantrtdserver",,"47#5#1#5629#GBP1W.LIBOR#LTP")</f>
        <v>5.3499999999999999E-2</v>
      </c>
      <c r="D38" s="164">
        <f>RTD("tickerplantrtdserver",,"47#5#1#5629#GBP1W.LIBOR#LTP")</f>
        <v>5.3499999999999999E-2</v>
      </c>
      <c r="E38" s="165">
        <f>RTD("tickerplantrtdserver",,"47#5#1#5629#GBP1M.LIBOR#LTP")</f>
        <v>0.10263</v>
      </c>
      <c r="F38" s="165">
        <f>RTD("tickerplantrtdserver",,"47#5#1#5629#GBP2M.LIBOR#LTP")</f>
        <v>0.14149999999999999</v>
      </c>
      <c r="G38" s="165">
        <f>RTD("tickerplantrtdserver",,"47#5#1#5629#GBP3M.LIBOR#LTP")</f>
        <v>0.16538</v>
      </c>
      <c r="H38" s="165">
        <f>RTD("tickerplantrtdserver",,"47#5#1#5629#GBP4M.LIBOR#LTP")</f>
        <v>0.53</v>
      </c>
      <c r="I38" s="165">
        <f>RTD("tickerplantrtdserver",,"47#5#1#5629#GBP5M.LIBOR#LTP")</f>
        <v>0.56188000000000005</v>
      </c>
      <c r="J38" s="165">
        <f>RTD("tickerplantrtdserver",,"47#5#1#5629#GBP6M.LIBOR#LTP")</f>
        <v>0.314</v>
      </c>
      <c r="K38" s="166">
        <f>RTD("tickerplantrtdserver",,"47#5#1#5629#GBP7M.LIBOR#LTP")</f>
        <v>0.63688</v>
      </c>
      <c r="L38" s="166">
        <f>RTD("tickerplantrtdserver",,"47#5#1#5629#GBP8M.LIBOR#LTP")</f>
        <v>0.69438</v>
      </c>
      <c r="M38" s="166">
        <f>RTD("tickerplantrtdserver",,"47#5#1#5629#GBP9M.LIBOR#LTP")</f>
        <v>0.73624999999999996</v>
      </c>
      <c r="N38" s="166">
        <f>RTD("tickerplantrtdserver",,"47#5#1#5629#GBP10M.LIBOR#LTP")</f>
        <v>0.77937999999999996</v>
      </c>
      <c r="O38" s="166">
        <f>RTD("tickerplantrtdserver",,"47#5#1#5629#GBP11M.LIBOR#LTP")</f>
        <v>0.83313000000000004</v>
      </c>
      <c r="P38" s="167">
        <f>RTD("tickerplantrtdserver",,"47#5#1#5629#GBP1Y.LIBOR#LTP")</f>
        <v>0.50024999999999997</v>
      </c>
      <c r="R38" s="172"/>
    </row>
    <row r="39" spans="1:18" ht="18" customHeight="1" thickBot="1">
      <c r="A39" s="143" t="s">
        <v>22</v>
      </c>
      <c r="B39" s="168">
        <f>RTD("tickerplantrtdserver",,"47#5#1#5629#JPYSN.LIBOR#LTP")</f>
        <v>-8.4830000000000003E-2</v>
      </c>
      <c r="C39" s="168">
        <f>RTD("tickerplantrtdserver",,"47#5#1#5629#JPY1W.LIBOR#LTP")</f>
        <v>-9.9830000000000002E-2</v>
      </c>
      <c r="D39" s="168">
        <f>RTD("tickerplantrtdserver",,"47#5#1#5629#JPY2W.LIBOR#LTP")</f>
        <v>0.11071</v>
      </c>
      <c r="E39" s="169">
        <f>RTD("tickerplantrtdserver",,"47#5#1#5629#JPY1M.LIBOR#LTP")</f>
        <v>-8.6169999999999997E-2</v>
      </c>
      <c r="F39" s="169">
        <f>RTD("tickerplantrtdserver",,"47#5#1#5629#JPY2M.LIBOR#LTP")</f>
        <v>-5.6669999999999998E-2</v>
      </c>
      <c r="G39" s="169">
        <f>RTD("tickerplantrtdserver",,"47#5#1#5629#JPY3M.LIBOR#LTP")</f>
        <v>-4.7500000000000001E-2</v>
      </c>
      <c r="H39" s="169">
        <f>RTD("tickerplantrtdserver",,"47#5#1#5629#JPY2M.LIBOR#LTP")</f>
        <v>-5.6669999999999998E-2</v>
      </c>
      <c r="I39" s="169">
        <f>RTD("tickerplantrtdserver",,"47#5#1#5629#JPY5M.LIBOR#LTP")</f>
        <v>0.21571000000000001</v>
      </c>
      <c r="J39" s="169">
        <f>RTD("tickerplantrtdserver",,"47#5#1#5629#JPY6M.LIBOR#LTP")</f>
        <v>-8.8299999999999993E-3</v>
      </c>
      <c r="K39" s="170">
        <f>RTD("tickerplantrtdserver",,"47#5#1#5629#JPY7M.LIBOR#LTP")</f>
        <v>0.28571000000000002</v>
      </c>
      <c r="L39" s="170">
        <f>RTD("tickerplantrtdserver",,"47#5#1#5629#JPY8M.LIBOR#LTP")</f>
        <v>0.32571</v>
      </c>
      <c r="M39" s="170">
        <f>RTD("tickerplantrtdserver",,"47#5#1#5629#JPY9M.LIBOR#LTP")</f>
        <v>0.35428999999999999</v>
      </c>
      <c r="N39" s="170">
        <f>RTD("tickerplantrtdserver",,"47#5#1#5629#JPY10M.LIBOR#LTP")</f>
        <v>0.38429000000000002</v>
      </c>
      <c r="O39" s="170">
        <f>RTD("tickerplantrtdserver",,"47#5#1#5629#JPY11M.LIBOR#LTP")</f>
        <v>0.41143000000000002</v>
      </c>
      <c r="P39" s="171">
        <f>RTD("tickerplantrtdserver",,"47#5#1#5629#JPY1Y.LIBOR#LTP")</f>
        <v>0.11383</v>
      </c>
      <c r="R39" s="172"/>
    </row>
  </sheetData>
  <mergeCells count="3">
    <mergeCell ref="G5:G9"/>
    <mergeCell ref="P23:P27"/>
    <mergeCell ref="R35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USDINR</vt:lpstr>
      <vt:lpstr>EURINR</vt:lpstr>
      <vt:lpstr>GBPINR</vt:lpstr>
      <vt:lpstr>JPYINR</vt:lpstr>
      <vt:lpstr>LIBOR</vt:lpstr>
      <vt:lpstr>OHLC</vt:lpstr>
      <vt:lpstr>Currency futures 1 Month</vt:lpstr>
      <vt:lpstr>Currency Futures 2 Month</vt:lpstr>
      <vt:lpstr>Currency Futures 3 Month</vt:lpstr>
      <vt:lpstr>Forward Rates Tab 1USDINR ME</vt:lpstr>
      <vt:lpstr>Forward Rates Tab 2USDINR MW</vt:lpstr>
      <vt:lpstr>Forward Rates Tab 3EURINR ME</vt:lpstr>
      <vt:lpstr>Forward Rates Tab 4GBPINR ME</vt:lpstr>
      <vt:lpstr>Forward Rates Tab 5JPYINR ME</vt:lpstr>
      <vt:lpstr>Forward Rates Tab 6EURUSD MW</vt:lpstr>
      <vt:lpstr>Forward Rates Tab 7GBPUSD MW</vt:lpstr>
      <vt:lpstr>Forward Rates Tab 8USDJPY MW</vt:lpstr>
      <vt:lpstr>Forward Rate Calculator</vt:lpstr>
      <vt:lpstr>Historical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siddhesh.ghare</dc:creator>
  <cp:lastModifiedBy>siddhesh.ghare</cp:lastModifiedBy>
  <dcterms:created xsi:type="dcterms:W3CDTF">2020-04-23T19:35:55Z</dcterms:created>
  <dcterms:modified xsi:type="dcterms:W3CDTF">2020-06-22T14:48:06Z</dcterms:modified>
</cp:coreProperties>
</file>