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D:\Purohit\Important Data\"/>
    </mc:Choice>
  </mc:AlternateContent>
  <xr:revisionPtr revIDLastSave="0" documentId="13_ncr:1_{96776343-C336-485B-8751-117392202088}" xr6:coauthVersionLast="47" xr6:coauthVersionMax="47" xr10:uidLastSave="{00000000-0000-0000-0000-000000000000}"/>
  <bookViews>
    <workbookView xWindow="-108" yWindow="-108" windowWidth="23256" windowHeight="12456" xr2:uid="{FA765130-BCFF-4B74-9196-7DA330935F89}"/>
  </bookViews>
  <sheets>
    <sheet name="Dashboard" sheetId="13" r:id="rId1"/>
    <sheet name="Sheet1" sheetId="19" state="hidden" r:id="rId2"/>
    <sheet name="Summay" sheetId="12" state="hidden" r:id="rId3"/>
    <sheet name="Consol" sheetId="2" state="hidden" r:id="rId4"/>
    <sheet name="Lab" sheetId="11" state="hidden" r:id="rId5"/>
    <sheet name="Radio" sheetId="10" state="hidden" r:id="rId6"/>
    <sheet name="Jun23" sheetId="1" state="hidden" r:id="rId7"/>
    <sheet name="Apr24" sheetId="9" state="hidden" r:id="rId8"/>
    <sheet name="May24" sheetId="4" state="hidden" r:id="rId9"/>
    <sheet name="Jun24" sheetId="5" state="hidden" r:id="rId10"/>
    <sheet name="FY23" sheetId="16" r:id="rId11"/>
    <sheet name="FY24" sheetId="7" r:id="rId12"/>
    <sheet name="Bud25" sheetId="18" r:id="rId13"/>
    <sheet name="FY25" sheetId="17" r:id="rId14"/>
  </sheets>
  <definedNames>
    <definedName name="_xlnm._FilterDatabase" localSheetId="10" hidden="1">'FY23'!$A$3:$AZ$3</definedName>
    <definedName name="_xlnm._FilterDatabase" localSheetId="11" hidden="1">'FY24'!$B$4:$AZ$48</definedName>
    <definedName name="_xlnm._FilterDatabase" localSheetId="9" hidden="1">'Jun24'!$A$2:$O$53</definedName>
    <definedName name="_xlnm._FilterDatabase" localSheetId="8" hidden="1">'May24'!$A$2:$O$48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13" l="1"/>
  <c r="L20" i="13"/>
  <c r="J19" i="13"/>
  <c r="J21" i="13" s="1"/>
  <c r="H21" i="13"/>
  <c r="H20" i="13"/>
  <c r="F21" i="13"/>
  <c r="F20" i="13"/>
  <c r="D21" i="13"/>
  <c r="J18" i="13"/>
  <c r="J17" i="13"/>
  <c r="H19" i="13"/>
  <c r="H18" i="13"/>
  <c r="H17" i="13"/>
  <c r="F19" i="13"/>
  <c r="F18" i="13"/>
  <c r="F17" i="13"/>
  <c r="F16" i="13"/>
  <c r="D37" i="13" l="1" a="1"/>
  <c r="D37" i="13" s="1"/>
  <c r="E37" i="13" l="1"/>
  <c r="AG74" i="17"/>
  <c r="AW74" i="17" s="1"/>
  <c r="AG73" i="17"/>
  <c r="AG67" i="17"/>
  <c r="AG66" i="17"/>
  <c r="AG63" i="17"/>
  <c r="AG62" i="17"/>
  <c r="AG61" i="17"/>
  <c r="AG60" i="17"/>
  <c r="AG59" i="17"/>
  <c r="AG58" i="17"/>
  <c r="AG57" i="17"/>
  <c r="AG56" i="17"/>
  <c r="AG53" i="17"/>
  <c r="AG52" i="17"/>
  <c r="AG51" i="17"/>
  <c r="AG50" i="17"/>
  <c r="AG49" i="17"/>
  <c r="AG48" i="17"/>
  <c r="AG47" i="17"/>
  <c r="AG46" i="17"/>
  <c r="AG45" i="17"/>
  <c r="AG44" i="17"/>
  <c r="AG43" i="17"/>
  <c r="AG37" i="17"/>
  <c r="AG36" i="17"/>
  <c r="AG35" i="17"/>
  <c r="AG34" i="17"/>
  <c r="AG33" i="17"/>
  <c r="AG29" i="17"/>
  <c r="AG28" i="17"/>
  <c r="AG27" i="17"/>
  <c r="AG26" i="17"/>
  <c r="AG25" i="17"/>
  <c r="AG24" i="17"/>
  <c r="AG23" i="17"/>
  <c r="AG22" i="17"/>
  <c r="AG21" i="17"/>
  <c r="AG17" i="17"/>
  <c r="AG16" i="17"/>
  <c r="AG15" i="17"/>
  <c r="AG14" i="17"/>
  <c r="AG13" i="17"/>
  <c r="AG12" i="17"/>
  <c r="AG11" i="17"/>
  <c r="AG10" i="17"/>
  <c r="AG9" i="17"/>
  <c r="AG8" i="17"/>
  <c r="AG7" i="17"/>
  <c r="AG6" i="17"/>
  <c r="AG5" i="17"/>
  <c r="Q4" i="17"/>
  <c r="D18" i="13"/>
  <c r="AW76" i="18"/>
  <c r="AW75" i="18"/>
  <c r="AW63" i="18"/>
  <c r="AW62" i="18"/>
  <c r="AW49" i="18"/>
  <c r="AW48" i="18"/>
  <c r="AW28" i="18"/>
  <c r="AW27" i="18"/>
  <c r="AW13" i="18"/>
  <c r="AW12" i="18"/>
  <c r="AG68" i="18"/>
  <c r="AG67" i="18"/>
  <c r="AG64" i="18"/>
  <c r="AG63" i="18"/>
  <c r="AG62" i="18"/>
  <c r="AG61" i="18"/>
  <c r="AG60" i="18"/>
  <c r="AG59" i="18"/>
  <c r="AG58" i="18"/>
  <c r="AG57" i="18"/>
  <c r="AG54" i="18"/>
  <c r="AG53" i="18"/>
  <c r="AW53" i="18" s="1"/>
  <c r="AG52" i="18"/>
  <c r="AG51" i="18"/>
  <c r="AG50" i="18"/>
  <c r="AG49" i="18"/>
  <c r="AG48" i="18"/>
  <c r="AG47" i="18"/>
  <c r="AG46" i="18"/>
  <c r="AG45" i="18"/>
  <c r="AG44" i="18"/>
  <c r="AG37" i="18"/>
  <c r="AG36" i="18"/>
  <c r="AG35" i="18"/>
  <c r="AG34" i="18"/>
  <c r="AG33" i="18"/>
  <c r="AG29" i="18"/>
  <c r="AG28" i="18"/>
  <c r="AG27" i="18"/>
  <c r="AG26" i="18"/>
  <c r="AG25" i="18"/>
  <c r="AG24" i="18"/>
  <c r="AG23" i="18"/>
  <c r="AG22" i="18"/>
  <c r="AG21" i="18"/>
  <c r="AG17" i="18"/>
  <c r="AG16" i="18"/>
  <c r="AG15" i="18"/>
  <c r="AG14" i="18"/>
  <c r="AG13" i="18"/>
  <c r="AG12" i="18"/>
  <c r="AG11" i="18"/>
  <c r="AG10" i="18"/>
  <c r="AG9" i="18"/>
  <c r="AG8" i="18"/>
  <c r="AG7" i="18"/>
  <c r="AG6" i="18"/>
  <c r="AG5" i="18"/>
  <c r="AG4" i="18"/>
  <c r="Q68" i="18"/>
  <c r="AW68" i="18" s="1"/>
  <c r="Q67" i="18"/>
  <c r="AW67" i="18" s="1"/>
  <c r="Q64" i="18"/>
  <c r="AW64" i="18" s="1"/>
  <c r="Q63" i="18"/>
  <c r="Q62" i="18"/>
  <c r="Q61" i="18"/>
  <c r="AW61" i="18" s="1"/>
  <c r="Q60" i="18"/>
  <c r="AW60" i="18" s="1"/>
  <c r="Q59" i="18"/>
  <c r="AW59" i="18" s="1"/>
  <c r="Q58" i="18"/>
  <c r="AW58" i="18" s="1"/>
  <c r="Q57" i="18"/>
  <c r="AW57" i="18" s="1"/>
  <c r="Q54" i="18"/>
  <c r="AW54" i="18" s="1"/>
  <c r="Q53" i="18"/>
  <c r="Q52" i="18"/>
  <c r="AW52" i="18" s="1"/>
  <c r="Q51" i="18"/>
  <c r="AW51" i="18" s="1"/>
  <c r="Q50" i="18"/>
  <c r="AW50" i="18" s="1"/>
  <c r="Q49" i="18"/>
  <c r="Q48" i="18"/>
  <c r="Q47" i="18"/>
  <c r="AW47" i="18" s="1"/>
  <c r="Q46" i="18"/>
  <c r="AW46" i="18" s="1"/>
  <c r="Q45" i="18"/>
  <c r="AW45" i="18" s="1"/>
  <c r="Q44" i="18"/>
  <c r="AW44" i="18" s="1"/>
  <c r="Q37" i="18"/>
  <c r="AW37" i="18" s="1"/>
  <c r="Q36" i="18"/>
  <c r="AW36" i="18" s="1"/>
  <c r="Q35" i="18"/>
  <c r="AW35" i="18" s="1"/>
  <c r="Q34" i="18"/>
  <c r="AW34" i="18" s="1"/>
  <c r="Q33" i="18"/>
  <c r="AW33" i="18" s="1"/>
  <c r="Q29" i="18"/>
  <c r="AW29" i="18" s="1"/>
  <c r="Q28" i="18"/>
  <c r="Q27" i="18"/>
  <c r="Q26" i="18"/>
  <c r="AW26" i="18" s="1"/>
  <c r="Q25" i="18"/>
  <c r="AW25" i="18" s="1"/>
  <c r="Q24" i="18"/>
  <c r="AW24" i="18" s="1"/>
  <c r="Q23" i="18"/>
  <c r="AW23" i="18" s="1"/>
  <c r="Q22" i="18"/>
  <c r="AW22" i="18" s="1"/>
  <c r="Q21" i="18"/>
  <c r="AW21" i="18" s="1"/>
  <c r="Q17" i="18"/>
  <c r="AW17" i="18" s="1"/>
  <c r="Q16" i="18"/>
  <c r="AW16" i="18" s="1"/>
  <c r="Q15" i="18"/>
  <c r="AW15" i="18" s="1"/>
  <c r="Q14" i="18"/>
  <c r="AW14" i="18" s="1"/>
  <c r="Q13" i="18"/>
  <c r="Q12" i="18"/>
  <c r="Q11" i="18"/>
  <c r="AW11" i="18" s="1"/>
  <c r="Q10" i="18"/>
  <c r="AW10" i="18" s="1"/>
  <c r="Q9" i="18"/>
  <c r="AW9" i="18" s="1"/>
  <c r="Q8" i="18"/>
  <c r="AW8" i="18" s="1"/>
  <c r="Q7" i="18"/>
  <c r="AW7" i="18" s="1"/>
  <c r="Q6" i="18"/>
  <c r="AW6" i="18" s="1"/>
  <c r="Q5" i="18"/>
  <c r="AW5" i="18" s="1"/>
  <c r="Q4" i="18"/>
  <c r="AW4" i="18" s="1"/>
  <c r="D17" i="13"/>
  <c r="AV5" i="7"/>
  <c r="AU40" i="16"/>
  <c r="AU39" i="16"/>
  <c r="AU38" i="16"/>
  <c r="AF29" i="16"/>
  <c r="AE29" i="16"/>
  <c r="AF40" i="16"/>
  <c r="AF39" i="16"/>
  <c r="AF38" i="16"/>
  <c r="AF28" i="16"/>
  <c r="AF27" i="16"/>
  <c r="AF26" i="16"/>
  <c r="AF25" i="16"/>
  <c r="AF21" i="16"/>
  <c r="AF20" i="16"/>
  <c r="AF19" i="16"/>
  <c r="AF16" i="16"/>
  <c r="AF15" i="16"/>
  <c r="AF14" i="16"/>
  <c r="AF13" i="16"/>
  <c r="AF12" i="16"/>
  <c r="AF11" i="16"/>
  <c r="AF10" i="16"/>
  <c r="AF7" i="16"/>
  <c r="AF6" i="16"/>
  <c r="AF5" i="16"/>
  <c r="AF4" i="16"/>
  <c r="Q40" i="16"/>
  <c r="Q39" i="16"/>
  <c r="Q38" i="16"/>
  <c r="Q29" i="16"/>
  <c r="Q28" i="16"/>
  <c r="Q27" i="16"/>
  <c r="Q26" i="16"/>
  <c r="Q25" i="16"/>
  <c r="Q24" i="16"/>
  <c r="Q22" i="16"/>
  <c r="Q21" i="16"/>
  <c r="Q20" i="16"/>
  <c r="Q19" i="16"/>
  <c r="Q18" i="16"/>
  <c r="Q16" i="16"/>
  <c r="Q15" i="16"/>
  <c r="Q14" i="16"/>
  <c r="Q13" i="16"/>
  <c r="Q12" i="16"/>
  <c r="Q11" i="16"/>
  <c r="Q10" i="16"/>
  <c r="Q9" i="16"/>
  <c r="Q7" i="16"/>
  <c r="Q6" i="16"/>
  <c r="Q5" i="16"/>
  <c r="Q4" i="16"/>
  <c r="AG4" i="17" l="1"/>
  <c r="AW4" i="17" s="1"/>
  <c r="Q73" i="17"/>
  <c r="AW73" i="17" s="1"/>
  <c r="Q67" i="17"/>
  <c r="AW67" i="17" s="1"/>
  <c r="Q66" i="17"/>
  <c r="AW66" i="17" s="1"/>
  <c r="Q63" i="17"/>
  <c r="AW63" i="17" s="1"/>
  <c r="Q62" i="17"/>
  <c r="AW62" i="17" s="1"/>
  <c r="Q61" i="17"/>
  <c r="AW61" i="17" s="1"/>
  <c r="Q60" i="17"/>
  <c r="AW60" i="17" s="1"/>
  <c r="Q59" i="17"/>
  <c r="AW59" i="17" s="1"/>
  <c r="Q58" i="17"/>
  <c r="AW58" i="17" s="1"/>
  <c r="Q57" i="17"/>
  <c r="AW57" i="17" s="1"/>
  <c r="Q56" i="17"/>
  <c r="AW56" i="17" s="1"/>
  <c r="Q53" i="17"/>
  <c r="Q52" i="17"/>
  <c r="Q51" i="17"/>
  <c r="Q50" i="17"/>
  <c r="Q49" i="17"/>
  <c r="Q48" i="17"/>
  <c r="AW48" i="17" s="1"/>
  <c r="Q47" i="17"/>
  <c r="Q46" i="17"/>
  <c r="Q45" i="17"/>
  <c r="Q44" i="17"/>
  <c r="Q43" i="17"/>
  <c r="Q37" i="17"/>
  <c r="Q36" i="17"/>
  <c r="Q35" i="17"/>
  <c r="Q34" i="17"/>
  <c r="Q33" i="17"/>
  <c r="Q29" i="17"/>
  <c r="Q28" i="17"/>
  <c r="Q27" i="17"/>
  <c r="Q26" i="17"/>
  <c r="Q25" i="17"/>
  <c r="Q24" i="17"/>
  <c r="Q23" i="17"/>
  <c r="Q22" i="17"/>
  <c r="Q21" i="17"/>
  <c r="Q17" i="17"/>
  <c r="Q16" i="17"/>
  <c r="Q15" i="17"/>
  <c r="Q14" i="17"/>
  <c r="Q13" i="17"/>
  <c r="Q12" i="17"/>
  <c r="Q11" i="17"/>
  <c r="Q10" i="17"/>
  <c r="Q9" i="17"/>
  <c r="Q8" i="17"/>
  <c r="Q7" i="17"/>
  <c r="Q6" i="17"/>
  <c r="Q5" i="17"/>
  <c r="G12" i="13" l="1"/>
  <c r="G11" i="13"/>
  <c r="G10" i="13"/>
  <c r="G9" i="13"/>
  <c r="G8" i="13"/>
  <c r="G7" i="13"/>
  <c r="G6" i="13"/>
  <c r="Y30" i="17"/>
  <c r="G13" i="13" l="1"/>
  <c r="AE76" i="17"/>
  <c r="AD76" i="17"/>
  <c r="AC76" i="17"/>
  <c r="AB76" i="17"/>
  <c r="AA76" i="17"/>
  <c r="Z76" i="17"/>
  <c r="Y76" i="17"/>
  <c r="X76" i="17"/>
  <c r="W76" i="17"/>
  <c r="V76" i="17"/>
  <c r="U76" i="17"/>
  <c r="T76" i="17"/>
  <c r="AF74" i="17"/>
  <c r="AF73" i="17"/>
  <c r="AF76" i="17" s="1"/>
  <c r="P74" i="17"/>
  <c r="P73" i="17"/>
  <c r="E76" i="17"/>
  <c r="F76" i="17"/>
  <c r="G76" i="17"/>
  <c r="H76" i="17"/>
  <c r="I76" i="17"/>
  <c r="J76" i="17"/>
  <c r="K76" i="17"/>
  <c r="L76" i="17"/>
  <c r="M76" i="17"/>
  <c r="N76" i="17"/>
  <c r="O76" i="17"/>
  <c r="Q76" i="17"/>
  <c r="D76" i="17"/>
  <c r="K12" i="13"/>
  <c r="AK73" i="17"/>
  <c r="AL73" i="17"/>
  <c r="AM73" i="17"/>
  <c r="AM76" i="17" s="1"/>
  <c r="AN73" i="17"/>
  <c r="AO73" i="17"/>
  <c r="AO76" i="17" s="1"/>
  <c r="AP73" i="17"/>
  <c r="AQ73" i="17"/>
  <c r="AR73" i="17"/>
  <c r="AS73" i="17"/>
  <c r="AS76" i="17" s="1"/>
  <c r="AT73" i="17"/>
  <c r="AU73" i="17"/>
  <c r="AU76" i="17" s="1"/>
  <c r="AK74" i="17"/>
  <c r="AL74" i="17"/>
  <c r="AM74" i="17"/>
  <c r="AN74" i="17"/>
  <c r="AN76" i="17" s="1"/>
  <c r="AO74" i="17"/>
  <c r="AP74" i="17"/>
  <c r="AP76" i="17" s="1"/>
  <c r="AQ74" i="17"/>
  <c r="AR74" i="17"/>
  <c r="AS74" i="17"/>
  <c r="AT74" i="17"/>
  <c r="AU74" i="17"/>
  <c r="AJ74" i="17"/>
  <c r="AJ73" i="17"/>
  <c r="AQ76" i="17"/>
  <c r="AR76" i="17"/>
  <c r="AT76" i="17"/>
  <c r="AI76" i="17"/>
  <c r="AI69" i="17"/>
  <c r="AK66" i="17"/>
  <c r="AL66" i="17"/>
  <c r="AM66" i="17"/>
  <c r="AM69" i="17" s="1"/>
  <c r="AN66" i="17"/>
  <c r="AN69" i="17" s="1"/>
  <c r="AO66" i="17"/>
  <c r="AO69" i="17" s="1"/>
  <c r="AP66" i="17"/>
  <c r="AP69" i="17" s="1"/>
  <c r="AQ66" i="17"/>
  <c r="AQ69" i="17" s="1"/>
  <c r="AR66" i="17"/>
  <c r="AR69" i="17" s="1"/>
  <c r="AS66" i="17"/>
  <c r="AS69" i="17" s="1"/>
  <c r="AT66" i="17"/>
  <c r="AT69" i="17" s="1"/>
  <c r="AU66" i="17"/>
  <c r="AU69" i="17" s="1"/>
  <c r="AK67" i="17"/>
  <c r="AL67" i="17"/>
  <c r="AM67" i="17"/>
  <c r="AN67" i="17"/>
  <c r="AO67" i="17"/>
  <c r="AP67" i="17"/>
  <c r="AQ67" i="17"/>
  <c r="AR67" i="17"/>
  <c r="AS67" i="17"/>
  <c r="AT67" i="17"/>
  <c r="AU67" i="17"/>
  <c r="AJ67" i="17"/>
  <c r="AJ66" i="17"/>
  <c r="AU63" i="17"/>
  <c r="AT63" i="17"/>
  <c r="AS63" i="17"/>
  <c r="AR63" i="17"/>
  <c r="AQ63" i="17"/>
  <c r="AP63" i="17"/>
  <c r="AO63" i="17"/>
  <c r="AN63" i="17"/>
  <c r="AM63" i="17"/>
  <c r="AL63" i="17"/>
  <c r="AK63" i="17"/>
  <c r="AU62" i="17"/>
  <c r="AT62" i="17"/>
  <c r="AS62" i="17"/>
  <c r="AR62" i="17"/>
  <c r="AQ62" i="17"/>
  <c r="AP62" i="17"/>
  <c r="AO62" i="17"/>
  <c r="AN62" i="17"/>
  <c r="AM62" i="17"/>
  <c r="AL62" i="17"/>
  <c r="AK62" i="17"/>
  <c r="AU61" i="17"/>
  <c r="AT61" i="17"/>
  <c r="AT64" i="17" s="1"/>
  <c r="AS61" i="17"/>
  <c r="AR61" i="17"/>
  <c r="AQ61" i="17"/>
  <c r="AP61" i="17"/>
  <c r="AO61" i="17"/>
  <c r="AN61" i="17"/>
  <c r="AM61" i="17"/>
  <c r="AL61" i="17"/>
  <c r="AK61" i="17"/>
  <c r="AU60" i="17"/>
  <c r="AT60" i="17"/>
  <c r="AS60" i="17"/>
  <c r="AS64" i="17" s="1"/>
  <c r="AR60" i="17"/>
  <c r="AQ60" i="17"/>
  <c r="AP60" i="17"/>
  <c r="AO60" i="17"/>
  <c r="AN60" i="17"/>
  <c r="AM60" i="17"/>
  <c r="AL60" i="17"/>
  <c r="AK60" i="17"/>
  <c r="AU59" i="17"/>
  <c r="AT59" i="17"/>
  <c r="AS59" i="17"/>
  <c r="AR59" i="17"/>
  <c r="AR64" i="17" s="1"/>
  <c r="AQ59" i="17"/>
  <c r="AP59" i="17"/>
  <c r="AO59" i="17"/>
  <c r="AN59" i="17"/>
  <c r="AM59" i="17"/>
  <c r="AL59" i="17"/>
  <c r="AK59" i="17"/>
  <c r="AU58" i="17"/>
  <c r="AT58" i="17"/>
  <c r="AS58" i="17"/>
  <c r="AR58" i="17"/>
  <c r="AQ58" i="17"/>
  <c r="AP58" i="17"/>
  <c r="AO58" i="17"/>
  <c r="AN58" i="17"/>
  <c r="AN64" i="17" s="1"/>
  <c r="AM58" i="17"/>
  <c r="AL58" i="17"/>
  <c r="AK58" i="17"/>
  <c r="AU57" i="17"/>
  <c r="AT57" i="17"/>
  <c r="AS57" i="17"/>
  <c r="AR57" i="17"/>
  <c r="AQ57" i="17"/>
  <c r="AP57" i="17"/>
  <c r="AO57" i="17"/>
  <c r="AN57" i="17"/>
  <c r="AM57" i="17"/>
  <c r="AL57" i="17"/>
  <c r="AK57" i="17"/>
  <c r="AU56" i="17"/>
  <c r="AT56" i="17"/>
  <c r="AS56" i="17"/>
  <c r="AR56" i="17"/>
  <c r="AQ56" i="17"/>
  <c r="AP56" i="17"/>
  <c r="AO56" i="17"/>
  <c r="AO64" i="17" s="1"/>
  <c r="AN56" i="17"/>
  <c r="AM56" i="17"/>
  <c r="AL56" i="17"/>
  <c r="AK56" i="17"/>
  <c r="AJ57" i="17"/>
  <c r="AJ58" i="17"/>
  <c r="AJ59" i="17"/>
  <c r="AJ60" i="17"/>
  <c r="AJ61" i="17"/>
  <c r="AJ62" i="17"/>
  <c r="AJ63" i="17"/>
  <c r="AJ56" i="17"/>
  <c r="AI64" i="17"/>
  <c r="AW44" i="17"/>
  <c r="AW45" i="17"/>
  <c r="AW46" i="17"/>
  <c r="AW47" i="17"/>
  <c r="AW49" i="17"/>
  <c r="AW50" i="17"/>
  <c r="AW51" i="17"/>
  <c r="AW52" i="17"/>
  <c r="AW53" i="17"/>
  <c r="AW43" i="17"/>
  <c r="AU53" i="17"/>
  <c r="AT53" i="17"/>
  <c r="AS53" i="17"/>
  <c r="AR53" i="17"/>
  <c r="AQ53" i="17"/>
  <c r="AP53" i="17"/>
  <c r="AO53" i="17"/>
  <c r="AN53" i="17"/>
  <c r="AM53" i="17"/>
  <c r="AL53" i="17"/>
  <c r="AK53" i="17"/>
  <c r="AU52" i="17"/>
  <c r="AU54" i="17" s="1"/>
  <c r="AT52" i="17"/>
  <c r="AS52" i="17"/>
  <c r="AR52" i="17"/>
  <c r="AQ52" i="17"/>
  <c r="AP52" i="17"/>
  <c r="AO52" i="17"/>
  <c r="AN52" i="17"/>
  <c r="AM52" i="17"/>
  <c r="AL52" i="17"/>
  <c r="AK52" i="17"/>
  <c r="AU51" i="17"/>
  <c r="AT51" i="17"/>
  <c r="AS51" i="17"/>
  <c r="AR51" i="17"/>
  <c r="AQ51" i="17"/>
  <c r="AP51" i="17"/>
  <c r="AO51" i="17"/>
  <c r="AN51" i="17"/>
  <c r="AM51" i="17"/>
  <c r="AL51" i="17"/>
  <c r="AK51" i="17"/>
  <c r="AU50" i="17"/>
  <c r="AT50" i="17"/>
  <c r="AS50" i="17"/>
  <c r="AR50" i="17"/>
  <c r="AQ50" i="17"/>
  <c r="AP50" i="17"/>
  <c r="AO50" i="17"/>
  <c r="AN50" i="17"/>
  <c r="AM50" i="17"/>
  <c r="AL50" i="17"/>
  <c r="AK50" i="17"/>
  <c r="AU49" i="17"/>
  <c r="AT49" i="17"/>
  <c r="AS49" i="17"/>
  <c r="AR49" i="17"/>
  <c r="AQ49" i="17"/>
  <c r="AP49" i="17"/>
  <c r="AO49" i="17"/>
  <c r="AN49" i="17"/>
  <c r="AM49" i="17"/>
  <c r="AL49" i="17"/>
  <c r="AK49" i="17"/>
  <c r="AU48" i="17"/>
  <c r="AT48" i="17"/>
  <c r="AS48" i="17"/>
  <c r="AR48" i="17"/>
  <c r="AQ48" i="17"/>
  <c r="AP48" i="17"/>
  <c r="AO48" i="17"/>
  <c r="AN48" i="17"/>
  <c r="AM48" i="17"/>
  <c r="AL48" i="17"/>
  <c r="AK48" i="17"/>
  <c r="AU47" i="17"/>
  <c r="AT47" i="17"/>
  <c r="AS47" i="17"/>
  <c r="AR47" i="17"/>
  <c r="AQ47" i="17"/>
  <c r="AP47" i="17"/>
  <c r="AO47" i="17"/>
  <c r="AN47" i="17"/>
  <c r="AM47" i="17"/>
  <c r="AL47" i="17"/>
  <c r="AK47" i="17"/>
  <c r="AU46" i="17"/>
  <c r="AT46" i="17"/>
  <c r="AS46" i="17"/>
  <c r="AR46" i="17"/>
  <c r="AQ46" i="17"/>
  <c r="AP46" i="17"/>
  <c r="AO46" i="17"/>
  <c r="AN46" i="17"/>
  <c r="AM46" i="17"/>
  <c r="AL46" i="17"/>
  <c r="AK46" i="17"/>
  <c r="AU45" i="17"/>
  <c r="AT45" i="17"/>
  <c r="AS45" i="17"/>
  <c r="AR45" i="17"/>
  <c r="AQ45" i="17"/>
  <c r="AP45" i="17"/>
  <c r="AO45" i="17"/>
  <c r="AN45" i="17"/>
  <c r="AM45" i="17"/>
  <c r="AL45" i="17"/>
  <c r="AK45" i="17"/>
  <c r="AU44" i="17"/>
  <c r="AT44" i="17"/>
  <c r="AS44" i="17"/>
  <c r="AR44" i="17"/>
  <c r="AQ44" i="17"/>
  <c r="AP44" i="17"/>
  <c r="AO44" i="17"/>
  <c r="AN44" i="17"/>
  <c r="AM44" i="17"/>
  <c r="AL44" i="17"/>
  <c r="AK44" i="17"/>
  <c r="AU43" i="17"/>
  <c r="AT43" i="17"/>
  <c r="AS43" i="17"/>
  <c r="AR43" i="17"/>
  <c r="AQ43" i="17"/>
  <c r="AP43" i="17"/>
  <c r="AO43" i="17"/>
  <c r="AN43" i="17"/>
  <c r="AM43" i="17"/>
  <c r="AL43" i="17"/>
  <c r="AK43" i="17"/>
  <c r="AJ53" i="17"/>
  <c r="AJ52" i="17"/>
  <c r="AJ51" i="17"/>
  <c r="AJ50" i="17"/>
  <c r="AJ49" i="17"/>
  <c r="AJ48" i="17"/>
  <c r="AJ47" i="17"/>
  <c r="AJ46" i="17"/>
  <c r="AJ45" i="17"/>
  <c r="AJ44" i="17"/>
  <c r="AJ43" i="17"/>
  <c r="AI54" i="17"/>
  <c r="AW34" i="17"/>
  <c r="AW35" i="17"/>
  <c r="AW36" i="17"/>
  <c r="AW37" i="17"/>
  <c r="AW33" i="17"/>
  <c r="K10" i="13" s="1"/>
  <c r="AU37" i="17"/>
  <c r="AT37" i="17"/>
  <c r="AS37" i="17"/>
  <c r="AR37" i="17"/>
  <c r="AQ37" i="17"/>
  <c r="AP37" i="17"/>
  <c r="AO37" i="17"/>
  <c r="AN37" i="17"/>
  <c r="AM37" i="17"/>
  <c r="AL37" i="17"/>
  <c r="AK37" i="17"/>
  <c r="AU36" i="17"/>
  <c r="AT36" i="17"/>
  <c r="AS36" i="17"/>
  <c r="AR36" i="17"/>
  <c r="AQ36" i="17"/>
  <c r="AP36" i="17"/>
  <c r="AO36" i="17"/>
  <c r="AN36" i="17"/>
  <c r="AM36" i="17"/>
  <c r="AL36" i="17"/>
  <c r="AK36" i="17"/>
  <c r="AU35" i="17"/>
  <c r="AT35" i="17"/>
  <c r="AS35" i="17"/>
  <c r="AR35" i="17"/>
  <c r="AQ35" i="17"/>
  <c r="AQ38" i="17" s="1"/>
  <c r="AP35" i="17"/>
  <c r="AO35" i="17"/>
  <c r="AN35" i="17"/>
  <c r="AM35" i="17"/>
  <c r="AL35" i="17"/>
  <c r="AK35" i="17"/>
  <c r="AU34" i="17"/>
  <c r="AT34" i="17"/>
  <c r="AS34" i="17"/>
  <c r="AR34" i="17"/>
  <c r="AQ34" i="17"/>
  <c r="AP34" i="17"/>
  <c r="AO34" i="17"/>
  <c r="AN34" i="17"/>
  <c r="AM34" i="17"/>
  <c r="AL34" i="17"/>
  <c r="AK34" i="17"/>
  <c r="AU33" i="17"/>
  <c r="AT33" i="17"/>
  <c r="AS33" i="17"/>
  <c r="AR33" i="17"/>
  <c r="AR38" i="17" s="1"/>
  <c r="AQ33" i="17"/>
  <c r="AP33" i="17"/>
  <c r="AO33" i="17"/>
  <c r="AN33" i="17"/>
  <c r="AM33" i="17"/>
  <c r="AL33" i="17"/>
  <c r="AK33" i="17"/>
  <c r="AJ37" i="17"/>
  <c r="AJ36" i="17"/>
  <c r="AJ35" i="17"/>
  <c r="AJ34" i="17"/>
  <c r="AJ33" i="17"/>
  <c r="AI38" i="17"/>
  <c r="AW22" i="17"/>
  <c r="AW23" i="17"/>
  <c r="AW24" i="17"/>
  <c r="AW25" i="17"/>
  <c r="AW26" i="17"/>
  <c r="AW27" i="17"/>
  <c r="AW28" i="17"/>
  <c r="AW29" i="17"/>
  <c r="AW21" i="17"/>
  <c r="AU29" i="17"/>
  <c r="AT29" i="17"/>
  <c r="AS29" i="17"/>
  <c r="AR29" i="17"/>
  <c r="AQ29" i="17"/>
  <c r="AP29" i="17"/>
  <c r="AO29" i="17"/>
  <c r="AN29" i="17"/>
  <c r="AM29" i="17"/>
  <c r="AL29" i="17"/>
  <c r="AK29" i="17"/>
  <c r="AU28" i="17"/>
  <c r="AT28" i="17"/>
  <c r="AS28" i="17"/>
  <c r="AR28" i="17"/>
  <c r="AQ28" i="17"/>
  <c r="AP28" i="17"/>
  <c r="AO28" i="17"/>
  <c r="AN28" i="17"/>
  <c r="AM28" i="17"/>
  <c r="AL28" i="17"/>
  <c r="AK28" i="17"/>
  <c r="AU27" i="17"/>
  <c r="AT27" i="17"/>
  <c r="AS27" i="17"/>
  <c r="AR27" i="17"/>
  <c r="AQ27" i="17"/>
  <c r="AP27" i="17"/>
  <c r="AO27" i="17"/>
  <c r="AN27" i="17"/>
  <c r="AM27" i="17"/>
  <c r="AL27" i="17"/>
  <c r="AK27" i="17"/>
  <c r="AU26" i="17"/>
  <c r="AT26" i="17"/>
  <c r="AS26" i="17"/>
  <c r="AR26" i="17"/>
  <c r="AQ26" i="17"/>
  <c r="AP26" i="17"/>
  <c r="AO26" i="17"/>
  <c r="AN26" i="17"/>
  <c r="AM26" i="17"/>
  <c r="AL26" i="17"/>
  <c r="AK26" i="17"/>
  <c r="AU25" i="17"/>
  <c r="AT25" i="17"/>
  <c r="AS25" i="17"/>
  <c r="AR25" i="17"/>
  <c r="AQ25" i="17"/>
  <c r="AP25" i="17"/>
  <c r="AO25" i="17"/>
  <c r="AN25" i="17"/>
  <c r="AM25" i="17"/>
  <c r="AL25" i="17"/>
  <c r="AK25" i="17"/>
  <c r="AU24" i="17"/>
  <c r="AT24" i="17"/>
  <c r="AS24" i="17"/>
  <c r="AR24" i="17"/>
  <c r="AQ24" i="17"/>
  <c r="AP24" i="17"/>
  <c r="AO24" i="17"/>
  <c r="AN24" i="17"/>
  <c r="AM24" i="17"/>
  <c r="AL24" i="17"/>
  <c r="AK24" i="17"/>
  <c r="AU23" i="17"/>
  <c r="AT23" i="17"/>
  <c r="AS23" i="17"/>
  <c r="AR23" i="17"/>
  <c r="AQ23" i="17"/>
  <c r="AP23" i="17"/>
  <c r="AO23" i="17"/>
  <c r="AN23" i="17"/>
  <c r="AM23" i="17"/>
  <c r="AL23" i="17"/>
  <c r="AK23" i="17"/>
  <c r="AU22" i="17"/>
  <c r="AT22" i="17"/>
  <c r="AS22" i="17"/>
  <c r="AR22" i="17"/>
  <c r="AQ22" i="17"/>
  <c r="AP22" i="17"/>
  <c r="AO22" i="17"/>
  <c r="AN22" i="17"/>
  <c r="AM22" i="17"/>
  <c r="AL22" i="17"/>
  <c r="AK22" i="17"/>
  <c r="AU21" i="17"/>
  <c r="AT21" i="17"/>
  <c r="AS21" i="17"/>
  <c r="AR21" i="17"/>
  <c r="AQ21" i="17"/>
  <c r="AP21" i="17"/>
  <c r="AO21" i="17"/>
  <c r="AN21" i="17"/>
  <c r="AN30" i="17" s="1"/>
  <c r="AM21" i="17"/>
  <c r="AL21" i="17"/>
  <c r="AK21" i="17"/>
  <c r="AJ29" i="17"/>
  <c r="AJ28" i="17"/>
  <c r="AJ27" i="17"/>
  <c r="AJ26" i="17"/>
  <c r="AJ25" i="17"/>
  <c r="AJ24" i="17"/>
  <c r="AJ23" i="17"/>
  <c r="AJ22" i="17"/>
  <c r="AJ21" i="17"/>
  <c r="AI30" i="17"/>
  <c r="AU17" i="17"/>
  <c r="AT17" i="17"/>
  <c r="AS17" i="17"/>
  <c r="AR17" i="17"/>
  <c r="AQ17" i="17"/>
  <c r="AP17" i="17"/>
  <c r="AO17" i="17"/>
  <c r="AN17" i="17"/>
  <c r="AM17" i="17"/>
  <c r="AL17" i="17"/>
  <c r="AK17" i="17"/>
  <c r="AU16" i="17"/>
  <c r="AT16" i="17"/>
  <c r="AS16" i="17"/>
  <c r="AR16" i="17"/>
  <c r="AQ16" i="17"/>
  <c r="AP16" i="17"/>
  <c r="AO16" i="17"/>
  <c r="AN16" i="17"/>
  <c r="AM16" i="17"/>
  <c r="AL16" i="17"/>
  <c r="AK16" i="17"/>
  <c r="AU15" i="17"/>
  <c r="AT15" i="17"/>
  <c r="AS15" i="17"/>
  <c r="AR15" i="17"/>
  <c r="AQ15" i="17"/>
  <c r="AP15" i="17"/>
  <c r="AO15" i="17"/>
  <c r="AN15" i="17"/>
  <c r="AM15" i="17"/>
  <c r="AL15" i="17"/>
  <c r="AK15" i="17"/>
  <c r="AU14" i="17"/>
  <c r="AT14" i="17"/>
  <c r="AS14" i="17"/>
  <c r="AR14" i="17"/>
  <c r="AQ14" i="17"/>
  <c r="AP14" i="17"/>
  <c r="AO14" i="17"/>
  <c r="AN14" i="17"/>
  <c r="AM14" i="17"/>
  <c r="AL14" i="17"/>
  <c r="AK14" i="17"/>
  <c r="AU13" i="17"/>
  <c r="AT13" i="17"/>
  <c r="AS13" i="17"/>
  <c r="AR13" i="17"/>
  <c r="AQ13" i="17"/>
  <c r="AP13" i="17"/>
  <c r="AO13" i="17"/>
  <c r="AN13" i="17"/>
  <c r="AM13" i="17"/>
  <c r="AL13" i="17"/>
  <c r="AK13" i="17"/>
  <c r="AU12" i="17"/>
  <c r="AT12" i="17"/>
  <c r="AS12" i="17"/>
  <c r="AR12" i="17"/>
  <c r="AQ12" i="17"/>
  <c r="AP12" i="17"/>
  <c r="AO12" i="17"/>
  <c r="AN12" i="17"/>
  <c r="AM12" i="17"/>
  <c r="AL12" i="17"/>
  <c r="AK12" i="17"/>
  <c r="AU11" i="17"/>
  <c r="AT11" i="17"/>
  <c r="AS11" i="17"/>
  <c r="AR11" i="17"/>
  <c r="AQ11" i="17"/>
  <c r="AP11" i="17"/>
  <c r="AO11" i="17"/>
  <c r="AN11" i="17"/>
  <c r="AM11" i="17"/>
  <c r="AL11" i="17"/>
  <c r="AK11" i="17"/>
  <c r="AU10" i="17"/>
  <c r="AT10" i="17"/>
  <c r="AS10" i="17"/>
  <c r="AR10" i="17"/>
  <c r="AQ10" i="17"/>
  <c r="AP10" i="17"/>
  <c r="AO10" i="17"/>
  <c r="AN10" i="17"/>
  <c r="AM10" i="17"/>
  <c r="AL10" i="17"/>
  <c r="AK10" i="17"/>
  <c r="AU9" i="17"/>
  <c r="AT9" i="17"/>
  <c r="AS9" i="17"/>
  <c r="AR9" i="17"/>
  <c r="AQ9" i="17"/>
  <c r="AP9" i="17"/>
  <c r="AO9" i="17"/>
  <c r="AN9" i="17"/>
  <c r="AM9" i="17"/>
  <c r="AL9" i="17"/>
  <c r="AK9" i="17"/>
  <c r="AU8" i="17"/>
  <c r="AT8" i="17"/>
  <c r="AS8" i="17"/>
  <c r="AR8" i="17"/>
  <c r="AQ8" i="17"/>
  <c r="AP8" i="17"/>
  <c r="AO8" i="17"/>
  <c r="AN8" i="17"/>
  <c r="AM8" i="17"/>
  <c r="AL8" i="17"/>
  <c r="AK8" i="17"/>
  <c r="AU7" i="17"/>
  <c r="AT7" i="17"/>
  <c r="AS7" i="17"/>
  <c r="AR7" i="17"/>
  <c r="AQ7" i="17"/>
  <c r="AP7" i="17"/>
  <c r="AO7" i="17"/>
  <c r="AN7" i="17"/>
  <c r="AM7" i="17"/>
  <c r="AL7" i="17"/>
  <c r="AK7" i="17"/>
  <c r="AU6" i="17"/>
  <c r="AT6" i="17"/>
  <c r="AS6" i="17"/>
  <c r="AR6" i="17"/>
  <c r="AQ6" i="17"/>
  <c r="AP6" i="17"/>
  <c r="AO6" i="17"/>
  <c r="AN6" i="17"/>
  <c r="AM6" i="17"/>
  <c r="AL6" i="17"/>
  <c r="AK6" i="17"/>
  <c r="AU5" i="17"/>
  <c r="AT5" i="17"/>
  <c r="AS5" i="17"/>
  <c r="AR5" i="17"/>
  <c r="AQ5" i="17"/>
  <c r="AP5" i="17"/>
  <c r="AO5" i="17"/>
  <c r="AN5" i="17"/>
  <c r="AM5" i="17"/>
  <c r="AL5" i="17"/>
  <c r="AK5" i="17"/>
  <c r="AU4" i="17"/>
  <c r="AT4" i="17"/>
  <c r="AS4" i="17"/>
  <c r="AR4" i="17"/>
  <c r="AQ4" i="17"/>
  <c r="AP4" i="17"/>
  <c r="AO4" i="17"/>
  <c r="AN4" i="17"/>
  <c r="AM4" i="17"/>
  <c r="AL4" i="17"/>
  <c r="AK4" i="17"/>
  <c r="AJ17" i="17"/>
  <c r="AJ16" i="17"/>
  <c r="AJ15" i="17"/>
  <c r="AJ14" i="17"/>
  <c r="AJ13" i="17"/>
  <c r="AJ12" i="17"/>
  <c r="AJ11" i="17"/>
  <c r="AJ10" i="17"/>
  <c r="AJ9" i="17"/>
  <c r="AJ8" i="17"/>
  <c r="AJ7" i="17"/>
  <c r="AJ6" i="17"/>
  <c r="AJ5" i="17"/>
  <c r="AJ4" i="17"/>
  <c r="AW5" i="17"/>
  <c r="AW6" i="17"/>
  <c r="AW7" i="17"/>
  <c r="AW8" i="17"/>
  <c r="AW9" i="17"/>
  <c r="AW10" i="17"/>
  <c r="AW11" i="17"/>
  <c r="AW12" i="17"/>
  <c r="AW13" i="17"/>
  <c r="AW14" i="17"/>
  <c r="K8" i="13"/>
  <c r="AW15" i="17"/>
  <c r="AW16" i="17"/>
  <c r="AW17" i="17"/>
  <c r="K6" i="13"/>
  <c r="AF67" i="17"/>
  <c r="AF66" i="17"/>
  <c r="U69" i="17"/>
  <c r="V69" i="17"/>
  <c r="W69" i="17"/>
  <c r="X69" i="17"/>
  <c r="Y69" i="17"/>
  <c r="Z69" i="17"/>
  <c r="AA69" i="17"/>
  <c r="AB69" i="17"/>
  <c r="AC69" i="17"/>
  <c r="AD69" i="17"/>
  <c r="AE69" i="17"/>
  <c r="T69" i="17"/>
  <c r="AF57" i="17"/>
  <c r="AF58" i="17"/>
  <c r="AF59" i="17"/>
  <c r="AF60" i="17"/>
  <c r="AF61" i="17"/>
  <c r="AF62" i="17"/>
  <c r="AF63" i="17"/>
  <c r="AF56" i="17"/>
  <c r="U64" i="17"/>
  <c r="V64" i="17"/>
  <c r="W64" i="17"/>
  <c r="X64" i="17"/>
  <c r="Y64" i="17"/>
  <c r="Z64" i="17"/>
  <c r="AA64" i="17"/>
  <c r="AB64" i="17"/>
  <c r="AC64" i="17"/>
  <c r="AD64" i="17"/>
  <c r="AE64" i="17"/>
  <c r="T64" i="17"/>
  <c r="AF44" i="17"/>
  <c r="AF45" i="17"/>
  <c r="AF46" i="17"/>
  <c r="AF47" i="17"/>
  <c r="AF48" i="17"/>
  <c r="AF49" i="17"/>
  <c r="AF50" i="17"/>
  <c r="AF51" i="17"/>
  <c r="AF52" i="17"/>
  <c r="AF53" i="17"/>
  <c r="AF43" i="17"/>
  <c r="U54" i="17"/>
  <c r="V54" i="17"/>
  <c r="W54" i="17"/>
  <c r="X54" i="17"/>
  <c r="Y54" i="17"/>
  <c r="Z54" i="17"/>
  <c r="AA54" i="17"/>
  <c r="AB54" i="17"/>
  <c r="AC54" i="17"/>
  <c r="AD54" i="17"/>
  <c r="AE54" i="17"/>
  <c r="T54" i="17"/>
  <c r="AF34" i="17"/>
  <c r="AF35" i="17"/>
  <c r="AF36" i="17"/>
  <c r="AF37" i="17"/>
  <c r="AF33" i="17"/>
  <c r="U38" i="17"/>
  <c r="V38" i="17"/>
  <c r="W38" i="17"/>
  <c r="X38" i="17"/>
  <c r="Y38" i="17"/>
  <c r="Z38" i="17"/>
  <c r="AA38" i="17"/>
  <c r="AB38" i="17"/>
  <c r="AC38" i="17"/>
  <c r="AD38" i="17"/>
  <c r="AE38" i="17"/>
  <c r="T38" i="17"/>
  <c r="AF22" i="17"/>
  <c r="AF23" i="17"/>
  <c r="AF24" i="17"/>
  <c r="AF25" i="17"/>
  <c r="AF26" i="17"/>
  <c r="AF27" i="17"/>
  <c r="AF28" i="17"/>
  <c r="AF29" i="17"/>
  <c r="AF21" i="17"/>
  <c r="U30" i="17"/>
  <c r="V30" i="17"/>
  <c r="W30" i="17"/>
  <c r="X30" i="17"/>
  <c r="Z30" i="17"/>
  <c r="AA30" i="17"/>
  <c r="AB30" i="17"/>
  <c r="AC30" i="17"/>
  <c r="AD30" i="17"/>
  <c r="AE30" i="17"/>
  <c r="T30" i="17"/>
  <c r="AF5" i="17"/>
  <c r="AF6" i="17"/>
  <c r="AF7" i="17"/>
  <c r="AF8" i="17"/>
  <c r="AF9" i="17"/>
  <c r="AF10" i="17"/>
  <c r="AF11" i="17"/>
  <c r="AF12" i="17"/>
  <c r="AF13" i="17"/>
  <c r="AF14" i="17"/>
  <c r="AF15" i="17"/>
  <c r="AF16" i="17"/>
  <c r="AF17" i="17"/>
  <c r="AF4" i="17"/>
  <c r="U18" i="17"/>
  <c r="V18" i="17"/>
  <c r="W18" i="17"/>
  <c r="X18" i="17"/>
  <c r="Y18" i="17"/>
  <c r="Z18" i="17"/>
  <c r="AA18" i="17"/>
  <c r="AB18" i="17"/>
  <c r="AC18" i="17"/>
  <c r="AD18" i="17"/>
  <c r="AE18" i="17"/>
  <c r="T18" i="17"/>
  <c r="S71" i="17"/>
  <c r="Q69" i="17"/>
  <c r="Q64" i="17"/>
  <c r="Q54" i="17"/>
  <c r="Q38" i="17"/>
  <c r="Q30" i="17"/>
  <c r="Q18" i="17"/>
  <c r="A38" i="17"/>
  <c r="A30" i="17"/>
  <c r="A18" i="17"/>
  <c r="P67" i="17"/>
  <c r="P66" i="17"/>
  <c r="E69" i="17"/>
  <c r="F69" i="17"/>
  <c r="G69" i="17"/>
  <c r="H69" i="17"/>
  <c r="I69" i="17"/>
  <c r="J69" i="17"/>
  <c r="K69" i="17"/>
  <c r="L69" i="17"/>
  <c r="M69" i="17"/>
  <c r="N69" i="17"/>
  <c r="O69" i="17"/>
  <c r="D69" i="17"/>
  <c r="P57" i="17"/>
  <c r="P58" i="17"/>
  <c r="P59" i="17"/>
  <c r="P60" i="17"/>
  <c r="P61" i="17"/>
  <c r="P62" i="17"/>
  <c r="P63" i="17"/>
  <c r="P56" i="17"/>
  <c r="E64" i="17"/>
  <c r="F64" i="17"/>
  <c r="G64" i="17"/>
  <c r="H64" i="17"/>
  <c r="I64" i="17"/>
  <c r="J64" i="17"/>
  <c r="K64" i="17"/>
  <c r="L64" i="17"/>
  <c r="M64" i="17"/>
  <c r="N64" i="17"/>
  <c r="O64" i="17"/>
  <c r="D64" i="17"/>
  <c r="P44" i="17"/>
  <c r="P45" i="17"/>
  <c r="P46" i="17"/>
  <c r="P47" i="17"/>
  <c r="P48" i="17"/>
  <c r="P49" i="17"/>
  <c r="P50" i="17"/>
  <c r="P51" i="17"/>
  <c r="P52" i="17"/>
  <c r="P53" i="17"/>
  <c r="P43" i="17"/>
  <c r="E54" i="17"/>
  <c r="F54" i="17"/>
  <c r="G54" i="17"/>
  <c r="H54" i="17"/>
  <c r="I54" i="17"/>
  <c r="J54" i="17"/>
  <c r="K54" i="17"/>
  <c r="L54" i="17"/>
  <c r="M54" i="17"/>
  <c r="N54" i="17"/>
  <c r="O54" i="17"/>
  <c r="D54" i="17"/>
  <c r="P34" i="17"/>
  <c r="P35" i="17"/>
  <c r="P36" i="17"/>
  <c r="P37" i="17"/>
  <c r="P33" i="17"/>
  <c r="E38" i="17"/>
  <c r="F38" i="17"/>
  <c r="G38" i="17"/>
  <c r="H38" i="17"/>
  <c r="I38" i="17"/>
  <c r="J38" i="17"/>
  <c r="K38" i="17"/>
  <c r="L38" i="17"/>
  <c r="M38" i="17"/>
  <c r="N38" i="17"/>
  <c r="O38" i="17"/>
  <c r="D38" i="17"/>
  <c r="P22" i="17"/>
  <c r="P23" i="17"/>
  <c r="P24" i="17"/>
  <c r="P25" i="17"/>
  <c r="P26" i="17"/>
  <c r="P27" i="17"/>
  <c r="P28" i="17"/>
  <c r="P29" i="17"/>
  <c r="P21" i="17"/>
  <c r="E30" i="17"/>
  <c r="F30" i="17"/>
  <c r="G30" i="17"/>
  <c r="H30" i="17"/>
  <c r="I30" i="17"/>
  <c r="J30" i="17"/>
  <c r="K30" i="17"/>
  <c r="L30" i="17"/>
  <c r="M30" i="17"/>
  <c r="N30" i="17"/>
  <c r="O30" i="17"/>
  <c r="D30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4" i="17"/>
  <c r="E18" i="17"/>
  <c r="F18" i="17"/>
  <c r="G18" i="17"/>
  <c r="H18" i="17"/>
  <c r="I18" i="17"/>
  <c r="J18" i="17"/>
  <c r="K18" i="17"/>
  <c r="L18" i="17"/>
  <c r="M18" i="17"/>
  <c r="N18" i="17"/>
  <c r="O18" i="17"/>
  <c r="D18" i="17"/>
  <c r="J12" i="13"/>
  <c r="J11" i="13"/>
  <c r="J10" i="13"/>
  <c r="J9" i="13"/>
  <c r="J8" i="13"/>
  <c r="J7" i="13"/>
  <c r="J6" i="13"/>
  <c r="F12" i="13"/>
  <c r="F11" i="13"/>
  <c r="F10" i="13"/>
  <c r="F9" i="13"/>
  <c r="F8" i="13"/>
  <c r="F7" i="13"/>
  <c r="F6" i="13"/>
  <c r="K7" i="13" l="1"/>
  <c r="D19" i="13"/>
  <c r="K9" i="13"/>
  <c r="AS38" i="17"/>
  <c r="AT38" i="17"/>
  <c r="AU38" i="17"/>
  <c r="AP30" i="17"/>
  <c r="AQ30" i="17"/>
  <c r="AR30" i="17"/>
  <c r="AS30" i="17"/>
  <c r="AT30" i="17"/>
  <c r="AU30" i="17"/>
  <c r="AT54" i="17"/>
  <c r="AT71" i="17" s="1"/>
  <c r="AT78" i="17" s="1"/>
  <c r="AN38" i="17"/>
  <c r="AK69" i="17"/>
  <c r="AN54" i="17"/>
  <c r="AN71" i="17" s="1"/>
  <c r="AN78" i="17" s="1"/>
  <c r="AQ18" i="17"/>
  <c r="AQ64" i="17"/>
  <c r="AQ71" i="17" s="1"/>
  <c r="AQ78" i="17" s="1"/>
  <c r="P76" i="17"/>
  <c r="AR18" i="17"/>
  <c r="AS18" i="17"/>
  <c r="AO38" i="17"/>
  <c r="AO54" i="17"/>
  <c r="AP54" i="17"/>
  <c r="AQ54" i="17"/>
  <c r="AR54" i="17"/>
  <c r="AR71" i="17" s="1"/>
  <c r="AR78" i="17" s="1"/>
  <c r="AS54" i="17"/>
  <c r="AS71" i="17" s="1"/>
  <c r="AS78" i="17" s="1"/>
  <c r="AP38" i="17"/>
  <c r="AT18" i="17"/>
  <c r="AU64" i="17"/>
  <c r="AU71" i="17" s="1"/>
  <c r="AU78" i="17" s="1"/>
  <c r="AN18" i="17"/>
  <c r="K11" i="13"/>
  <c r="AO30" i="17"/>
  <c r="AM30" i="17"/>
  <c r="AM38" i="17"/>
  <c r="AM64" i="17"/>
  <c r="AM54" i="17"/>
  <c r="AM18" i="17"/>
  <c r="F13" i="13"/>
  <c r="J13" i="13"/>
  <c r="AJ69" i="17"/>
  <c r="AV47" i="17"/>
  <c r="AJ64" i="17"/>
  <c r="AL76" i="17"/>
  <c r="AV46" i="17"/>
  <c r="AV45" i="17"/>
  <c r="AV36" i="17"/>
  <c r="AV48" i="17"/>
  <c r="AV53" i="17"/>
  <c r="AL69" i="17"/>
  <c r="AF69" i="17"/>
  <c r="AV50" i="17"/>
  <c r="AL38" i="17"/>
  <c r="AL18" i="17"/>
  <c r="AV26" i="17"/>
  <c r="AL30" i="17"/>
  <c r="AL54" i="17"/>
  <c r="AL64" i="17"/>
  <c r="AV67" i="17"/>
  <c r="AV60" i="17"/>
  <c r="AV24" i="17"/>
  <c r="AV27" i="17"/>
  <c r="AV73" i="17"/>
  <c r="AV22" i="17"/>
  <c r="AV23" i="17"/>
  <c r="AV33" i="17"/>
  <c r="AV34" i="17"/>
  <c r="AV35" i="17"/>
  <c r="AK64" i="17"/>
  <c r="AV63" i="17"/>
  <c r="AV44" i="17"/>
  <c r="AK54" i="17"/>
  <c r="AV49" i="17"/>
  <c r="AV51" i="17"/>
  <c r="AV52" i="17"/>
  <c r="AV37" i="17"/>
  <c r="AK38" i="17"/>
  <c r="AV29" i="17"/>
  <c r="AV21" i="17"/>
  <c r="AK30" i="17"/>
  <c r="AV25" i="17"/>
  <c r="AV28" i="17"/>
  <c r="AJ54" i="17"/>
  <c r="AV5" i="17"/>
  <c r="AV8" i="17"/>
  <c r="AV74" i="17"/>
  <c r="AV66" i="17"/>
  <c r="AV58" i="17"/>
  <c r="AV57" i="17"/>
  <c r="AV61" i="17"/>
  <c r="AV62" i="17"/>
  <c r="AV43" i="17"/>
  <c r="AJ30" i="17"/>
  <c r="AK76" i="17"/>
  <c r="AJ76" i="17"/>
  <c r="AV56" i="17"/>
  <c r="AV59" i="17"/>
  <c r="AP64" i="17"/>
  <c r="AP71" i="17" s="1"/>
  <c r="AP78" i="17" s="1"/>
  <c r="AJ38" i="17"/>
  <c r="AV11" i="17"/>
  <c r="AV15" i="17"/>
  <c r="AV9" i="17"/>
  <c r="AV10" i="17"/>
  <c r="AU18" i="17"/>
  <c r="AV12" i="17"/>
  <c r="AV14" i="17"/>
  <c r="AV4" i="17"/>
  <c r="AV7" i="17"/>
  <c r="AV13" i="17"/>
  <c r="AV16" i="17"/>
  <c r="AV17" i="17"/>
  <c r="Q71" i="17"/>
  <c r="Q78" i="17" s="1"/>
  <c r="AF30" i="17"/>
  <c r="AF64" i="17"/>
  <c r="AI18" i="17"/>
  <c r="AI71" i="17" s="1"/>
  <c r="AI78" i="17" s="1"/>
  <c r="AJ18" i="17"/>
  <c r="AK18" i="17"/>
  <c r="AP18" i="17"/>
  <c r="AV6" i="17"/>
  <c r="AO18" i="17"/>
  <c r="Y71" i="17"/>
  <c r="Y78" i="17" s="1"/>
  <c r="AF38" i="17"/>
  <c r="AF54" i="17"/>
  <c r="X71" i="17"/>
  <c r="X78" i="17" s="1"/>
  <c r="W71" i="17"/>
  <c r="W78" i="17" s="1"/>
  <c r="AD71" i="17"/>
  <c r="AD78" i="17" s="1"/>
  <c r="V71" i="17"/>
  <c r="V78" i="17" s="1"/>
  <c r="U71" i="17"/>
  <c r="U78" i="17" s="1"/>
  <c r="AB71" i="17"/>
  <c r="AB78" i="17" s="1"/>
  <c r="AC71" i="17"/>
  <c r="AC78" i="17" s="1"/>
  <c r="AA71" i="17"/>
  <c r="AA78" i="17" s="1"/>
  <c r="Z71" i="17"/>
  <c r="Z78" i="17" s="1"/>
  <c r="AE71" i="17"/>
  <c r="AE78" i="17" s="1"/>
  <c r="T71" i="17"/>
  <c r="T78" i="17" s="1"/>
  <c r="AF18" i="17"/>
  <c r="L71" i="17"/>
  <c r="L78" i="17" s="1"/>
  <c r="H71" i="17"/>
  <c r="H78" i="17" s="1"/>
  <c r="G71" i="17"/>
  <c r="G78" i="17" s="1"/>
  <c r="E71" i="17"/>
  <c r="E78" i="17" s="1"/>
  <c r="J71" i="17"/>
  <c r="J78" i="17" s="1"/>
  <c r="F71" i="17"/>
  <c r="F78" i="17" s="1"/>
  <c r="D71" i="17"/>
  <c r="D78" i="17" s="1"/>
  <c r="O71" i="17"/>
  <c r="O78" i="17" s="1"/>
  <c r="N71" i="17"/>
  <c r="N78" i="17" s="1"/>
  <c r="M71" i="17"/>
  <c r="M78" i="17" s="1"/>
  <c r="K71" i="17"/>
  <c r="K78" i="17" s="1"/>
  <c r="I71" i="17"/>
  <c r="I78" i="17" s="1"/>
  <c r="P69" i="17"/>
  <c r="P64" i="17"/>
  <c r="P54" i="17"/>
  <c r="P38" i="17"/>
  <c r="P30" i="17"/>
  <c r="P18" i="17"/>
  <c r="I12" i="13"/>
  <c r="I11" i="13"/>
  <c r="I10" i="13"/>
  <c r="I9" i="13"/>
  <c r="I8" i="13"/>
  <c r="I7" i="13"/>
  <c r="I6" i="13"/>
  <c r="H10" i="13"/>
  <c r="K13" i="13" l="1"/>
  <c r="AO71" i="17"/>
  <c r="AO78" i="17" s="1"/>
  <c r="AM71" i="17"/>
  <c r="AM78" i="17" s="1"/>
  <c r="AV69" i="17"/>
  <c r="AL71" i="17"/>
  <c r="AL78" i="17" s="1"/>
  <c r="AV76" i="17"/>
  <c r="AV38" i="17"/>
  <c r="AV54" i="17"/>
  <c r="AK71" i="17"/>
  <c r="AK78" i="17" s="1"/>
  <c r="AV30" i="17"/>
  <c r="AV64" i="17"/>
  <c r="AJ71" i="17"/>
  <c r="AJ78" i="17" s="1"/>
  <c r="AV18" i="17"/>
  <c r="AF71" i="17"/>
  <c r="AF78" i="17" s="1"/>
  <c r="P71" i="17"/>
  <c r="P78" i="17" s="1"/>
  <c r="E12" i="13"/>
  <c r="E11" i="13"/>
  <c r="E10" i="13"/>
  <c r="E9" i="13"/>
  <c r="E8" i="13"/>
  <c r="E7" i="13"/>
  <c r="E6" i="13"/>
  <c r="D6" i="13"/>
  <c r="D12" i="13"/>
  <c r="D11" i="13"/>
  <c r="D10" i="13"/>
  <c r="D9" i="13"/>
  <c r="D8" i="13"/>
  <c r="D7" i="13"/>
  <c r="I13" i="13"/>
  <c r="D34" i="16"/>
  <c r="E34" i="16"/>
  <c r="F34" i="16"/>
  <c r="G34" i="16"/>
  <c r="H34" i="16"/>
  <c r="I34" i="16"/>
  <c r="J34" i="16"/>
  <c r="K34" i="16"/>
  <c r="L34" i="16"/>
  <c r="M34" i="16"/>
  <c r="N34" i="16"/>
  <c r="O34" i="16"/>
  <c r="P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W34" i="16"/>
  <c r="AX34" i="16"/>
  <c r="AY34" i="16"/>
  <c r="AZ34" i="16"/>
  <c r="AO34" i="16" l="1"/>
  <c r="AQ34" i="16"/>
  <c r="AI34" i="16"/>
  <c r="AK34" i="16"/>
  <c r="AH34" i="16"/>
  <c r="AM34" i="16"/>
  <c r="AR34" i="16"/>
  <c r="AS34" i="16"/>
  <c r="AJ34" i="16"/>
  <c r="AL34" i="16"/>
  <c r="AP34" i="16"/>
  <c r="AN34" i="16"/>
  <c r="AV71" i="17"/>
  <c r="AV78" i="17" s="1"/>
  <c r="E13" i="13"/>
  <c r="AT34" i="16"/>
  <c r="D13" i="13"/>
  <c r="D4" i="16"/>
  <c r="AU34" i="16" l="1"/>
  <c r="D8" i="16"/>
  <c r="AE4" i="16"/>
  <c r="AI4" i="16"/>
  <c r="AJ4" i="16"/>
  <c r="AK4" i="16"/>
  <c r="AL4" i="16"/>
  <c r="AM4" i="16"/>
  <c r="AN4" i="16"/>
  <c r="AO4" i="16"/>
  <c r="AP4" i="16"/>
  <c r="AQ4" i="16"/>
  <c r="AR4" i="16"/>
  <c r="AS4" i="16"/>
  <c r="P5" i="16"/>
  <c r="AE5" i="16"/>
  <c r="AH5" i="16"/>
  <c r="AU5" i="16" s="1"/>
  <c r="AI5" i="16"/>
  <c r="AJ5" i="16"/>
  <c r="AK5" i="16"/>
  <c r="AL5" i="16"/>
  <c r="AM5" i="16"/>
  <c r="AN5" i="16"/>
  <c r="AO5" i="16"/>
  <c r="AP5" i="16"/>
  <c r="AQ5" i="16"/>
  <c r="AR5" i="16"/>
  <c r="AS5" i="16"/>
  <c r="P6" i="16"/>
  <c r="AE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O7" i="16"/>
  <c r="P7" i="16" s="1"/>
  <c r="AE7" i="16"/>
  <c r="AH7" i="16"/>
  <c r="AI7" i="16"/>
  <c r="AJ7" i="16"/>
  <c r="AK7" i="16"/>
  <c r="AL7" i="16"/>
  <c r="AM7" i="16"/>
  <c r="AN7" i="16"/>
  <c r="AO7" i="16"/>
  <c r="AP7" i="16"/>
  <c r="AQ7" i="16"/>
  <c r="AR7" i="16"/>
  <c r="E8" i="16"/>
  <c r="F8" i="16"/>
  <c r="G8" i="16"/>
  <c r="H8" i="16"/>
  <c r="I8" i="16"/>
  <c r="J8" i="16"/>
  <c r="K8" i="16"/>
  <c r="L8" i="16"/>
  <c r="M8" i="16"/>
  <c r="N8" i="16"/>
  <c r="S8" i="16"/>
  <c r="T8" i="16"/>
  <c r="U8" i="16"/>
  <c r="V8" i="16"/>
  <c r="W8" i="16"/>
  <c r="X8" i="16"/>
  <c r="Y8" i="16"/>
  <c r="Z8" i="16"/>
  <c r="AA8" i="16"/>
  <c r="AB8" i="16"/>
  <c r="AC8" i="16"/>
  <c r="AD8" i="16"/>
  <c r="P10" i="16"/>
  <c r="AE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P11" i="16"/>
  <c r="AE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P12" i="16"/>
  <c r="AE12" i="16"/>
  <c r="AH12" i="16"/>
  <c r="AU12" i="16" s="1"/>
  <c r="AI12" i="16"/>
  <c r="AJ12" i="16"/>
  <c r="AK12" i="16"/>
  <c r="AL12" i="16"/>
  <c r="AM12" i="16"/>
  <c r="AN12" i="16"/>
  <c r="AO12" i="16"/>
  <c r="AP12" i="16"/>
  <c r="AQ12" i="16"/>
  <c r="AR12" i="16"/>
  <c r="AS12" i="16"/>
  <c r="P13" i="16"/>
  <c r="AE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P14" i="16"/>
  <c r="AE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P15" i="16"/>
  <c r="AE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P16" i="16"/>
  <c r="AE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P19" i="16"/>
  <c r="AE19" i="16"/>
  <c r="AH19" i="16"/>
  <c r="AU19" i="16" s="1"/>
  <c r="AI19" i="16"/>
  <c r="AJ19" i="16"/>
  <c r="AK19" i="16"/>
  <c r="AL19" i="16"/>
  <c r="AM19" i="16"/>
  <c r="AN19" i="16"/>
  <c r="AO19" i="16"/>
  <c r="AP19" i="16"/>
  <c r="AQ19" i="16"/>
  <c r="AR19" i="16"/>
  <c r="AS19" i="16"/>
  <c r="P20" i="16"/>
  <c r="AE20" i="16"/>
  <c r="AH20" i="16"/>
  <c r="AU20" i="16" s="1"/>
  <c r="AI20" i="16"/>
  <c r="AJ20" i="16"/>
  <c r="AK20" i="16"/>
  <c r="AL20" i="16"/>
  <c r="AM20" i="16"/>
  <c r="AN20" i="16"/>
  <c r="AO20" i="16"/>
  <c r="AP20" i="16"/>
  <c r="AQ20" i="16"/>
  <c r="AR20" i="16"/>
  <c r="AS20" i="16"/>
  <c r="P21" i="16"/>
  <c r="AE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P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P25" i="16"/>
  <c r="AE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P26" i="16"/>
  <c r="AE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P27" i="16"/>
  <c r="AE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P28" i="16"/>
  <c r="AE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P29" i="16"/>
  <c r="AH29" i="16"/>
  <c r="AU29" i="16" s="1"/>
  <c r="AI29" i="16"/>
  <c r="AJ29" i="16"/>
  <c r="AK29" i="16"/>
  <c r="AL29" i="16"/>
  <c r="AM29" i="16"/>
  <c r="AN29" i="16"/>
  <c r="AO29" i="16"/>
  <c r="AP29" i="16"/>
  <c r="AQ29" i="16"/>
  <c r="AR29" i="16"/>
  <c r="AS29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S38" i="16"/>
  <c r="AZ38" i="16" s="1"/>
  <c r="AW38" i="16"/>
  <c r="AX38" i="16"/>
  <c r="AY38" i="16"/>
  <c r="AT39" i="16"/>
  <c r="H12" i="13" s="1"/>
  <c r="AW39" i="16"/>
  <c r="AX39" i="16"/>
  <c r="AY39" i="16"/>
  <c r="AZ39" i="16"/>
  <c r="AT40" i="16"/>
  <c r="AW40" i="16"/>
  <c r="AX40" i="16"/>
  <c r="AY40" i="16"/>
  <c r="AZ40" i="16"/>
  <c r="AU27" i="16" l="1"/>
  <c r="AF17" i="16"/>
  <c r="Q17" i="16"/>
  <c r="AU16" i="16"/>
  <c r="AU11" i="16"/>
  <c r="AU7" i="16"/>
  <c r="AU10" i="16"/>
  <c r="AU25" i="16"/>
  <c r="AU6" i="16"/>
  <c r="AU15" i="16"/>
  <c r="AF8" i="16"/>
  <c r="AU22" i="16"/>
  <c r="AU21" i="16"/>
  <c r="AU14" i="16"/>
  <c r="AU26" i="16"/>
  <c r="AU13" i="16"/>
  <c r="AU28" i="16"/>
  <c r="Q23" i="16"/>
  <c r="AF23" i="16"/>
  <c r="AF30" i="16"/>
  <c r="Q30" i="16"/>
  <c r="Q8" i="16"/>
  <c r="AI8" i="16"/>
  <c r="AZ4" i="16"/>
  <c r="AY5" i="16"/>
  <c r="AS7" i="16"/>
  <c r="AS8" i="16" s="1"/>
  <c r="AX7" i="16"/>
  <c r="O8" i="16"/>
  <c r="K36" i="16"/>
  <c r="K42" i="16" s="1"/>
  <c r="AY26" i="16"/>
  <c r="AZ20" i="16"/>
  <c r="AZ27" i="16"/>
  <c r="AX15" i="16"/>
  <c r="AW13" i="16"/>
  <c r="AY14" i="16"/>
  <c r="AT38" i="16"/>
  <c r="H11" i="13" s="1"/>
  <c r="AZ25" i="16"/>
  <c r="AP17" i="16"/>
  <c r="P17" i="16"/>
  <c r="AY28" i="16"/>
  <c r="X36" i="16"/>
  <c r="X42" i="16" s="1"/>
  <c r="AZ14" i="16"/>
  <c r="AH30" i="16"/>
  <c r="AQ23" i="16"/>
  <c r="AS30" i="16"/>
  <c r="L36" i="16"/>
  <c r="L42" i="16" s="1"/>
  <c r="AW16" i="16"/>
  <c r="AZ29" i="16"/>
  <c r="AX28" i="16"/>
  <c r="AT26" i="16"/>
  <c r="Y36" i="16"/>
  <c r="AW15" i="16"/>
  <c r="AY11" i="16"/>
  <c r="AZ26" i="16"/>
  <c r="AY22" i="16"/>
  <c r="AK23" i="16"/>
  <c r="AY13" i="16"/>
  <c r="AY10" i="16"/>
  <c r="AX14" i="16"/>
  <c r="AO17" i="16"/>
  <c r="T36" i="16"/>
  <c r="T42" i="16" s="1"/>
  <c r="J36" i="16"/>
  <c r="J42" i="16" s="1"/>
  <c r="AZ12" i="16"/>
  <c r="AX6" i="16"/>
  <c r="AY16" i="16"/>
  <c r="AX11" i="16"/>
  <c r="I36" i="16"/>
  <c r="I42" i="16" s="1"/>
  <c r="AM23" i="16"/>
  <c r="AY15" i="16"/>
  <c r="AW12" i="16"/>
  <c r="AZ28" i="16"/>
  <c r="AX22" i="16"/>
  <c r="AX13" i="16"/>
  <c r="AZ7" i="16"/>
  <c r="AY12" i="16"/>
  <c r="AJ23" i="16"/>
  <c r="AP8" i="16"/>
  <c r="AY27" i="16"/>
  <c r="AK8" i="16"/>
  <c r="AI23" i="16"/>
  <c r="AZ6" i="16"/>
  <c r="AY4" i="16"/>
  <c r="AP23" i="16"/>
  <c r="AX26" i="16"/>
  <c r="AY20" i="16"/>
  <c r="AR30" i="16"/>
  <c r="AE30" i="16"/>
  <c r="AZ22" i="16"/>
  <c r="AX20" i="16"/>
  <c r="AR23" i="16"/>
  <c r="AE23" i="16"/>
  <c r="Z36" i="16"/>
  <c r="U36" i="16"/>
  <c r="U42" i="16" s="1"/>
  <c r="F36" i="16"/>
  <c r="F42" i="16" s="1"/>
  <c r="AT6" i="16"/>
  <c r="AX4" i="16"/>
  <c r="E36" i="16"/>
  <c r="E42" i="16" s="1"/>
  <c r="S36" i="16"/>
  <c r="AY29" i="16"/>
  <c r="AX27" i="16"/>
  <c r="W36" i="16"/>
  <c r="W42" i="16" s="1"/>
  <c r="AO23" i="16"/>
  <c r="AW14" i="16"/>
  <c r="AT14" i="16"/>
  <c r="AI17" i="16"/>
  <c r="AD36" i="16"/>
  <c r="AD42" i="16" s="1"/>
  <c r="AZ5" i="16"/>
  <c r="AJ8" i="16"/>
  <c r="AJ17" i="16"/>
  <c r="V36" i="16"/>
  <c r="V42" i="16" s="1"/>
  <c r="AZ21" i="16"/>
  <c r="AY19" i="16"/>
  <c r="AZ15" i="16"/>
  <c r="AL17" i="16"/>
  <c r="AT12" i="16"/>
  <c r="AX12" i="16"/>
  <c r="AM30" i="16"/>
  <c r="AS17" i="16"/>
  <c r="AK17" i="16"/>
  <c r="AP30" i="16"/>
  <c r="P23" i="16"/>
  <c r="AT21" i="16"/>
  <c r="AX29" i="16"/>
  <c r="AL30" i="16"/>
  <c r="AS23" i="16"/>
  <c r="AX19" i="16"/>
  <c r="AM17" i="16"/>
  <c r="AR17" i="16"/>
  <c r="AE17" i="16"/>
  <c r="AT7" i="16"/>
  <c r="AW27" i="16"/>
  <c r="AO30" i="16"/>
  <c r="AK30" i="16"/>
  <c r="AN17" i="16"/>
  <c r="AX16" i="16"/>
  <c r="AT15" i="16"/>
  <c r="AT10" i="16"/>
  <c r="AN30" i="16"/>
  <c r="AY25" i="16"/>
  <c r="AJ30" i="16"/>
  <c r="AL8" i="16"/>
  <c r="AW26" i="16"/>
  <c r="AX25" i="16"/>
  <c r="AT25" i="16"/>
  <c r="AH23" i="16"/>
  <c r="AX21" i="16"/>
  <c r="AC36" i="16"/>
  <c r="O36" i="16"/>
  <c r="O42" i="16" s="1"/>
  <c r="AZ16" i="16"/>
  <c r="AZ13" i="16"/>
  <c r="AX5" i="16"/>
  <c r="P30" i="16"/>
  <c r="AQ30" i="16"/>
  <c r="AW25" i="16"/>
  <c r="AZ19" i="16"/>
  <c r="AW19" i="16"/>
  <c r="AB36" i="16"/>
  <c r="N36" i="16"/>
  <c r="N42" i="16" s="1"/>
  <c r="AT13" i="16"/>
  <c r="H36" i="16"/>
  <c r="H42" i="16" s="1"/>
  <c r="AR8" i="16"/>
  <c r="AE8" i="16"/>
  <c r="AO8" i="16"/>
  <c r="AT29" i="16"/>
  <c r="AA36" i="16"/>
  <c r="AA42" i="16" s="1"/>
  <c r="M36" i="16"/>
  <c r="M42" i="16" s="1"/>
  <c r="AT11" i="16"/>
  <c r="G36" i="16"/>
  <c r="G42" i="16" s="1"/>
  <c r="AT5" i="16"/>
  <c r="P8" i="16"/>
  <c r="D36" i="16"/>
  <c r="Z42" i="16"/>
  <c r="AT16" i="16"/>
  <c r="AZ10" i="16"/>
  <c r="AN8" i="16"/>
  <c r="AY7" i="16"/>
  <c r="AY6" i="16"/>
  <c r="AW28" i="16"/>
  <c r="AT27" i="16"/>
  <c r="AY21" i="16"/>
  <c r="AW20" i="16"/>
  <c r="AT19" i="16"/>
  <c r="AH17" i="16"/>
  <c r="AZ11" i="16"/>
  <c r="AM8" i="16"/>
  <c r="AW5" i="16"/>
  <c r="AX10" i="16"/>
  <c r="AW7" i="16"/>
  <c r="AW6" i="16"/>
  <c r="AH4" i="16"/>
  <c r="AU4" i="16" s="1"/>
  <c r="AT22" i="16"/>
  <c r="AW29" i="16"/>
  <c r="AT28" i="16"/>
  <c r="AN23" i="16"/>
  <c r="AW21" i="16"/>
  <c r="AT20" i="16"/>
  <c r="AW10" i="16"/>
  <c r="AQ17" i="16"/>
  <c r="AW11" i="16"/>
  <c r="AL23" i="16"/>
  <c r="AW22" i="16"/>
  <c r="AI30" i="16"/>
  <c r="P4" i="16"/>
  <c r="AQ8" i="16"/>
  <c r="P40" i="13"/>
  <c r="P39" i="13"/>
  <c r="P38" i="13"/>
  <c r="P21" i="13"/>
  <c r="P20" i="13"/>
  <c r="N21" i="13"/>
  <c r="N20" i="13"/>
  <c r="J16" i="13" l="1"/>
  <c r="J20" i="13" s="1"/>
  <c r="D16" i="13"/>
  <c r="D20" i="13" s="1"/>
  <c r="AZ8" i="16"/>
  <c r="H9" i="13"/>
  <c r="H8" i="13"/>
  <c r="Y42" i="16"/>
  <c r="H7" i="13"/>
  <c r="AZ30" i="16"/>
  <c r="AZ23" i="16"/>
  <c r="AE36" i="16"/>
  <c r="AE42" i="16" s="1"/>
  <c r="AS36" i="16"/>
  <c r="AS42" i="16" s="1"/>
  <c r="AY17" i="16"/>
  <c r="AK36" i="16"/>
  <c r="AK42" i="16" s="1"/>
  <c r="AL36" i="16"/>
  <c r="AL42" i="16" s="1"/>
  <c r="AJ36" i="16"/>
  <c r="AJ42" i="16" s="1"/>
  <c r="AO36" i="16"/>
  <c r="AO42" i="16" s="1"/>
  <c r="AY23" i="16"/>
  <c r="AP36" i="16"/>
  <c r="AP42" i="16" s="1"/>
  <c r="AW23" i="16"/>
  <c r="AC42" i="16"/>
  <c r="AX17" i="16"/>
  <c r="AY30" i="16"/>
  <c r="AR36" i="16"/>
  <c r="AR42" i="16" s="1"/>
  <c r="AX23" i="16"/>
  <c r="AX30" i="16"/>
  <c r="AQ36" i="16"/>
  <c r="AQ42" i="16" s="1"/>
  <c r="AI36" i="16"/>
  <c r="AI42" i="16" s="1"/>
  <c r="S42" i="16"/>
  <c r="AM36" i="16"/>
  <c r="AM42" i="16" s="1"/>
  <c r="AB42" i="16"/>
  <c r="AT30" i="16"/>
  <c r="AW30" i="16"/>
  <c r="AY8" i="16"/>
  <c r="P36" i="16"/>
  <c r="P42" i="16" s="1"/>
  <c r="AX8" i="16"/>
  <c r="AN36" i="16"/>
  <c r="AN42" i="16" s="1"/>
  <c r="AZ17" i="16"/>
  <c r="AT17" i="16"/>
  <c r="AT23" i="16"/>
  <c r="D42" i="16"/>
  <c r="Q42" i="16" s="1"/>
  <c r="AW17" i="16"/>
  <c r="AH8" i="16"/>
  <c r="AT4" i="16"/>
  <c r="H6" i="13" s="1"/>
  <c r="AW8" i="16"/>
  <c r="K51" i="11"/>
  <c r="I52" i="11"/>
  <c r="H52" i="11"/>
  <c r="G52" i="11"/>
  <c r="F52" i="11"/>
  <c r="E52" i="11"/>
  <c r="D52" i="11"/>
  <c r="J52" i="11" s="1"/>
  <c r="D51" i="11"/>
  <c r="J51" i="11" s="1"/>
  <c r="K31" i="2"/>
  <c r="L31" i="2" s="1"/>
  <c r="K52" i="2"/>
  <c r="L52" i="2" s="1"/>
  <c r="K51" i="2"/>
  <c r="L51" i="2" s="1"/>
  <c r="K50" i="2"/>
  <c r="L50" i="2" s="1"/>
  <c r="K45" i="2"/>
  <c r="L45" i="2" s="1"/>
  <c r="K44" i="2"/>
  <c r="L44" i="2" s="1"/>
  <c r="K43" i="2"/>
  <c r="L43" i="2" s="1"/>
  <c r="K42" i="2"/>
  <c r="L42" i="2" s="1"/>
  <c r="K41" i="2"/>
  <c r="L41" i="2" s="1"/>
  <c r="K40" i="2"/>
  <c r="L40" i="2" s="1"/>
  <c r="K39" i="2"/>
  <c r="L39" i="2" s="1"/>
  <c r="K38" i="2"/>
  <c r="L38" i="2" s="1"/>
  <c r="K35" i="2"/>
  <c r="L35" i="2" s="1"/>
  <c r="K34" i="2"/>
  <c r="L34" i="2" s="1"/>
  <c r="K33" i="2"/>
  <c r="L33" i="2" s="1"/>
  <c r="K32" i="2"/>
  <c r="L32" i="2" s="1"/>
  <c r="K30" i="2"/>
  <c r="L30" i="2" s="1"/>
  <c r="K29" i="2"/>
  <c r="L29" i="2" s="1"/>
  <c r="K28" i="2"/>
  <c r="L28" i="2" s="1"/>
  <c r="K27" i="2"/>
  <c r="L27" i="2" s="1"/>
  <c r="K24" i="2"/>
  <c r="L24" i="2" s="1"/>
  <c r="K23" i="2"/>
  <c r="L23" i="2" s="1"/>
  <c r="K22" i="2"/>
  <c r="L22" i="2" s="1"/>
  <c r="K19" i="2"/>
  <c r="L19" i="2" s="1"/>
  <c r="K18" i="2"/>
  <c r="L18" i="2" s="1"/>
  <c r="K17" i="2"/>
  <c r="L17" i="2" s="1"/>
  <c r="K16" i="2"/>
  <c r="L16" i="2" s="1"/>
  <c r="K15" i="2"/>
  <c r="L15" i="2" s="1"/>
  <c r="K14" i="2"/>
  <c r="L14" i="2" s="1"/>
  <c r="K11" i="2"/>
  <c r="L11" i="2" s="1"/>
  <c r="K10" i="2"/>
  <c r="L10" i="2" s="1"/>
  <c r="K9" i="2"/>
  <c r="L9" i="2" s="1"/>
  <c r="K8" i="2"/>
  <c r="L8" i="2" s="1"/>
  <c r="K7" i="2"/>
  <c r="L7" i="2" s="1"/>
  <c r="K6" i="2"/>
  <c r="L6" i="2" s="1"/>
  <c r="K5" i="2"/>
  <c r="L5" i="2" s="1"/>
  <c r="J50" i="2"/>
  <c r="M52" i="5"/>
  <c r="M51" i="5"/>
  <c r="J53" i="5"/>
  <c r="J49" i="5"/>
  <c r="J45" i="5"/>
  <c r="G45" i="5"/>
  <c r="G49" i="5"/>
  <c r="G53" i="5"/>
  <c r="D53" i="5"/>
  <c r="D49" i="5"/>
  <c r="D45" i="5"/>
  <c r="M48" i="5"/>
  <c r="M47" i="5"/>
  <c r="M44" i="5"/>
  <c r="M34" i="5"/>
  <c r="M23" i="5"/>
  <c r="M18" i="5"/>
  <c r="J48" i="5"/>
  <c r="J47" i="5"/>
  <c r="J44" i="5"/>
  <c r="J43" i="5"/>
  <c r="J42" i="5"/>
  <c r="J41" i="5"/>
  <c r="J40" i="5"/>
  <c r="J39" i="5"/>
  <c r="J38" i="5"/>
  <c r="J37" i="5"/>
  <c r="J36" i="5"/>
  <c r="J34" i="5"/>
  <c r="J33" i="5"/>
  <c r="J32" i="5"/>
  <c r="J31" i="5"/>
  <c r="J30" i="5"/>
  <c r="J29" i="5"/>
  <c r="J28" i="5"/>
  <c r="J27" i="5"/>
  <c r="J26" i="5"/>
  <c r="J24" i="5"/>
  <c r="J23" i="5"/>
  <c r="J22" i="5"/>
  <c r="J21" i="5"/>
  <c r="J19" i="5"/>
  <c r="J18" i="5"/>
  <c r="J17" i="5"/>
  <c r="J16" i="5"/>
  <c r="J15" i="5"/>
  <c r="J14" i="5"/>
  <c r="J13" i="5"/>
  <c r="J11" i="5"/>
  <c r="J10" i="5"/>
  <c r="J9" i="5"/>
  <c r="J8" i="5"/>
  <c r="J7" i="5"/>
  <c r="J6" i="5"/>
  <c r="J5" i="5"/>
  <c r="J4" i="5"/>
  <c r="G48" i="5"/>
  <c r="G47" i="5"/>
  <c r="G44" i="5"/>
  <c r="G43" i="5"/>
  <c r="G42" i="5"/>
  <c r="G41" i="5"/>
  <c r="G40" i="5"/>
  <c r="G39" i="5"/>
  <c r="G38" i="5"/>
  <c r="G37" i="5"/>
  <c r="G36" i="5"/>
  <c r="G34" i="5"/>
  <c r="G33" i="5"/>
  <c r="G32" i="5"/>
  <c r="G31" i="5"/>
  <c r="G30" i="5"/>
  <c r="G29" i="5"/>
  <c r="G28" i="5"/>
  <c r="G27" i="5"/>
  <c r="G26" i="5"/>
  <c r="G24" i="5"/>
  <c r="G23" i="5"/>
  <c r="G22" i="5"/>
  <c r="G21" i="5"/>
  <c r="G19" i="5"/>
  <c r="G18" i="5"/>
  <c r="G17" i="5"/>
  <c r="G16" i="5"/>
  <c r="G15" i="5"/>
  <c r="G14" i="5"/>
  <c r="G13" i="5"/>
  <c r="G11" i="5"/>
  <c r="G10" i="5"/>
  <c r="G9" i="5"/>
  <c r="G6" i="5"/>
  <c r="G5" i="5"/>
  <c r="G4" i="5"/>
  <c r="D48" i="5"/>
  <c r="D47" i="5"/>
  <c r="D44" i="5"/>
  <c r="D43" i="5"/>
  <c r="D42" i="5"/>
  <c r="D41" i="5"/>
  <c r="D40" i="5"/>
  <c r="D39" i="5"/>
  <c r="D38" i="5"/>
  <c r="D37" i="5"/>
  <c r="D36" i="5"/>
  <c r="D34" i="5"/>
  <c r="D33" i="5"/>
  <c r="D32" i="5"/>
  <c r="D31" i="5"/>
  <c r="D30" i="5"/>
  <c r="D29" i="5"/>
  <c r="D28" i="5"/>
  <c r="D27" i="5"/>
  <c r="D26" i="5"/>
  <c r="D24" i="5"/>
  <c r="D23" i="5"/>
  <c r="D22" i="5"/>
  <c r="D21" i="5"/>
  <c r="D19" i="5"/>
  <c r="D18" i="5"/>
  <c r="D17" i="5"/>
  <c r="D16" i="5"/>
  <c r="D15" i="5"/>
  <c r="D14" i="5"/>
  <c r="D13" i="5"/>
  <c r="D11" i="5"/>
  <c r="D10" i="5"/>
  <c r="D9" i="5"/>
  <c r="D8" i="5"/>
  <c r="D7" i="5"/>
  <c r="D6" i="5"/>
  <c r="D5" i="5"/>
  <c r="D4" i="5"/>
  <c r="J44" i="4"/>
  <c r="J42" i="4"/>
  <c r="G44" i="4"/>
  <c r="G42" i="4"/>
  <c r="M47" i="4"/>
  <c r="M46" i="4"/>
  <c r="M43" i="4"/>
  <c r="M34" i="4"/>
  <c r="M23" i="4"/>
  <c r="M18" i="4"/>
  <c r="G47" i="4"/>
  <c r="G43" i="4"/>
  <c r="G41" i="4"/>
  <c r="G40" i="4"/>
  <c r="G39" i="4"/>
  <c r="G38" i="4"/>
  <c r="G37" i="4"/>
  <c r="G36" i="4"/>
  <c r="G34" i="4"/>
  <c r="G33" i="4"/>
  <c r="G32" i="4"/>
  <c r="G31" i="4"/>
  <c r="G30" i="4"/>
  <c r="G29" i="4"/>
  <c r="G28" i="4"/>
  <c r="G27" i="4"/>
  <c r="G26" i="4"/>
  <c r="G24" i="4"/>
  <c r="G23" i="4"/>
  <c r="G22" i="4"/>
  <c r="G21" i="4"/>
  <c r="G19" i="4"/>
  <c r="G18" i="4"/>
  <c r="G17" i="4"/>
  <c r="G16" i="4"/>
  <c r="G15" i="4"/>
  <c r="G14" i="4"/>
  <c r="G13" i="4"/>
  <c r="G11" i="4"/>
  <c r="G9" i="4"/>
  <c r="G7" i="4"/>
  <c r="G6" i="4"/>
  <c r="G5" i="4"/>
  <c r="G4" i="4"/>
  <c r="J47" i="4"/>
  <c r="J43" i="4"/>
  <c r="J41" i="4"/>
  <c r="J40" i="4"/>
  <c r="J39" i="4"/>
  <c r="J38" i="4"/>
  <c r="J37" i="4"/>
  <c r="J36" i="4"/>
  <c r="J34" i="4"/>
  <c r="J33" i="4"/>
  <c r="J32" i="4"/>
  <c r="J31" i="4"/>
  <c r="J30" i="4"/>
  <c r="J29" i="4"/>
  <c r="J28" i="4"/>
  <c r="J27" i="4"/>
  <c r="J26" i="4"/>
  <c r="J24" i="4"/>
  <c r="J23" i="4"/>
  <c r="J22" i="4"/>
  <c r="J21" i="4"/>
  <c r="J19" i="4"/>
  <c r="J18" i="4"/>
  <c r="J17" i="4"/>
  <c r="J16" i="4"/>
  <c r="J15" i="4"/>
  <c r="J14" i="4"/>
  <c r="J13" i="4"/>
  <c r="J11" i="4"/>
  <c r="J10" i="4"/>
  <c r="J9" i="4"/>
  <c r="J8" i="4"/>
  <c r="J7" i="4"/>
  <c r="J6" i="4"/>
  <c r="J5" i="4"/>
  <c r="J4" i="4"/>
  <c r="D47" i="4"/>
  <c r="D43" i="4"/>
  <c r="D34" i="4"/>
  <c r="D23" i="4"/>
  <c r="D18" i="4"/>
  <c r="L53" i="5"/>
  <c r="L48" i="4"/>
  <c r="L48" i="9"/>
  <c r="M47" i="9"/>
  <c r="M45" i="9"/>
  <c r="K16" i="9"/>
  <c r="M16" i="9" s="1"/>
  <c r="K17" i="9"/>
  <c r="M17" i="9" s="1"/>
  <c r="J48" i="9"/>
  <c r="J43" i="9"/>
  <c r="J41" i="9"/>
  <c r="J40" i="9"/>
  <c r="J39" i="9"/>
  <c r="J38" i="9"/>
  <c r="J37" i="9"/>
  <c r="J36" i="9"/>
  <c r="J34" i="9"/>
  <c r="J33" i="9"/>
  <c r="J32" i="9"/>
  <c r="J31" i="9"/>
  <c r="J30" i="9"/>
  <c r="J29" i="9"/>
  <c r="J28" i="9"/>
  <c r="J27" i="9"/>
  <c r="J26" i="9"/>
  <c r="J24" i="9"/>
  <c r="J23" i="9"/>
  <c r="J22" i="9"/>
  <c r="J21" i="9"/>
  <c r="J19" i="9"/>
  <c r="J18" i="9"/>
  <c r="J17" i="9"/>
  <c r="J16" i="9"/>
  <c r="J15" i="9"/>
  <c r="J14" i="9"/>
  <c r="J13" i="9"/>
  <c r="J11" i="9"/>
  <c r="J10" i="9"/>
  <c r="J9" i="9"/>
  <c r="J8" i="9"/>
  <c r="J7" i="9"/>
  <c r="J6" i="9"/>
  <c r="J5" i="9"/>
  <c r="J4" i="9"/>
  <c r="G48" i="9"/>
  <c r="G43" i="9"/>
  <c r="G41" i="9"/>
  <c r="G34" i="9"/>
  <c r="G24" i="9"/>
  <c r="G19" i="9"/>
  <c r="G11" i="9"/>
  <c r="D48" i="9"/>
  <c r="D43" i="9"/>
  <c r="D41" i="9"/>
  <c r="D34" i="9"/>
  <c r="D24" i="9"/>
  <c r="D19" i="9"/>
  <c r="D11" i="9"/>
  <c r="G40" i="9"/>
  <c r="G39" i="9"/>
  <c r="G38" i="9"/>
  <c r="G37" i="9"/>
  <c r="G36" i="9"/>
  <c r="G33" i="9"/>
  <c r="G32" i="9"/>
  <c r="G31" i="9"/>
  <c r="G30" i="9"/>
  <c r="G29" i="9"/>
  <c r="G28" i="9"/>
  <c r="G27" i="9"/>
  <c r="G26" i="9"/>
  <c r="G23" i="9"/>
  <c r="G22" i="9"/>
  <c r="G21" i="9"/>
  <c r="G18" i="9"/>
  <c r="G17" i="9"/>
  <c r="G16" i="9"/>
  <c r="G15" i="9"/>
  <c r="G14" i="9"/>
  <c r="G13" i="9"/>
  <c r="G9" i="9"/>
  <c r="G7" i="9"/>
  <c r="G6" i="9"/>
  <c r="G5" i="9"/>
  <c r="G4" i="9"/>
  <c r="D40" i="9"/>
  <c r="D39" i="9"/>
  <c r="D38" i="9"/>
  <c r="D37" i="9"/>
  <c r="D36" i="9"/>
  <c r="D33" i="9"/>
  <c r="D32" i="9"/>
  <c r="D31" i="9"/>
  <c r="D30" i="9"/>
  <c r="D29" i="9"/>
  <c r="D28" i="9"/>
  <c r="D27" i="9"/>
  <c r="D26" i="9"/>
  <c r="D23" i="9"/>
  <c r="D22" i="9"/>
  <c r="D21" i="9"/>
  <c r="D18" i="9"/>
  <c r="D17" i="9"/>
  <c r="D16" i="9"/>
  <c r="D15" i="9"/>
  <c r="D14" i="9"/>
  <c r="D13" i="9"/>
  <c r="D10" i="9"/>
  <c r="D9" i="9"/>
  <c r="D8" i="9"/>
  <c r="D7" i="9"/>
  <c r="D6" i="9"/>
  <c r="D5" i="9"/>
  <c r="D4" i="9"/>
  <c r="AH36" i="16" l="1"/>
  <c r="AH42" i="16" s="1"/>
  <c r="H13" i="13"/>
  <c r="AZ36" i="16"/>
  <c r="AZ42" i="16" s="1"/>
  <c r="K52" i="11"/>
  <c r="P37" i="13"/>
  <c r="AX36" i="16"/>
  <c r="AX42" i="16" s="1"/>
  <c r="AY36" i="16"/>
  <c r="AY42" i="16" s="1"/>
  <c r="AF42" i="16"/>
  <c r="H16" i="13" s="1"/>
  <c r="AT8" i="16"/>
  <c r="AT36" i="16" s="1"/>
  <c r="AT42" i="16" s="1"/>
  <c r="AW36" i="16"/>
  <c r="AW42" i="16" s="1"/>
  <c r="J17" i="2"/>
  <c r="J51" i="2"/>
  <c r="J18" i="2"/>
  <c r="J52" i="2"/>
  <c r="J45" i="2"/>
  <c r="J11" i="2"/>
  <c r="D17" i="11" a="1"/>
  <c r="D17" i="11" s="1"/>
  <c r="F17" i="11" a="1"/>
  <c r="F17" i="11" s="1"/>
  <c r="H17" i="11" a="1"/>
  <c r="H17" i="11" s="1"/>
  <c r="D18" i="11" a="1"/>
  <c r="D18" i="11" s="1"/>
  <c r="F18" i="11" a="1"/>
  <c r="F18" i="11" s="1"/>
  <c r="H18" i="11" a="1"/>
  <c r="H18" i="11" s="1"/>
  <c r="D20" i="12"/>
  <c r="C20" i="12"/>
  <c r="K46" i="5"/>
  <c r="K42" i="5"/>
  <c r="M42" i="5" s="1"/>
  <c r="K41" i="5"/>
  <c r="M41" i="5" s="1"/>
  <c r="K40" i="5"/>
  <c r="M40" i="5" s="1"/>
  <c r="K39" i="5"/>
  <c r="M39" i="5" s="1"/>
  <c r="K38" i="5"/>
  <c r="M38" i="5" s="1"/>
  <c r="K37" i="5"/>
  <c r="M37" i="5" s="1"/>
  <c r="K36" i="5"/>
  <c r="M36" i="5" s="1"/>
  <c r="K35" i="5"/>
  <c r="K32" i="5"/>
  <c r="M32" i="5" s="1"/>
  <c r="K31" i="5"/>
  <c r="M31" i="5" s="1"/>
  <c r="K30" i="5"/>
  <c r="M30" i="5" s="1"/>
  <c r="K29" i="5"/>
  <c r="M29" i="5" s="1"/>
  <c r="K28" i="5"/>
  <c r="M28" i="5" s="1"/>
  <c r="K27" i="5"/>
  <c r="M27" i="5" s="1"/>
  <c r="K26" i="5"/>
  <c r="M26" i="5" s="1"/>
  <c r="K25" i="5"/>
  <c r="K24" i="5"/>
  <c r="K21" i="5"/>
  <c r="M21" i="5" s="1"/>
  <c r="K20" i="5"/>
  <c r="K19" i="5"/>
  <c r="K16" i="5"/>
  <c r="M16" i="5" s="1"/>
  <c r="K15" i="5"/>
  <c r="M15" i="5" s="1"/>
  <c r="K14" i="5"/>
  <c r="M14" i="5" s="1"/>
  <c r="K13" i="5"/>
  <c r="K10" i="5"/>
  <c r="M10" i="5" s="1"/>
  <c r="K9" i="5"/>
  <c r="M9" i="5" s="1"/>
  <c r="K6" i="5"/>
  <c r="M6" i="5" s="1"/>
  <c r="K5" i="5"/>
  <c r="M5" i="5" s="1"/>
  <c r="K4" i="5"/>
  <c r="M4" i="5" s="1"/>
  <c r="E8" i="5"/>
  <c r="E7" i="5"/>
  <c r="K7" i="5" l="1"/>
  <c r="M7" i="5" s="1"/>
  <c r="G7" i="5"/>
  <c r="K43" i="5"/>
  <c r="M43" i="5" s="1"/>
  <c r="K17" i="5"/>
  <c r="M17" i="5" s="1"/>
  <c r="M13" i="5"/>
  <c r="K33" i="5"/>
  <c r="M33" i="5" s="1"/>
  <c r="M24" i="5"/>
  <c r="K22" i="5"/>
  <c r="M22" i="5" s="1"/>
  <c r="M19" i="5"/>
  <c r="K8" i="5"/>
  <c r="M8" i="5" s="1"/>
  <c r="G8" i="5"/>
  <c r="J18" i="11"/>
  <c r="J17" i="11"/>
  <c r="E18" i="11"/>
  <c r="I18" i="11"/>
  <c r="I17" i="11"/>
  <c r="G18" i="11"/>
  <c r="G17" i="11"/>
  <c r="E17" i="11"/>
  <c r="E10" i="4"/>
  <c r="G10" i="4" s="1"/>
  <c r="E8" i="4"/>
  <c r="G8" i="4" s="1"/>
  <c r="K40" i="9"/>
  <c r="M40" i="9" s="1"/>
  <c r="K39" i="9"/>
  <c r="M39" i="9" s="1"/>
  <c r="K38" i="9"/>
  <c r="M38" i="9" s="1"/>
  <c r="K37" i="9"/>
  <c r="M37" i="9" s="1"/>
  <c r="K36" i="9"/>
  <c r="M36" i="9" s="1"/>
  <c r="K33" i="9"/>
  <c r="M33" i="9" s="1"/>
  <c r="K32" i="9"/>
  <c r="M32" i="9" s="1"/>
  <c r="K31" i="9"/>
  <c r="M31" i="9" s="1"/>
  <c r="K30" i="9"/>
  <c r="M30" i="9" s="1"/>
  <c r="K29" i="9"/>
  <c r="M29" i="9" s="1"/>
  <c r="K28" i="9"/>
  <c r="M28" i="9" s="1"/>
  <c r="K27" i="9"/>
  <c r="M27" i="9" s="1"/>
  <c r="K26" i="9"/>
  <c r="M26" i="9" s="1"/>
  <c r="K23" i="9"/>
  <c r="M23" i="9" s="1"/>
  <c r="K22" i="9"/>
  <c r="M22" i="9" s="1"/>
  <c r="K21" i="9"/>
  <c r="M21" i="9" s="1"/>
  <c r="K18" i="9"/>
  <c r="M18" i="9" s="1"/>
  <c r="K15" i="9"/>
  <c r="M15" i="9" s="1"/>
  <c r="K14" i="9"/>
  <c r="M14" i="9" s="1"/>
  <c r="K13" i="9"/>
  <c r="M13" i="9" s="1"/>
  <c r="K9" i="9"/>
  <c r="M9" i="9" s="1"/>
  <c r="K7" i="9"/>
  <c r="M7" i="9" s="1"/>
  <c r="K6" i="9"/>
  <c r="M6" i="9" s="1"/>
  <c r="K5" i="9"/>
  <c r="M5" i="9" s="1"/>
  <c r="K4" i="9"/>
  <c r="M4" i="9" s="1"/>
  <c r="E10" i="9"/>
  <c r="E8" i="9"/>
  <c r="B20" i="12"/>
  <c r="E20" i="12" s="1"/>
  <c r="I48" i="4"/>
  <c r="H48" i="4"/>
  <c r="F48" i="4"/>
  <c r="G48" i="4" s="1"/>
  <c r="C48" i="4"/>
  <c r="K35" i="4"/>
  <c r="J38" i="2" s="1"/>
  <c r="D32" i="4"/>
  <c r="K25" i="4"/>
  <c r="J28" i="2" s="1"/>
  <c r="K20" i="4"/>
  <c r="J23" i="2" s="1"/>
  <c r="D16" i="4"/>
  <c r="J48" i="4" l="1"/>
  <c r="K11" i="5"/>
  <c r="K7" i="4"/>
  <c r="D7" i="4"/>
  <c r="K39" i="4"/>
  <c r="D39" i="4"/>
  <c r="K6" i="4"/>
  <c r="D6" i="4"/>
  <c r="K40" i="4"/>
  <c r="D40" i="4"/>
  <c r="K16" i="4"/>
  <c r="K41" i="4"/>
  <c r="D41" i="4"/>
  <c r="K32" i="4"/>
  <c r="K27" i="4"/>
  <c r="D27" i="4"/>
  <c r="K28" i="4"/>
  <c r="D28" i="4"/>
  <c r="K8" i="4"/>
  <c r="D8" i="4"/>
  <c r="K26" i="4"/>
  <c r="D26" i="4"/>
  <c r="K9" i="4"/>
  <c r="D9" i="4"/>
  <c r="K10" i="4"/>
  <c r="D10" i="4"/>
  <c r="B17" i="4"/>
  <c r="D17" i="4" s="1"/>
  <c r="D13" i="4"/>
  <c r="K29" i="4"/>
  <c r="D29" i="4"/>
  <c r="K30" i="4"/>
  <c r="D30" i="4"/>
  <c r="K15" i="4"/>
  <c r="D15" i="4"/>
  <c r="K31" i="4"/>
  <c r="D31" i="4"/>
  <c r="K36" i="4"/>
  <c r="D36" i="4"/>
  <c r="K14" i="4"/>
  <c r="D14" i="4"/>
  <c r="K19" i="4"/>
  <c r="D19" i="4"/>
  <c r="K4" i="4"/>
  <c r="D4" i="4"/>
  <c r="K5" i="4"/>
  <c r="D5" i="4"/>
  <c r="K21" i="4"/>
  <c r="D21" i="4"/>
  <c r="K37" i="4"/>
  <c r="D37" i="4"/>
  <c r="K24" i="4"/>
  <c r="D24" i="4"/>
  <c r="K38" i="4"/>
  <c r="D38" i="4"/>
  <c r="B22" i="4"/>
  <c r="D22" i="4" s="1"/>
  <c r="B42" i="4"/>
  <c r="B11" i="4"/>
  <c r="D11" i="4" s="1"/>
  <c r="K18" i="11"/>
  <c r="K13" i="4"/>
  <c r="B33" i="4"/>
  <c r="D33" i="4" s="1"/>
  <c r="K10" i="9"/>
  <c r="M10" i="9" s="1"/>
  <c r="G10" i="9"/>
  <c r="K8" i="9"/>
  <c r="M8" i="9" s="1"/>
  <c r="G8" i="9"/>
  <c r="K17" i="11"/>
  <c r="K34" i="9"/>
  <c r="M34" i="9" s="1"/>
  <c r="K24" i="9"/>
  <c r="M24" i="9" s="1"/>
  <c r="K19" i="9"/>
  <c r="M19" i="9" s="1"/>
  <c r="K41" i="9"/>
  <c r="M41" i="9" s="1"/>
  <c r="K11" i="4" l="1"/>
  <c r="M11" i="4" s="1"/>
  <c r="K42" i="4"/>
  <c r="M42" i="4" s="1"/>
  <c r="K49" i="5"/>
  <c r="M11" i="5"/>
  <c r="M32" i="4"/>
  <c r="J35" i="2"/>
  <c r="M27" i="4"/>
  <c r="J30" i="2"/>
  <c r="J40" i="2"/>
  <c r="M37" i="4"/>
  <c r="J10" i="2"/>
  <c r="M10" i="4"/>
  <c r="M14" i="4"/>
  <c r="J15" i="2"/>
  <c r="J44" i="2"/>
  <c r="M41" i="4"/>
  <c r="K17" i="4"/>
  <c r="M17" i="4" s="1"/>
  <c r="M13" i="4"/>
  <c r="J14" i="2"/>
  <c r="M36" i="4"/>
  <c r="J39" i="2"/>
  <c r="M21" i="4"/>
  <c r="J24" i="2"/>
  <c r="M9" i="4"/>
  <c r="J9" i="2"/>
  <c r="M16" i="4"/>
  <c r="J19" i="2"/>
  <c r="K33" i="4"/>
  <c r="M33" i="4" s="1"/>
  <c r="J27" i="2"/>
  <c r="M24" i="4"/>
  <c r="M7" i="4"/>
  <c r="J7" i="2"/>
  <c r="M31" i="4"/>
  <c r="J34" i="2"/>
  <c r="B44" i="4"/>
  <c r="D42" i="4"/>
  <c r="M15" i="4"/>
  <c r="J16" i="2"/>
  <c r="J29" i="2"/>
  <c r="M26" i="4"/>
  <c r="J43" i="2"/>
  <c r="M40" i="4"/>
  <c r="M4" i="4"/>
  <c r="M8" i="4"/>
  <c r="J8" i="2"/>
  <c r="K22" i="4"/>
  <c r="M22" i="4" s="1"/>
  <c r="M19" i="4"/>
  <c r="J22" i="2"/>
  <c r="M29" i="4"/>
  <c r="J32" i="2"/>
  <c r="M28" i="4"/>
  <c r="J31" i="2"/>
  <c r="J42" i="2"/>
  <c r="M39" i="4"/>
  <c r="M5" i="4"/>
  <c r="J5" i="2"/>
  <c r="M30" i="4"/>
  <c r="J33" i="2"/>
  <c r="M6" i="4"/>
  <c r="J6" i="2"/>
  <c r="J41" i="2"/>
  <c r="M38" i="4"/>
  <c r="K11" i="9"/>
  <c r="M11" i="9" s="1"/>
  <c r="K53" i="5" l="1"/>
  <c r="M53" i="5" s="1"/>
  <c r="M49" i="5"/>
  <c r="K43" i="9"/>
  <c r="K48" i="9" s="1"/>
  <c r="B48" i="4"/>
  <c r="D48" i="4" s="1"/>
  <c r="D44" i="4"/>
  <c r="K44" i="4"/>
  <c r="D10" i="12"/>
  <c r="C10" i="12"/>
  <c r="B45" i="10"/>
  <c r="B44" i="10"/>
  <c r="B42" i="10"/>
  <c r="B33" i="10"/>
  <c r="B11" i="10"/>
  <c r="B38" i="10"/>
  <c r="B41" i="10"/>
  <c r="B40" i="10"/>
  <c r="B39" i="10"/>
  <c r="B43" i="10"/>
  <c r="B31" i="10"/>
  <c r="B32" i="10"/>
  <c r="B34" i="10"/>
  <c r="B35" i="10"/>
  <c r="B29" i="10"/>
  <c r="B27" i="10"/>
  <c r="B30" i="10"/>
  <c r="B28" i="10"/>
  <c r="B18" i="10"/>
  <c r="B23" i="10"/>
  <c r="B17" i="10"/>
  <c r="B16" i="10"/>
  <c r="B15" i="10"/>
  <c r="B14" i="10"/>
  <c r="B24" i="10"/>
  <c r="B22" i="10"/>
  <c r="B19" i="10"/>
  <c r="B9" i="10"/>
  <c r="B10" i="10"/>
  <c r="B8" i="10"/>
  <c r="B7" i="10"/>
  <c r="B6" i="10"/>
  <c r="B5" i="10"/>
  <c r="B4" i="10"/>
  <c r="O51" i="5"/>
  <c r="N51" i="5"/>
  <c r="O50" i="5"/>
  <c r="N50" i="5"/>
  <c r="O48" i="5"/>
  <c r="N48" i="5"/>
  <c r="O47" i="5"/>
  <c r="N47" i="5"/>
  <c r="O46" i="5"/>
  <c r="N46" i="5"/>
  <c r="O44" i="5"/>
  <c r="N44" i="5"/>
  <c r="O42" i="5"/>
  <c r="N42" i="5"/>
  <c r="O41" i="5"/>
  <c r="N41" i="5"/>
  <c r="O40" i="5"/>
  <c r="N40" i="5"/>
  <c r="H42" i="10" s="1" a="1"/>
  <c r="I42" i="10" s="1"/>
  <c r="O39" i="5"/>
  <c r="N39" i="5"/>
  <c r="H41" i="10" s="1" a="1"/>
  <c r="I41" i="10" s="1"/>
  <c r="O38" i="5"/>
  <c r="N38" i="5"/>
  <c r="O37" i="5"/>
  <c r="N37" i="5"/>
  <c r="O36" i="5"/>
  <c r="N36" i="5"/>
  <c r="O35" i="5"/>
  <c r="N35" i="5"/>
  <c r="O34" i="5"/>
  <c r="N34" i="5"/>
  <c r="O32" i="5"/>
  <c r="N32" i="5"/>
  <c r="H35" i="10" s="1" a="1"/>
  <c r="I35" i="10" s="1"/>
  <c r="O31" i="5"/>
  <c r="N31" i="5"/>
  <c r="O30" i="5"/>
  <c r="N30" i="5"/>
  <c r="O29" i="5"/>
  <c r="N29" i="5"/>
  <c r="O28" i="5"/>
  <c r="N28" i="5"/>
  <c r="O27" i="5"/>
  <c r="N27" i="5"/>
  <c r="H28" i="10" s="1" a="1"/>
  <c r="I28" i="10" s="1"/>
  <c r="O26" i="5"/>
  <c r="N26" i="5"/>
  <c r="H34" i="10" s="1" a="1"/>
  <c r="I34" i="10" s="1"/>
  <c r="O25" i="5"/>
  <c r="N25" i="5"/>
  <c r="O24" i="5"/>
  <c r="N24" i="5"/>
  <c r="O23" i="5"/>
  <c r="N23" i="5"/>
  <c r="O21" i="5"/>
  <c r="N21" i="5"/>
  <c r="O20" i="5"/>
  <c r="N20" i="5"/>
  <c r="H23" i="10" s="1" a="1"/>
  <c r="I23" i="10" s="1"/>
  <c r="O19" i="5"/>
  <c r="N19" i="5"/>
  <c r="H22" i="10" s="1" a="1"/>
  <c r="I22" i="10" s="1"/>
  <c r="O18" i="5"/>
  <c r="N18" i="5"/>
  <c r="O16" i="5"/>
  <c r="N16" i="5"/>
  <c r="O15" i="5"/>
  <c r="N15" i="5"/>
  <c r="O14" i="5"/>
  <c r="N14" i="5"/>
  <c r="O13" i="5"/>
  <c r="N13" i="5"/>
  <c r="H14" i="10" s="1" a="1"/>
  <c r="I14" i="10" s="1"/>
  <c r="O12" i="5"/>
  <c r="N12" i="5"/>
  <c r="O10" i="5"/>
  <c r="N10" i="5"/>
  <c r="O9" i="5"/>
  <c r="N9" i="5"/>
  <c r="O8" i="5"/>
  <c r="N8" i="5"/>
  <c r="O7" i="5"/>
  <c r="N7" i="5"/>
  <c r="O6" i="5"/>
  <c r="N6" i="5"/>
  <c r="H9" i="10" s="1" a="1"/>
  <c r="I9" i="10" s="1"/>
  <c r="O5" i="5"/>
  <c r="N5" i="5"/>
  <c r="H4" i="10" s="1" a="1"/>
  <c r="H4" i="10" s="1"/>
  <c r="O4" i="5"/>
  <c r="N4" i="5"/>
  <c r="F45" i="10" a="1"/>
  <c r="G45" i="10" s="1"/>
  <c r="F11" i="10" a="1"/>
  <c r="G11" i="10" s="1"/>
  <c r="O46" i="4"/>
  <c r="N46" i="4"/>
  <c r="O45" i="4"/>
  <c r="N45" i="4"/>
  <c r="O43" i="4"/>
  <c r="N43" i="4"/>
  <c r="O41" i="4"/>
  <c r="N41" i="4"/>
  <c r="F44" i="10" s="1" a="1"/>
  <c r="G44" i="10" s="1"/>
  <c r="O40" i="4"/>
  <c r="N40" i="4"/>
  <c r="O39" i="4"/>
  <c r="N39" i="4"/>
  <c r="O38" i="4"/>
  <c r="N38" i="4"/>
  <c r="O37" i="4"/>
  <c r="N37" i="4"/>
  <c r="F40" i="10" s="1" a="1"/>
  <c r="G40" i="10" s="1"/>
  <c r="O36" i="4"/>
  <c r="N36" i="4"/>
  <c r="F39" i="10" s="1" a="1"/>
  <c r="G39" i="10" s="1"/>
  <c r="O35" i="4"/>
  <c r="N35" i="4"/>
  <c r="F38" i="10" s="1" a="1"/>
  <c r="G38" i="10" s="1"/>
  <c r="O34" i="4"/>
  <c r="N34" i="4"/>
  <c r="O32" i="4"/>
  <c r="N32" i="4"/>
  <c r="O31" i="4"/>
  <c r="N31" i="4"/>
  <c r="O30" i="4"/>
  <c r="N30" i="4"/>
  <c r="F33" i="10" s="1" a="1"/>
  <c r="G33" i="10" s="1"/>
  <c r="O29" i="4"/>
  <c r="N29" i="4"/>
  <c r="F32" i="10" s="1" a="1"/>
  <c r="G32" i="10" s="1"/>
  <c r="O28" i="4"/>
  <c r="N28" i="4"/>
  <c r="F31" i="10" s="1" a="1"/>
  <c r="G31" i="10" s="1"/>
  <c r="O27" i="4"/>
  <c r="N27" i="4"/>
  <c r="O26" i="4"/>
  <c r="N26" i="4"/>
  <c r="O25" i="4"/>
  <c r="N25" i="4"/>
  <c r="O24" i="4"/>
  <c r="N24" i="4"/>
  <c r="F27" i="10" s="1" a="1"/>
  <c r="G27" i="10" s="1"/>
  <c r="O23" i="4"/>
  <c r="N23" i="4"/>
  <c r="O21" i="4"/>
  <c r="N21" i="4"/>
  <c r="F24" i="10" s="1" a="1"/>
  <c r="G24" i="10" s="1"/>
  <c r="O20" i="4"/>
  <c r="N20" i="4"/>
  <c r="O19" i="4"/>
  <c r="N19" i="4"/>
  <c r="O18" i="4"/>
  <c r="N18" i="4"/>
  <c r="O16" i="4"/>
  <c r="N16" i="4"/>
  <c r="F19" i="10" s="1" a="1"/>
  <c r="G19" i="10" s="1"/>
  <c r="O15" i="4"/>
  <c r="N15" i="4"/>
  <c r="F16" i="10" s="1" a="1"/>
  <c r="G16" i="10" s="1"/>
  <c r="O14" i="4"/>
  <c r="N14" i="4"/>
  <c r="F15" i="10" s="1" a="1"/>
  <c r="G15" i="10" s="1"/>
  <c r="O13" i="4"/>
  <c r="N13" i="4"/>
  <c r="O12" i="4"/>
  <c r="N12" i="4"/>
  <c r="O10" i="4"/>
  <c r="N10" i="4"/>
  <c r="O9" i="4"/>
  <c r="N9" i="4"/>
  <c r="F9" i="10" s="1" a="1"/>
  <c r="G9" i="10" s="1"/>
  <c r="O8" i="4"/>
  <c r="N8" i="4"/>
  <c r="F8" i="10" s="1" a="1"/>
  <c r="G8" i="10" s="1"/>
  <c r="O7" i="4"/>
  <c r="N7" i="4"/>
  <c r="F7" i="10" s="1" a="1"/>
  <c r="G7" i="10" s="1"/>
  <c r="O6" i="4"/>
  <c r="N6" i="4"/>
  <c r="O5" i="4"/>
  <c r="N5" i="4"/>
  <c r="O4" i="4"/>
  <c r="N4" i="4"/>
  <c r="D45" i="10" a="1"/>
  <c r="E45" i="10" s="1"/>
  <c r="D44" i="10" a="1"/>
  <c r="E44" i="10" s="1"/>
  <c r="D42" i="10" a="1"/>
  <c r="E42" i="10" s="1"/>
  <c r="D33" i="10" a="1"/>
  <c r="E33" i="10" s="1"/>
  <c r="D11" i="10" a="1"/>
  <c r="E11" i="10" s="1"/>
  <c r="O45" i="9"/>
  <c r="N45" i="9"/>
  <c r="O44" i="9"/>
  <c r="N44" i="9"/>
  <c r="O42" i="9"/>
  <c r="N42" i="9"/>
  <c r="O40" i="9"/>
  <c r="N40" i="9"/>
  <c r="O39" i="9"/>
  <c r="N39" i="9"/>
  <c r="O38" i="9"/>
  <c r="N38" i="9"/>
  <c r="O37" i="9"/>
  <c r="N37" i="9"/>
  <c r="O36" i="9"/>
  <c r="N36" i="9"/>
  <c r="O35" i="9"/>
  <c r="N35" i="9"/>
  <c r="O33" i="9"/>
  <c r="N33" i="9"/>
  <c r="O32" i="9"/>
  <c r="N32" i="9"/>
  <c r="O31" i="9"/>
  <c r="N31" i="9"/>
  <c r="O30" i="9"/>
  <c r="N30" i="9"/>
  <c r="O29" i="9"/>
  <c r="N29" i="9"/>
  <c r="D30" i="10" s="1" a="1"/>
  <c r="D30" i="10" s="1"/>
  <c r="O28" i="9"/>
  <c r="N28" i="9"/>
  <c r="O27" i="9"/>
  <c r="N27" i="9"/>
  <c r="O26" i="9"/>
  <c r="N26" i="9"/>
  <c r="O25" i="9"/>
  <c r="N25" i="9"/>
  <c r="O23" i="9"/>
  <c r="N23" i="9"/>
  <c r="O22" i="9"/>
  <c r="N22" i="9"/>
  <c r="D23" i="10" s="1" a="1"/>
  <c r="E23" i="10" s="1"/>
  <c r="O21" i="9"/>
  <c r="N21" i="9"/>
  <c r="O20" i="9"/>
  <c r="N20" i="9"/>
  <c r="O18" i="9"/>
  <c r="N18" i="9"/>
  <c r="O15" i="9"/>
  <c r="N15" i="9"/>
  <c r="O14" i="9"/>
  <c r="N14" i="9"/>
  <c r="O13" i="9"/>
  <c r="N13" i="9"/>
  <c r="D14" i="10" s="1" a="1"/>
  <c r="E14" i="10" s="1"/>
  <c r="O12" i="9"/>
  <c r="N12" i="9"/>
  <c r="O10" i="9"/>
  <c r="N10" i="9"/>
  <c r="O9" i="9"/>
  <c r="N9" i="9"/>
  <c r="O8" i="9"/>
  <c r="N8" i="9"/>
  <c r="O7" i="9"/>
  <c r="N7" i="9"/>
  <c r="O6" i="9"/>
  <c r="N6" i="9"/>
  <c r="D6" i="10" s="1" a="1"/>
  <c r="E6" i="10" s="1"/>
  <c r="O5" i="9"/>
  <c r="N5" i="9"/>
  <c r="O4" i="9"/>
  <c r="N4" i="9"/>
  <c r="L49" i="10"/>
  <c r="L47" i="10"/>
  <c r="L37" i="10"/>
  <c r="L26" i="10"/>
  <c r="L21" i="10"/>
  <c r="L13" i="10"/>
  <c r="B45" i="11"/>
  <c r="B44" i="11"/>
  <c r="B42" i="11"/>
  <c r="B33" i="11"/>
  <c r="B11" i="11"/>
  <c r="B51" i="11"/>
  <c r="L51" i="11" s="1"/>
  <c r="B52" i="11"/>
  <c r="L52" i="11" s="1"/>
  <c r="B50" i="11"/>
  <c r="B9" i="12" s="1"/>
  <c r="B11" i="12" s="1"/>
  <c r="B38" i="11"/>
  <c r="B41" i="11"/>
  <c r="B40" i="11"/>
  <c r="B39" i="11"/>
  <c r="B43" i="11"/>
  <c r="B31" i="11"/>
  <c r="B32" i="11"/>
  <c r="B34" i="11"/>
  <c r="B35" i="11"/>
  <c r="B29" i="11"/>
  <c r="B27" i="11"/>
  <c r="B30" i="11"/>
  <c r="B28" i="11"/>
  <c r="B18" i="11"/>
  <c r="L18" i="11" s="1"/>
  <c r="B23" i="11"/>
  <c r="B17" i="11"/>
  <c r="L17" i="11" s="1"/>
  <c r="B16" i="11"/>
  <c r="B15" i="11"/>
  <c r="B14" i="11"/>
  <c r="B24" i="11"/>
  <c r="B22" i="11"/>
  <c r="B19" i="11"/>
  <c r="B9" i="11"/>
  <c r="B10" i="11"/>
  <c r="B8" i="11"/>
  <c r="B7" i="11"/>
  <c r="B6" i="11"/>
  <c r="B5" i="11"/>
  <c r="B4" i="11"/>
  <c r="I50" i="11"/>
  <c r="H50" i="11"/>
  <c r="H45" i="11" a="1"/>
  <c r="H45" i="11" s="1"/>
  <c r="H44" i="11" a="1"/>
  <c r="I44" i="11" s="1"/>
  <c r="H43" i="11" a="1"/>
  <c r="I43" i="11" s="1"/>
  <c r="H42" i="11" a="1"/>
  <c r="I42" i="11" s="1"/>
  <c r="H41" i="11" a="1"/>
  <c r="H41" i="11" s="1"/>
  <c r="H40" i="11" a="1"/>
  <c r="I40" i="11" s="1"/>
  <c r="H39" i="11" a="1"/>
  <c r="I39" i="11" s="1"/>
  <c r="H38" i="11" a="1"/>
  <c r="I38" i="11" s="1"/>
  <c r="H35" i="11" a="1"/>
  <c r="I35" i="11" s="1"/>
  <c r="H34" i="11" a="1"/>
  <c r="I34" i="11" s="1"/>
  <c r="H33" i="11" a="1"/>
  <c r="I33" i="11" s="1"/>
  <c r="H32" i="11" a="1"/>
  <c r="I32" i="11" s="1"/>
  <c r="H31" i="11" a="1"/>
  <c r="I31" i="11" s="1"/>
  <c r="H30" i="11" a="1"/>
  <c r="I30" i="11" s="1"/>
  <c r="H29" i="11" a="1"/>
  <c r="I29" i="11" s="1"/>
  <c r="H28" i="11" a="1"/>
  <c r="H28" i="11" s="1"/>
  <c r="H27" i="11" a="1"/>
  <c r="I27" i="11" s="1"/>
  <c r="H24" i="11" a="1"/>
  <c r="I24" i="11" s="1"/>
  <c r="H23" i="11" a="1"/>
  <c r="I23" i="11" s="1"/>
  <c r="H22" i="11" a="1"/>
  <c r="I22" i="11" s="1"/>
  <c r="H19" i="11" a="1"/>
  <c r="I19" i="11" s="1"/>
  <c r="H16" i="11" a="1"/>
  <c r="I16" i="11" s="1"/>
  <c r="H15" i="11" a="1"/>
  <c r="I15" i="11" s="1"/>
  <c r="H14" i="11" a="1"/>
  <c r="H14" i="11" s="1"/>
  <c r="H11" i="11" a="1"/>
  <c r="I11" i="11" s="1"/>
  <c r="H10" i="11" a="1"/>
  <c r="I10" i="11" s="1"/>
  <c r="H9" i="11" a="1"/>
  <c r="I9" i="11" s="1"/>
  <c r="H8" i="11" a="1"/>
  <c r="I8" i="11" s="1"/>
  <c r="H7" i="11" a="1"/>
  <c r="I7" i="11" s="1"/>
  <c r="H6" i="11" a="1"/>
  <c r="I6" i="11" s="1"/>
  <c r="H5" i="11" a="1"/>
  <c r="I5" i="11" s="1"/>
  <c r="H4" i="11" a="1"/>
  <c r="H4" i="11" s="1"/>
  <c r="G50" i="11"/>
  <c r="F50" i="11"/>
  <c r="F45" i="11" a="1"/>
  <c r="G45" i="11" s="1"/>
  <c r="F44" i="11" a="1"/>
  <c r="G44" i="11" s="1"/>
  <c r="F43" i="11" a="1"/>
  <c r="G43" i="11" s="1"/>
  <c r="F42" i="11" a="1"/>
  <c r="G42" i="11" s="1"/>
  <c r="F41" i="11" a="1"/>
  <c r="G41" i="11" s="1"/>
  <c r="F40" i="11" a="1"/>
  <c r="G40" i="11" s="1"/>
  <c r="F39" i="11" a="1"/>
  <c r="G39" i="11" s="1"/>
  <c r="F38" i="11" a="1"/>
  <c r="G38" i="11" s="1"/>
  <c r="F35" i="11" a="1"/>
  <c r="G35" i="11" s="1"/>
  <c r="F34" i="11" a="1"/>
  <c r="G34" i="11" s="1"/>
  <c r="F33" i="11" a="1"/>
  <c r="G33" i="11" s="1"/>
  <c r="F32" i="11" a="1"/>
  <c r="G32" i="11" s="1"/>
  <c r="F31" i="11" a="1"/>
  <c r="G31" i="11" s="1"/>
  <c r="F30" i="11" a="1"/>
  <c r="G30" i="11" s="1"/>
  <c r="F29" i="11" a="1"/>
  <c r="G29" i="11" s="1"/>
  <c r="F28" i="11" a="1"/>
  <c r="G28" i="11" s="1"/>
  <c r="F27" i="11" a="1"/>
  <c r="G27" i="11" s="1"/>
  <c r="F24" i="11" a="1"/>
  <c r="G24" i="11" s="1"/>
  <c r="F23" i="11" a="1"/>
  <c r="G23" i="11" s="1"/>
  <c r="F22" i="11" a="1"/>
  <c r="G22" i="11" s="1"/>
  <c r="F19" i="11" a="1"/>
  <c r="G19" i="11" s="1"/>
  <c r="F16" i="11" a="1"/>
  <c r="G16" i="11" s="1"/>
  <c r="F15" i="11" a="1"/>
  <c r="G15" i="11" s="1"/>
  <c r="F14" i="11" a="1"/>
  <c r="G14" i="11" s="1"/>
  <c r="F11" i="11" a="1"/>
  <c r="F11" i="11" s="1"/>
  <c r="F10" i="11" a="1"/>
  <c r="G10" i="11" s="1"/>
  <c r="F9" i="11" a="1"/>
  <c r="G9" i="11" s="1"/>
  <c r="F8" i="11" a="1"/>
  <c r="G8" i="11" s="1"/>
  <c r="F7" i="11" a="1"/>
  <c r="F7" i="11" s="1"/>
  <c r="F6" i="11" a="1"/>
  <c r="G6" i="11" s="1"/>
  <c r="F5" i="11" a="1"/>
  <c r="G5" i="11" s="1"/>
  <c r="F4" i="11" a="1"/>
  <c r="F4" i="11" s="1"/>
  <c r="E50" i="11"/>
  <c r="D50" i="11"/>
  <c r="D45" i="11" a="1"/>
  <c r="E45" i="11" s="1"/>
  <c r="D44" i="11" a="1"/>
  <c r="E44" i="11" s="1"/>
  <c r="D43" i="11" a="1"/>
  <c r="E43" i="11" s="1"/>
  <c r="D42" i="11" a="1"/>
  <c r="E42" i="11" s="1"/>
  <c r="D41" i="11" a="1"/>
  <c r="E41" i="11" s="1"/>
  <c r="D40" i="11" a="1"/>
  <c r="E40" i="11" s="1"/>
  <c r="D39" i="11" a="1"/>
  <c r="E39" i="11" s="1"/>
  <c r="D38" i="11" a="1"/>
  <c r="E38" i="11" s="1"/>
  <c r="D35" i="11" a="1"/>
  <c r="E35" i="11" s="1"/>
  <c r="D34" i="11" a="1"/>
  <c r="E34" i="11" s="1"/>
  <c r="D33" i="11" a="1"/>
  <c r="E33" i="11" s="1"/>
  <c r="D32" i="11" a="1"/>
  <c r="E32" i="11" s="1"/>
  <c r="D31" i="11" a="1"/>
  <c r="E31" i="11" s="1"/>
  <c r="D30" i="11" a="1"/>
  <c r="E30" i="11" s="1"/>
  <c r="D29" i="11" a="1"/>
  <c r="E29" i="11" s="1"/>
  <c r="D28" i="11" a="1"/>
  <c r="E28" i="11" s="1"/>
  <c r="D27" i="11" a="1"/>
  <c r="E27" i="11" s="1"/>
  <c r="D24" i="11" a="1"/>
  <c r="E24" i="11" s="1"/>
  <c r="D23" i="11" a="1"/>
  <c r="E23" i="11" s="1"/>
  <c r="D22" i="11" a="1"/>
  <c r="E22" i="11" s="1"/>
  <c r="D19" i="11" a="1"/>
  <c r="E19" i="11" s="1"/>
  <c r="D16" i="11" a="1"/>
  <c r="E16" i="11" s="1"/>
  <c r="D15" i="11" a="1"/>
  <c r="E15" i="11" s="1"/>
  <c r="D14" i="11" a="1"/>
  <c r="E14" i="11" s="1"/>
  <c r="D11" i="11" a="1"/>
  <c r="E11" i="11" s="1"/>
  <c r="D10" i="11" a="1"/>
  <c r="E10" i="11" s="1"/>
  <c r="D9" i="11" a="1"/>
  <c r="E9" i="11" s="1"/>
  <c r="D8" i="11" a="1"/>
  <c r="E8" i="11" s="1"/>
  <c r="D7" i="11" a="1"/>
  <c r="E7" i="11" s="1"/>
  <c r="D6" i="11" a="1"/>
  <c r="E6" i="11" s="1"/>
  <c r="D5" i="11" a="1"/>
  <c r="E5" i="11" s="1"/>
  <c r="D4" i="11" a="1"/>
  <c r="E4" i="11" s="1"/>
  <c r="L49" i="11"/>
  <c r="L47" i="11"/>
  <c r="L37" i="11"/>
  <c r="L26" i="11"/>
  <c r="L21" i="11"/>
  <c r="L13" i="11"/>
  <c r="D22" i="10" l="1" a="1"/>
  <c r="E22" i="10" s="1"/>
  <c r="M43" i="9"/>
  <c r="D38" i="10" a="1"/>
  <c r="E38" i="10" s="1"/>
  <c r="D24" i="10" a="1"/>
  <c r="E24" i="10" s="1"/>
  <c r="D8" i="10" a="1"/>
  <c r="E8" i="10" s="1"/>
  <c r="D16" i="10" a="1"/>
  <c r="E16" i="10" s="1"/>
  <c r="D32" i="10" a="1"/>
  <c r="D32" i="10" s="1"/>
  <c r="D40" i="10" a="1"/>
  <c r="E40" i="10" s="1"/>
  <c r="D4" i="10" a="1"/>
  <c r="D4" i="10" s="1"/>
  <c r="F4" i="10" a="1"/>
  <c r="F4" i="10" s="1"/>
  <c r="F10" i="10" a="1"/>
  <c r="G10" i="10" s="1"/>
  <c r="F28" i="10" a="1"/>
  <c r="G28" i="10" s="1"/>
  <c r="F34" i="10" a="1"/>
  <c r="G34" i="10" s="1"/>
  <c r="F41" i="10" a="1"/>
  <c r="G41" i="10" s="1"/>
  <c r="H8" i="10" a="1"/>
  <c r="I8" i="10" s="1"/>
  <c r="H16" i="10" a="1"/>
  <c r="I16" i="10" s="1"/>
  <c r="H32" i="10" a="1"/>
  <c r="I32" i="10" s="1"/>
  <c r="H38" i="10" a="1"/>
  <c r="I38" i="10" s="1"/>
  <c r="H45" i="10" a="1"/>
  <c r="H45" i="10" s="1"/>
  <c r="F5" i="10" a="1"/>
  <c r="G5" i="10" s="1"/>
  <c r="F22" i="10" a="1"/>
  <c r="F22" i="10" s="1"/>
  <c r="F29" i="10" a="1"/>
  <c r="G29" i="10" s="1"/>
  <c r="F35" i="10" a="1"/>
  <c r="G35" i="10" s="1"/>
  <c r="F42" i="10" a="1"/>
  <c r="G42" i="10" s="1"/>
  <c r="K42" i="10" s="1"/>
  <c r="L42" i="10" s="1"/>
  <c r="H7" i="10" a="1"/>
  <c r="I7" i="10" s="1"/>
  <c r="H19" i="10" a="1"/>
  <c r="I19" i="10" s="1"/>
  <c r="I20" i="10" s="1"/>
  <c r="H30" i="10" a="1"/>
  <c r="I30" i="10" s="1"/>
  <c r="H29" i="10" a="1"/>
  <c r="I29" i="10" s="1"/>
  <c r="F6" i="10" a="1"/>
  <c r="G6" i="10" s="1"/>
  <c r="F14" i="10" a="1"/>
  <c r="G14" i="10" s="1"/>
  <c r="F23" i="10" a="1"/>
  <c r="G23" i="10" s="1"/>
  <c r="F30" i="10" a="1"/>
  <c r="G30" i="10" s="1"/>
  <c r="F43" i="10" a="1"/>
  <c r="G43" i="10" s="1"/>
  <c r="H5" i="10" a="1"/>
  <c r="I5" i="10" s="1"/>
  <c r="H6" i="10" a="1"/>
  <c r="I6" i="10" s="1"/>
  <c r="H27" i="10" a="1"/>
  <c r="I27" i="10" s="1"/>
  <c r="H33" i="10" a="1"/>
  <c r="I33" i="10" s="1"/>
  <c r="K33" i="10" s="1"/>
  <c r="L33" i="10" s="1"/>
  <c r="H43" i="10" a="1"/>
  <c r="I43" i="10" s="1"/>
  <c r="H11" i="10" a="1"/>
  <c r="H11" i="10" s="1"/>
  <c r="D19" i="12"/>
  <c r="M44" i="4"/>
  <c r="K48" i="4"/>
  <c r="M48" i="4" s="1"/>
  <c r="H10" i="10" a="1"/>
  <c r="I10" i="10" s="1"/>
  <c r="H15" i="10" a="1"/>
  <c r="I15" i="10" s="1"/>
  <c r="H24" i="10" a="1"/>
  <c r="I24" i="10" s="1"/>
  <c r="I25" i="10" s="1"/>
  <c r="H31" i="10" a="1"/>
  <c r="I31" i="10" s="1"/>
  <c r="H39" i="10" a="1"/>
  <c r="I39" i="10" s="1"/>
  <c r="H44" i="10" a="1"/>
  <c r="I44" i="10" s="1"/>
  <c r="H40" i="10" a="1"/>
  <c r="I40" i="10" s="1"/>
  <c r="K40" i="10" s="1"/>
  <c r="L40" i="10" s="1"/>
  <c r="C19" i="12"/>
  <c r="M48" i="9"/>
  <c r="B25" i="10"/>
  <c r="D9" i="10" a="1"/>
  <c r="E9" i="10" s="1"/>
  <c r="K9" i="10" s="1"/>
  <c r="L9" i="10" s="1"/>
  <c r="D19" i="10" a="1"/>
  <c r="E19" i="10" s="1"/>
  <c r="D27" i="10" a="1"/>
  <c r="E27" i="10" s="1"/>
  <c r="K27" i="10" s="1"/>
  <c r="D34" i="10" a="1"/>
  <c r="D34" i="10" s="1"/>
  <c r="D41" i="10" a="1"/>
  <c r="E41" i="10" s="1"/>
  <c r="B20" i="11"/>
  <c r="B25" i="11"/>
  <c r="B36" i="11"/>
  <c r="B20" i="10"/>
  <c r="B46" i="10"/>
  <c r="B36" i="10"/>
  <c r="B46" i="11"/>
  <c r="H38" i="10"/>
  <c r="H42" i="10"/>
  <c r="F32" i="10"/>
  <c r="F8" i="10"/>
  <c r="D7" i="10" a="1"/>
  <c r="E7" i="10" s="1"/>
  <c r="D10" i="10" a="1"/>
  <c r="E10" i="10" s="1"/>
  <c r="K10" i="10" s="1"/>
  <c r="L10" i="10" s="1"/>
  <c r="D28" i="10" a="1"/>
  <c r="D28" i="10" s="1"/>
  <c r="D35" i="10" a="1"/>
  <c r="E35" i="10" s="1"/>
  <c r="K35" i="10" s="1"/>
  <c r="L35" i="10" s="1"/>
  <c r="D43" i="10" a="1"/>
  <c r="E43" i="10" s="1"/>
  <c r="D5" i="10" a="1"/>
  <c r="E5" i="10" s="1"/>
  <c r="D29" i="10" a="1"/>
  <c r="E29" i="10" s="1"/>
  <c r="K29" i="10" s="1"/>
  <c r="L29" i="10" s="1"/>
  <c r="D15" i="10" a="1"/>
  <c r="E15" i="10" s="1"/>
  <c r="K15" i="10" s="1"/>
  <c r="L15" i="10" s="1"/>
  <c r="D31" i="10" a="1"/>
  <c r="E31" i="10" s="1"/>
  <c r="D39" i="10" a="1"/>
  <c r="E39" i="10" s="1"/>
  <c r="E32" i="10"/>
  <c r="K32" i="10" s="1"/>
  <c r="L32" i="10" s="1"/>
  <c r="E46" i="11"/>
  <c r="D14" i="10"/>
  <c r="E30" i="10"/>
  <c r="B12" i="10"/>
  <c r="H43" i="10"/>
  <c r="H41" i="10"/>
  <c r="H28" i="10"/>
  <c r="H32" i="10"/>
  <c r="H29" i="10"/>
  <c r="H34" i="10"/>
  <c r="H35" i="10"/>
  <c r="H22" i="10"/>
  <c r="H23" i="10"/>
  <c r="H24" i="10"/>
  <c r="H14" i="10"/>
  <c r="H15" i="10"/>
  <c r="H16" i="10"/>
  <c r="H5" i="10"/>
  <c r="H9" i="10"/>
  <c r="I4" i="10"/>
  <c r="F38" i="10"/>
  <c r="F42" i="10"/>
  <c r="F39" i="10"/>
  <c r="F40" i="10"/>
  <c r="F44" i="10"/>
  <c r="F45" i="10"/>
  <c r="F28" i="10"/>
  <c r="F29" i="10"/>
  <c r="F33" i="10"/>
  <c r="F27" i="10"/>
  <c r="F31" i="10"/>
  <c r="F35" i="10"/>
  <c r="F24" i="10"/>
  <c r="G22" i="10"/>
  <c r="F23" i="10"/>
  <c r="F14" i="10"/>
  <c r="F15" i="10"/>
  <c r="F16" i="10"/>
  <c r="F19" i="10"/>
  <c r="F9" i="10"/>
  <c r="F6" i="10"/>
  <c r="F7" i="10"/>
  <c r="F11" i="10"/>
  <c r="G4" i="10"/>
  <c r="K6" i="10"/>
  <c r="L6" i="10" s="1"/>
  <c r="K23" i="10"/>
  <c r="L23" i="10" s="1"/>
  <c r="K38" i="10"/>
  <c r="K16" i="10"/>
  <c r="L16" i="10" s="1"/>
  <c r="K44" i="10"/>
  <c r="L44" i="10" s="1"/>
  <c r="D38" i="10"/>
  <c r="D42" i="10"/>
  <c r="D40" i="10"/>
  <c r="D44" i="10"/>
  <c r="D45" i="10"/>
  <c r="D33" i="10"/>
  <c r="K24" i="10"/>
  <c r="L24" i="10" s="1"/>
  <c r="D22" i="10"/>
  <c r="D23" i="10"/>
  <c r="D24" i="10"/>
  <c r="D16" i="10"/>
  <c r="D8" i="10"/>
  <c r="D6" i="10"/>
  <c r="D11" i="10"/>
  <c r="E4" i="10"/>
  <c r="E25" i="10"/>
  <c r="G20" i="10"/>
  <c r="J4" i="10"/>
  <c r="B12" i="11"/>
  <c r="H38" i="11"/>
  <c r="H42" i="11"/>
  <c r="H39" i="11"/>
  <c r="H43" i="11"/>
  <c r="I45" i="11"/>
  <c r="K45" i="11" s="1"/>
  <c r="L45" i="11" s="1"/>
  <c r="H40" i="11"/>
  <c r="H44" i="11"/>
  <c r="I41" i="11"/>
  <c r="K41" i="11" s="1"/>
  <c r="L41" i="11" s="1"/>
  <c r="H32" i="11"/>
  <c r="I28" i="11"/>
  <c r="K28" i="11" s="1"/>
  <c r="L28" i="11" s="1"/>
  <c r="H29" i="11"/>
  <c r="H33" i="11"/>
  <c r="H30" i="11"/>
  <c r="H34" i="11"/>
  <c r="H35" i="11"/>
  <c r="H27" i="11"/>
  <c r="H31" i="11"/>
  <c r="I25" i="11"/>
  <c r="H22" i="11"/>
  <c r="H23" i="11"/>
  <c r="H24" i="11"/>
  <c r="H15" i="11"/>
  <c r="I14" i="11"/>
  <c r="I20" i="11" s="1"/>
  <c r="H16" i="11"/>
  <c r="H19" i="11"/>
  <c r="H8" i="11"/>
  <c r="H5" i="11"/>
  <c r="H9" i="11"/>
  <c r="H6" i="11"/>
  <c r="H10" i="11"/>
  <c r="H7" i="11"/>
  <c r="H11" i="11"/>
  <c r="I4" i="11"/>
  <c r="I12" i="11" s="1"/>
  <c r="F38" i="11"/>
  <c r="F42" i="11"/>
  <c r="F39" i="11"/>
  <c r="F43" i="11"/>
  <c r="F40" i="11"/>
  <c r="F44" i="11"/>
  <c r="F41" i="11"/>
  <c r="F45" i="11"/>
  <c r="F28" i="11"/>
  <c r="F32" i="11"/>
  <c r="K30" i="11"/>
  <c r="L30" i="11" s="1"/>
  <c r="K32" i="11"/>
  <c r="L32" i="11" s="1"/>
  <c r="F29" i="11"/>
  <c r="F33" i="11"/>
  <c r="K31" i="11"/>
  <c r="L31" i="11" s="1"/>
  <c r="F30" i="11"/>
  <c r="F34" i="11"/>
  <c r="K34" i="11"/>
  <c r="L34" i="11" s="1"/>
  <c r="F27" i="11"/>
  <c r="F31" i="11"/>
  <c r="F35" i="11"/>
  <c r="K27" i="11"/>
  <c r="L27" i="11" s="1"/>
  <c r="G25" i="11"/>
  <c r="F22" i="11"/>
  <c r="F23" i="11"/>
  <c r="K23" i="11"/>
  <c r="L23" i="11" s="1"/>
  <c r="F24" i="11"/>
  <c r="F14" i="11"/>
  <c r="F15" i="11"/>
  <c r="F16" i="11"/>
  <c r="F19" i="11"/>
  <c r="G11" i="11"/>
  <c r="K11" i="11" s="1"/>
  <c r="L11" i="11" s="1"/>
  <c r="F8" i="11"/>
  <c r="K9" i="11"/>
  <c r="L9" i="11" s="1"/>
  <c r="F5" i="11"/>
  <c r="F9" i="11"/>
  <c r="K10" i="11"/>
  <c r="L10" i="11" s="1"/>
  <c r="G7" i="11"/>
  <c r="K7" i="11" s="1"/>
  <c r="L7" i="11" s="1"/>
  <c r="K5" i="11"/>
  <c r="L5" i="11" s="1"/>
  <c r="F6" i="11"/>
  <c r="F10" i="11"/>
  <c r="K6" i="11"/>
  <c r="L6" i="11" s="1"/>
  <c r="K8" i="11"/>
  <c r="L8" i="11" s="1"/>
  <c r="G4" i="11"/>
  <c r="K50" i="11"/>
  <c r="D38" i="11"/>
  <c r="D42" i="11"/>
  <c r="K39" i="11"/>
  <c r="L39" i="11" s="1"/>
  <c r="D39" i="11"/>
  <c r="D43" i="11"/>
  <c r="D40" i="11"/>
  <c r="D44" i="11"/>
  <c r="K43" i="11"/>
  <c r="L43" i="11" s="1"/>
  <c r="K44" i="11"/>
  <c r="L44" i="11" s="1"/>
  <c r="D41" i="11"/>
  <c r="D45" i="11"/>
  <c r="D28" i="11"/>
  <c r="D32" i="11"/>
  <c r="D29" i="11"/>
  <c r="D33" i="11"/>
  <c r="K35" i="11"/>
  <c r="L35" i="11" s="1"/>
  <c r="D30" i="11"/>
  <c r="D34" i="11"/>
  <c r="K33" i="11"/>
  <c r="L33" i="11" s="1"/>
  <c r="D27" i="11"/>
  <c r="D31" i="11"/>
  <c r="D35" i="11"/>
  <c r="E25" i="11"/>
  <c r="K22" i="11"/>
  <c r="L22" i="11" s="1"/>
  <c r="D22" i="11"/>
  <c r="D23" i="11"/>
  <c r="K24" i="11"/>
  <c r="L24" i="11" s="1"/>
  <c r="D24" i="11"/>
  <c r="E20" i="11"/>
  <c r="D14" i="11"/>
  <c r="D15" i="11"/>
  <c r="K16" i="11"/>
  <c r="L16" i="11" s="1"/>
  <c r="D16" i="11"/>
  <c r="D19" i="11"/>
  <c r="D5" i="11"/>
  <c r="D9" i="11"/>
  <c r="D8" i="11"/>
  <c r="D6" i="11"/>
  <c r="D10" i="11"/>
  <c r="D7" i="11"/>
  <c r="D11" i="11"/>
  <c r="D4" i="11"/>
  <c r="J4" i="11" s="1"/>
  <c r="K38" i="11"/>
  <c r="K15" i="11"/>
  <c r="L15" i="11" s="1"/>
  <c r="K19" i="11"/>
  <c r="L19" i="11" s="1"/>
  <c r="K29" i="11"/>
  <c r="L29" i="11" s="1"/>
  <c r="G36" i="11"/>
  <c r="G46" i="11"/>
  <c r="K42" i="11"/>
  <c r="L42" i="11" s="1"/>
  <c r="E12" i="11"/>
  <c r="E36" i="11"/>
  <c r="J50" i="11"/>
  <c r="C9" i="12" s="1"/>
  <c r="F10" i="10" l="1"/>
  <c r="H7" i="10"/>
  <c r="H31" i="10"/>
  <c r="H10" i="10"/>
  <c r="H6" i="10"/>
  <c r="K5" i="10"/>
  <c r="L5" i="10" s="1"/>
  <c r="G46" i="10"/>
  <c r="K43" i="10"/>
  <c r="L43" i="10" s="1"/>
  <c r="F43" i="10"/>
  <c r="F30" i="10"/>
  <c r="F36" i="10" s="1"/>
  <c r="F5" i="10"/>
  <c r="H19" i="10"/>
  <c r="H20" i="10" s="1"/>
  <c r="K30" i="10"/>
  <c r="L30" i="10" s="1"/>
  <c r="F41" i="10"/>
  <c r="K7" i="10"/>
  <c r="L7" i="10" s="1"/>
  <c r="G25" i="10"/>
  <c r="H27" i="10"/>
  <c r="K41" i="10"/>
  <c r="L41" i="10" s="1"/>
  <c r="H8" i="10"/>
  <c r="J8" i="10" s="1"/>
  <c r="H30" i="10"/>
  <c r="I11" i="10"/>
  <c r="K11" i="10" s="1"/>
  <c r="L11" i="10" s="1"/>
  <c r="K19" i="10"/>
  <c r="L19" i="10" s="1"/>
  <c r="H33" i="10"/>
  <c r="J33" i="10" s="1"/>
  <c r="F34" i="10"/>
  <c r="J34" i="10" s="1"/>
  <c r="I45" i="10"/>
  <c r="B19" i="12"/>
  <c r="E19" i="12" s="1"/>
  <c r="B4" i="12"/>
  <c r="I46" i="10"/>
  <c r="D9" i="10"/>
  <c r="H40" i="10"/>
  <c r="J40" i="10" s="1"/>
  <c r="K31" i="10"/>
  <c r="L31" i="10" s="1"/>
  <c r="H44" i="10"/>
  <c r="J44" i="10" s="1"/>
  <c r="H39" i="10"/>
  <c r="K39" i="10"/>
  <c r="L39" i="10" s="1"/>
  <c r="B5" i="12"/>
  <c r="B48" i="10"/>
  <c r="B51" i="10" s="1"/>
  <c r="B6" i="12"/>
  <c r="J32" i="10"/>
  <c r="D41" i="10"/>
  <c r="J41" i="10" s="1"/>
  <c r="D27" i="10"/>
  <c r="D5" i="10"/>
  <c r="D19" i="10"/>
  <c r="E34" i="10"/>
  <c r="K34" i="10" s="1"/>
  <c r="L34" i="10" s="1"/>
  <c r="D35" i="10"/>
  <c r="J35" i="10" s="1"/>
  <c r="B7" i="12"/>
  <c r="B48" i="11"/>
  <c r="B53" i="11" s="1"/>
  <c r="I36" i="11"/>
  <c r="K4" i="11"/>
  <c r="L4" i="11" s="1"/>
  <c r="J33" i="11"/>
  <c r="E20" i="10"/>
  <c r="D7" i="10"/>
  <c r="J7" i="10" s="1"/>
  <c r="D10" i="10"/>
  <c r="J28" i="11"/>
  <c r="F25" i="10"/>
  <c r="J24" i="10"/>
  <c r="J32" i="11"/>
  <c r="J34" i="11"/>
  <c r="J42" i="11"/>
  <c r="J16" i="10"/>
  <c r="J28" i="10"/>
  <c r="K4" i="10"/>
  <c r="L4" i="10" s="1"/>
  <c r="J11" i="10"/>
  <c r="F20" i="10"/>
  <c r="D43" i="10"/>
  <c r="D29" i="10"/>
  <c r="E28" i="10"/>
  <c r="D15" i="10"/>
  <c r="J15" i="10" s="1"/>
  <c r="D39" i="10"/>
  <c r="L50" i="11"/>
  <c r="D9" i="12"/>
  <c r="D31" i="10"/>
  <c r="J31" i="10" s="1"/>
  <c r="E12" i="10"/>
  <c r="J29" i="11"/>
  <c r="J19" i="11"/>
  <c r="D12" i="11"/>
  <c r="J8" i="11"/>
  <c r="J9" i="10"/>
  <c r="J15" i="11"/>
  <c r="J30" i="11"/>
  <c r="D36" i="11"/>
  <c r="J9" i="11"/>
  <c r="J31" i="11"/>
  <c r="H46" i="11"/>
  <c r="K45" i="10"/>
  <c r="L45" i="10" s="1"/>
  <c r="H12" i="11"/>
  <c r="J6" i="11"/>
  <c r="H25" i="10"/>
  <c r="J7" i="11"/>
  <c r="J43" i="11"/>
  <c r="J23" i="11"/>
  <c r="I36" i="10"/>
  <c r="J44" i="11"/>
  <c r="F20" i="11"/>
  <c r="J39" i="11"/>
  <c r="G12" i="10"/>
  <c r="J24" i="11"/>
  <c r="J40" i="11"/>
  <c r="K14" i="10"/>
  <c r="F12" i="10"/>
  <c r="F25" i="11"/>
  <c r="J45" i="11"/>
  <c r="J41" i="11"/>
  <c r="L38" i="10"/>
  <c r="J23" i="10"/>
  <c r="J38" i="10"/>
  <c r="E46" i="10"/>
  <c r="J22" i="10"/>
  <c r="D25" i="10"/>
  <c r="G36" i="10"/>
  <c r="K8" i="10"/>
  <c r="L8" i="10" s="1"/>
  <c r="L27" i="10"/>
  <c r="J45" i="10"/>
  <c r="J42" i="10"/>
  <c r="J14" i="10"/>
  <c r="J6" i="10"/>
  <c r="K22" i="10"/>
  <c r="K25" i="11"/>
  <c r="L25" i="11" s="1"/>
  <c r="H25" i="11"/>
  <c r="J11" i="11"/>
  <c r="J16" i="11"/>
  <c r="G12" i="11"/>
  <c r="D46" i="11"/>
  <c r="J35" i="11"/>
  <c r="D25" i="11"/>
  <c r="J22" i="11"/>
  <c r="D20" i="11"/>
  <c r="J10" i="11"/>
  <c r="J5" i="11"/>
  <c r="E48" i="11"/>
  <c r="E53" i="11" s="1"/>
  <c r="K36" i="11"/>
  <c r="I46" i="11"/>
  <c r="K40" i="11"/>
  <c r="L40" i="11" s="1"/>
  <c r="H20" i="11"/>
  <c r="H36" i="11"/>
  <c r="K14" i="11"/>
  <c r="G20" i="11"/>
  <c r="J14" i="11"/>
  <c r="F36" i="11"/>
  <c r="J27" i="11"/>
  <c r="L38" i="11"/>
  <c r="F46" i="11"/>
  <c r="J38" i="11"/>
  <c r="F12" i="11"/>
  <c r="H46" i="10" l="1"/>
  <c r="H36" i="10"/>
  <c r="J19" i="10"/>
  <c r="K20" i="10"/>
  <c r="L20" i="10" s="1"/>
  <c r="J10" i="10"/>
  <c r="J12" i="10" s="1"/>
  <c r="J5" i="10"/>
  <c r="F46" i="10"/>
  <c r="J43" i="10"/>
  <c r="J27" i="10"/>
  <c r="H12" i="10"/>
  <c r="H48" i="10" s="1"/>
  <c r="H51" i="10" s="1"/>
  <c r="J30" i="10"/>
  <c r="I48" i="10"/>
  <c r="I51" i="10" s="1"/>
  <c r="J39" i="10"/>
  <c r="I12" i="10"/>
  <c r="I48" i="11"/>
  <c r="I53" i="11" s="1"/>
  <c r="D36" i="10"/>
  <c r="D12" i="10"/>
  <c r="E36" i="10"/>
  <c r="E48" i="10" s="1"/>
  <c r="E51" i="10" s="1"/>
  <c r="K12" i="11"/>
  <c r="B8" i="12"/>
  <c r="B13" i="12" s="1"/>
  <c r="H48" i="11"/>
  <c r="H53" i="11" s="1"/>
  <c r="D20" i="10"/>
  <c r="J29" i="10"/>
  <c r="K28" i="10"/>
  <c r="L28" i="10" s="1"/>
  <c r="D46" i="10"/>
  <c r="L36" i="11"/>
  <c r="K46" i="10"/>
  <c r="L46" i="10" s="1"/>
  <c r="J25" i="11"/>
  <c r="L14" i="10"/>
  <c r="G48" i="10"/>
  <c r="G51" i="10" s="1"/>
  <c r="J46" i="11"/>
  <c r="J20" i="11"/>
  <c r="F48" i="10"/>
  <c r="F51" i="10" s="1"/>
  <c r="J20" i="10"/>
  <c r="J46" i="10"/>
  <c r="K12" i="10"/>
  <c r="K25" i="10"/>
  <c r="L25" i="10" s="1"/>
  <c r="L22" i="10"/>
  <c r="J25" i="10"/>
  <c r="K46" i="11"/>
  <c r="J36" i="11"/>
  <c r="G48" i="11"/>
  <c r="G53" i="11" s="1"/>
  <c r="F48" i="11"/>
  <c r="F53" i="11" s="1"/>
  <c r="D48" i="11"/>
  <c r="D53" i="11" s="1"/>
  <c r="J12" i="11"/>
  <c r="K20" i="11"/>
  <c r="L20" i="11" s="1"/>
  <c r="L14" i="11"/>
  <c r="J36" i="10" l="1"/>
  <c r="L12" i="11"/>
  <c r="D4" i="12"/>
  <c r="D48" i="10"/>
  <c r="D51" i="10" s="1"/>
  <c r="K36" i="10"/>
  <c r="L36" i="10" s="1"/>
  <c r="C7" i="12"/>
  <c r="C6" i="12"/>
  <c r="C5" i="12"/>
  <c r="C4" i="12"/>
  <c r="L12" i="10"/>
  <c r="D5" i="12"/>
  <c r="D6" i="12"/>
  <c r="L46" i="11"/>
  <c r="D7" i="12"/>
  <c r="J48" i="10"/>
  <c r="J51" i="10" s="1"/>
  <c r="J48" i="11"/>
  <c r="J53" i="11" s="1"/>
  <c r="K48" i="11"/>
  <c r="L48" i="11" l="1"/>
  <c r="K53" i="11"/>
  <c r="K48" i="10"/>
  <c r="K51" i="10" s="1"/>
  <c r="L51" i="10" s="1"/>
  <c r="L53" i="11"/>
  <c r="L48" i="10" l="1"/>
  <c r="D11" i="12"/>
  <c r="C11" i="12"/>
  <c r="C8" i="12" l="1"/>
  <c r="C13" i="12" s="1"/>
  <c r="G19" i="12" s="1"/>
  <c r="D8" i="12"/>
  <c r="D13" i="12" s="1"/>
  <c r="G20" i="12" s="1"/>
  <c r="I12" i="2"/>
  <c r="I25" i="2"/>
  <c r="I20" i="2" l="1"/>
  <c r="H12" i="2"/>
  <c r="I36" i="2"/>
  <c r="H46" i="2"/>
  <c r="I46" i="2"/>
  <c r="H25" i="2" l="1"/>
  <c r="H20" i="2"/>
  <c r="I48" i="2"/>
  <c r="I53" i="2" s="1"/>
  <c r="H36" i="2"/>
  <c r="G46" i="2" l="1"/>
  <c r="F12" i="2"/>
  <c r="F46" i="2"/>
  <c r="G12" i="2"/>
  <c r="H48" i="2"/>
  <c r="H53" i="2" s="1"/>
  <c r="G36" i="2" l="1"/>
  <c r="F36" i="2"/>
  <c r="G25" i="2"/>
  <c r="F25" i="2"/>
  <c r="G20" i="2"/>
  <c r="F20" i="2"/>
  <c r="K4" i="2"/>
  <c r="J4" i="2"/>
  <c r="J20" i="2" l="1"/>
  <c r="K20" i="2"/>
  <c r="K46" i="2"/>
  <c r="K36" i="2"/>
  <c r="J46" i="2"/>
  <c r="J25" i="2"/>
  <c r="K25" i="2"/>
  <c r="J36" i="2"/>
  <c r="J12" i="2"/>
  <c r="K12" i="2"/>
  <c r="D46" i="2"/>
  <c r="E46" i="2"/>
  <c r="D12" i="2"/>
  <c r="E12" i="2"/>
  <c r="F48" i="2"/>
  <c r="F53" i="2" s="1"/>
  <c r="G48" i="2"/>
  <c r="G53" i="2" s="1"/>
  <c r="J48" i="2" l="1"/>
  <c r="J53" i="2" s="1"/>
  <c r="J54" i="2" s="1"/>
  <c r="K48" i="2"/>
  <c r="E36" i="2"/>
  <c r="D20" i="2"/>
  <c r="E20" i="2"/>
  <c r="D36" i="2"/>
  <c r="E25" i="2"/>
  <c r="D25" i="2"/>
  <c r="AT46" i="7"/>
  <c r="AS46" i="7"/>
  <c r="AR46" i="7"/>
  <c r="AQ46" i="7"/>
  <c r="AP46" i="7"/>
  <c r="AO46" i="7"/>
  <c r="AN46" i="7"/>
  <c r="AM46" i="7"/>
  <c r="AL46" i="7"/>
  <c r="AK46" i="7"/>
  <c r="AJ46" i="7"/>
  <c r="AI46" i="7"/>
  <c r="AG46" i="7"/>
  <c r="AF46" i="7"/>
  <c r="Q46" i="7"/>
  <c r="P46" i="7"/>
  <c r="AE44" i="7"/>
  <c r="AD44" i="7"/>
  <c r="AC44" i="7"/>
  <c r="AB44" i="7"/>
  <c r="AA44" i="7"/>
  <c r="Z44" i="7"/>
  <c r="Y44" i="7"/>
  <c r="X44" i="7"/>
  <c r="W44" i="7"/>
  <c r="V44" i="7"/>
  <c r="U44" i="7"/>
  <c r="T44" i="7"/>
  <c r="O44" i="7"/>
  <c r="N44" i="7"/>
  <c r="M44" i="7"/>
  <c r="L44" i="7"/>
  <c r="K44" i="7"/>
  <c r="J44" i="7"/>
  <c r="I44" i="7"/>
  <c r="H44" i="7"/>
  <c r="G44" i="7"/>
  <c r="F44" i="7"/>
  <c r="E44" i="7"/>
  <c r="D44" i="7"/>
  <c r="AT43" i="7"/>
  <c r="AS43" i="7"/>
  <c r="AR43" i="7"/>
  <c r="AQ43" i="7"/>
  <c r="AP43" i="7"/>
  <c r="AO43" i="7"/>
  <c r="AN43" i="7"/>
  <c r="AM43" i="7"/>
  <c r="AL43" i="7"/>
  <c r="AK43" i="7"/>
  <c r="AJ43" i="7"/>
  <c r="AI43" i="7"/>
  <c r="AG43" i="7"/>
  <c r="AF43" i="7"/>
  <c r="Q43" i="7"/>
  <c r="P43" i="7"/>
  <c r="AT42" i="7"/>
  <c r="AS42" i="7"/>
  <c r="AR42" i="7"/>
  <c r="AQ42" i="7"/>
  <c r="AP42" i="7"/>
  <c r="AO42" i="7"/>
  <c r="AN42" i="7"/>
  <c r="AM42" i="7"/>
  <c r="AL42" i="7"/>
  <c r="AK42" i="7"/>
  <c r="AJ42" i="7"/>
  <c r="AI42" i="7"/>
  <c r="AG42" i="7"/>
  <c r="AF42" i="7"/>
  <c r="Q42" i="7"/>
  <c r="P42" i="7"/>
  <c r="AT41" i="7"/>
  <c r="AS41" i="7"/>
  <c r="AR41" i="7"/>
  <c r="AQ41" i="7"/>
  <c r="AP41" i="7"/>
  <c r="AO41" i="7"/>
  <c r="AN41" i="7"/>
  <c r="AM41" i="7"/>
  <c r="AL41" i="7"/>
  <c r="AK41" i="7"/>
  <c r="AJ41" i="7"/>
  <c r="AI41" i="7"/>
  <c r="AG41" i="7"/>
  <c r="AF41" i="7"/>
  <c r="Q41" i="7"/>
  <c r="P41" i="7"/>
  <c r="AE39" i="7"/>
  <c r="AD39" i="7"/>
  <c r="AC39" i="7"/>
  <c r="AB39" i="7"/>
  <c r="AA39" i="7"/>
  <c r="Z39" i="7"/>
  <c r="Y39" i="7"/>
  <c r="X39" i="7"/>
  <c r="W39" i="7"/>
  <c r="V39" i="7"/>
  <c r="U39" i="7"/>
  <c r="T39" i="7"/>
  <c r="O39" i="7"/>
  <c r="N39" i="7"/>
  <c r="M39" i="7"/>
  <c r="L39" i="7"/>
  <c r="K39" i="7"/>
  <c r="J39" i="7"/>
  <c r="I39" i="7"/>
  <c r="H39" i="7"/>
  <c r="G39" i="7"/>
  <c r="F39" i="7"/>
  <c r="E39" i="7"/>
  <c r="D39" i="7"/>
  <c r="AT38" i="7"/>
  <c r="AS38" i="7"/>
  <c r="AR38" i="7"/>
  <c r="AQ38" i="7"/>
  <c r="AP38" i="7"/>
  <c r="AO38" i="7"/>
  <c r="AN38" i="7"/>
  <c r="AM38" i="7"/>
  <c r="AL38" i="7"/>
  <c r="AK38" i="7"/>
  <c r="AJ38" i="7"/>
  <c r="AI38" i="7"/>
  <c r="AG38" i="7"/>
  <c r="AF38" i="7"/>
  <c r="Q38" i="7"/>
  <c r="P38" i="7"/>
  <c r="AT37" i="7"/>
  <c r="AS37" i="7"/>
  <c r="AR37" i="7"/>
  <c r="AQ37" i="7"/>
  <c r="AP37" i="7"/>
  <c r="AO37" i="7"/>
  <c r="AN37" i="7"/>
  <c r="AM37" i="7"/>
  <c r="AL37" i="7"/>
  <c r="AK37" i="7"/>
  <c r="AJ37" i="7"/>
  <c r="AI37" i="7"/>
  <c r="AG37" i="7"/>
  <c r="AF37" i="7"/>
  <c r="Q37" i="7"/>
  <c r="P37" i="7"/>
  <c r="AT36" i="7"/>
  <c r="AS36" i="7"/>
  <c r="AR36" i="7"/>
  <c r="AQ36" i="7"/>
  <c r="AP36" i="7"/>
  <c r="AO36" i="7"/>
  <c r="AN36" i="7"/>
  <c r="AM36" i="7"/>
  <c r="AL36" i="7"/>
  <c r="AK36" i="7"/>
  <c r="AJ36" i="7"/>
  <c r="AI36" i="7"/>
  <c r="AG36" i="7"/>
  <c r="AF36" i="7"/>
  <c r="Q36" i="7"/>
  <c r="P36" i="7"/>
  <c r="AT35" i="7"/>
  <c r="AS35" i="7"/>
  <c r="AR35" i="7"/>
  <c r="AQ35" i="7"/>
  <c r="AP35" i="7"/>
  <c r="AO35" i="7"/>
  <c r="AN35" i="7"/>
  <c r="AM35" i="7"/>
  <c r="AL35" i="7"/>
  <c r="AK35" i="7"/>
  <c r="AJ35" i="7"/>
  <c r="AI35" i="7"/>
  <c r="AG35" i="7"/>
  <c r="AF35" i="7"/>
  <c r="Q35" i="7"/>
  <c r="P35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G34" i="7"/>
  <c r="AF34" i="7"/>
  <c r="Q34" i="7"/>
  <c r="P34" i="7"/>
  <c r="AE32" i="7"/>
  <c r="AD32" i="7"/>
  <c r="AC32" i="7"/>
  <c r="AB32" i="7"/>
  <c r="AA32" i="7"/>
  <c r="Z32" i="7"/>
  <c r="Y32" i="7"/>
  <c r="X32" i="7"/>
  <c r="W32" i="7"/>
  <c r="V32" i="7"/>
  <c r="U32" i="7"/>
  <c r="T32" i="7"/>
  <c r="O32" i="7"/>
  <c r="N32" i="7"/>
  <c r="M32" i="7"/>
  <c r="L32" i="7"/>
  <c r="K32" i="7"/>
  <c r="J32" i="7"/>
  <c r="I32" i="7"/>
  <c r="H32" i="7"/>
  <c r="G32" i="7"/>
  <c r="F32" i="7"/>
  <c r="E32" i="7"/>
  <c r="D32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G31" i="7"/>
  <c r="AF31" i="7"/>
  <c r="Q31" i="7"/>
  <c r="P31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G30" i="7"/>
  <c r="AF30" i="7"/>
  <c r="Q30" i="7"/>
  <c r="P30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G29" i="7"/>
  <c r="AF29" i="7"/>
  <c r="Q29" i="7"/>
  <c r="P29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G28" i="7"/>
  <c r="AF28" i="7"/>
  <c r="Q28" i="7"/>
  <c r="P28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G27" i="7"/>
  <c r="AF27" i="7"/>
  <c r="Q27" i="7"/>
  <c r="P27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G26" i="7"/>
  <c r="AF26" i="7"/>
  <c r="Q26" i="7"/>
  <c r="P26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G25" i="7"/>
  <c r="AF25" i="7"/>
  <c r="Q25" i="7"/>
  <c r="P25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G24" i="7"/>
  <c r="AF24" i="7"/>
  <c r="Q24" i="7"/>
  <c r="P24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G23" i="7"/>
  <c r="AF23" i="7"/>
  <c r="Q23" i="7"/>
  <c r="P23" i="7"/>
  <c r="AE21" i="7"/>
  <c r="AE48" i="7" s="1"/>
  <c r="AD21" i="7"/>
  <c r="AD48" i="7" s="1"/>
  <c r="AC21" i="7"/>
  <c r="AC48" i="7" s="1"/>
  <c r="AB21" i="7"/>
  <c r="AA21" i="7"/>
  <c r="Z21" i="7"/>
  <c r="Y21" i="7"/>
  <c r="X21" i="7"/>
  <c r="W21" i="7"/>
  <c r="V21" i="7"/>
  <c r="U21" i="7"/>
  <c r="T21" i="7"/>
  <c r="O21" i="7"/>
  <c r="O48" i="7" s="1"/>
  <c r="N21" i="7"/>
  <c r="N48" i="7" s="1"/>
  <c r="M21" i="7"/>
  <c r="M48" i="7" s="1"/>
  <c r="L21" i="7"/>
  <c r="K21" i="7"/>
  <c r="J21" i="7"/>
  <c r="I21" i="7"/>
  <c r="H21" i="7"/>
  <c r="G21" i="7"/>
  <c r="F21" i="7"/>
  <c r="E21" i="7"/>
  <c r="D21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G20" i="7"/>
  <c r="AF20" i="7"/>
  <c r="Q20" i="7"/>
  <c r="P20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G19" i="7"/>
  <c r="AF19" i="7"/>
  <c r="Q19" i="7"/>
  <c r="P19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G18" i="7"/>
  <c r="AF18" i="7"/>
  <c r="Q18" i="7"/>
  <c r="P18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G17" i="7"/>
  <c r="AF17" i="7"/>
  <c r="Q17" i="7"/>
  <c r="P17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G16" i="7"/>
  <c r="AF16" i="7"/>
  <c r="Q16" i="7"/>
  <c r="P16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G15" i="7"/>
  <c r="AF15" i="7"/>
  <c r="Q15" i="7"/>
  <c r="P15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G14" i="7"/>
  <c r="AF14" i="7"/>
  <c r="Q14" i="7"/>
  <c r="P14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G13" i="7"/>
  <c r="AF13" i="7"/>
  <c r="Q13" i="7"/>
  <c r="P13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G12" i="7"/>
  <c r="AF12" i="7"/>
  <c r="Q12" i="7"/>
  <c r="P12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G11" i="7"/>
  <c r="AF11" i="7"/>
  <c r="Q11" i="7"/>
  <c r="P11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G10" i="7"/>
  <c r="AF10" i="7"/>
  <c r="Q10" i="7"/>
  <c r="P10" i="7"/>
  <c r="AT9" i="7"/>
  <c r="AS9" i="7"/>
  <c r="AR9" i="7"/>
  <c r="AQ9" i="7"/>
  <c r="AP9" i="7"/>
  <c r="AO9" i="7"/>
  <c r="AN9" i="7"/>
  <c r="AM9" i="7"/>
  <c r="AL9" i="7"/>
  <c r="AK9" i="7"/>
  <c r="AJ9" i="7"/>
  <c r="AI9" i="7"/>
  <c r="AG9" i="7"/>
  <c r="AF9" i="7"/>
  <c r="Q9" i="7"/>
  <c r="P9" i="7"/>
  <c r="AT8" i="7"/>
  <c r="AS8" i="7"/>
  <c r="AR8" i="7"/>
  <c r="AQ8" i="7"/>
  <c r="AP8" i="7"/>
  <c r="AO8" i="7"/>
  <c r="AN8" i="7"/>
  <c r="AM8" i="7"/>
  <c r="AL8" i="7"/>
  <c r="AK8" i="7"/>
  <c r="AJ8" i="7"/>
  <c r="AI8" i="7"/>
  <c r="AG8" i="7"/>
  <c r="AF8" i="7"/>
  <c r="Q8" i="7"/>
  <c r="P8" i="7"/>
  <c r="AT7" i="7"/>
  <c r="AS7" i="7"/>
  <c r="AR7" i="7"/>
  <c r="AQ7" i="7"/>
  <c r="AP7" i="7"/>
  <c r="AO7" i="7"/>
  <c r="AN7" i="7"/>
  <c r="AM7" i="7"/>
  <c r="AL7" i="7"/>
  <c r="AK7" i="7"/>
  <c r="AJ7" i="7"/>
  <c r="AI7" i="7"/>
  <c r="AG7" i="7"/>
  <c r="AF7" i="7"/>
  <c r="Q7" i="7"/>
  <c r="P7" i="7"/>
  <c r="AT6" i="7"/>
  <c r="AS6" i="7"/>
  <c r="AR6" i="7"/>
  <c r="AQ6" i="7"/>
  <c r="AP6" i="7"/>
  <c r="AO6" i="7"/>
  <c r="AN6" i="7"/>
  <c r="AM6" i="7"/>
  <c r="AL6" i="7"/>
  <c r="AK6" i="7"/>
  <c r="AJ6" i="7"/>
  <c r="AI6" i="7"/>
  <c r="AG6" i="7"/>
  <c r="AF6" i="7"/>
  <c r="Q6" i="7"/>
  <c r="P6" i="7"/>
  <c r="AT5" i="7"/>
  <c r="AS5" i="7"/>
  <c r="AR5" i="7"/>
  <c r="AQ5" i="7"/>
  <c r="AP5" i="7"/>
  <c r="AO5" i="7"/>
  <c r="AN5" i="7"/>
  <c r="AM5" i="7"/>
  <c r="AL5" i="7"/>
  <c r="AK5" i="7"/>
  <c r="AJ5" i="7"/>
  <c r="AI5" i="7"/>
  <c r="AG5" i="7"/>
  <c r="AF5" i="7"/>
  <c r="Q5" i="7"/>
  <c r="P5" i="7"/>
  <c r="K48" i="7" l="1"/>
  <c r="AA48" i="7"/>
  <c r="AV12" i="7"/>
  <c r="AV6" i="7"/>
  <c r="AV18" i="7"/>
  <c r="AV29" i="7"/>
  <c r="L48" i="7"/>
  <c r="AB48" i="7"/>
  <c r="G48" i="7"/>
  <c r="W48" i="7"/>
  <c r="AL44" i="7"/>
  <c r="AV19" i="7"/>
  <c r="AV30" i="7"/>
  <c r="AV35" i="7"/>
  <c r="AT44" i="7"/>
  <c r="H48" i="7"/>
  <c r="X48" i="7"/>
  <c r="AV10" i="7"/>
  <c r="AV16" i="7"/>
  <c r="I48" i="7"/>
  <c r="Y48" i="7"/>
  <c r="AV27" i="7"/>
  <c r="AV38" i="7"/>
  <c r="AV43" i="7"/>
  <c r="Z48" i="7"/>
  <c r="AT32" i="7"/>
  <c r="AT39" i="7"/>
  <c r="AP44" i="7"/>
  <c r="P21" i="7"/>
  <c r="AM32" i="7"/>
  <c r="P44" i="7"/>
  <c r="AQ44" i="7"/>
  <c r="AR21" i="7"/>
  <c r="AV14" i="7"/>
  <c r="AV20" i="7"/>
  <c r="AN32" i="7"/>
  <c r="AV25" i="7"/>
  <c r="AV31" i="7"/>
  <c r="AN39" i="7"/>
  <c r="AJ39" i="7"/>
  <c r="AV36" i="7"/>
  <c r="AR44" i="7"/>
  <c r="AV46" i="7"/>
  <c r="AP21" i="7"/>
  <c r="AV8" i="7"/>
  <c r="AF21" i="7"/>
  <c r="AS21" i="7"/>
  <c r="AO32" i="7"/>
  <c r="AK32" i="7"/>
  <c r="AO39" i="7"/>
  <c r="K53" i="2"/>
  <c r="AU43" i="7"/>
  <c r="AU17" i="7"/>
  <c r="AV7" i="7"/>
  <c r="AV13" i="7"/>
  <c r="AU7" i="7"/>
  <c r="AI32" i="7"/>
  <c r="AT21" i="7"/>
  <c r="AV11" i="7"/>
  <c r="AV17" i="7"/>
  <c r="AP32" i="7"/>
  <c r="AL32" i="7"/>
  <c r="AV28" i="7"/>
  <c r="AP39" i="7"/>
  <c r="AL39" i="7"/>
  <c r="D48" i="7"/>
  <c r="P32" i="7"/>
  <c r="AU25" i="7"/>
  <c r="AU28" i="7"/>
  <c r="AU31" i="7"/>
  <c r="P39" i="7"/>
  <c r="AQ39" i="7"/>
  <c r="AU36" i="7"/>
  <c r="AU41" i="7"/>
  <c r="AU46" i="7"/>
  <c r="AU38" i="7"/>
  <c r="AJ32" i="7"/>
  <c r="AQ32" i="7"/>
  <c r="AJ21" i="7"/>
  <c r="U48" i="7"/>
  <c r="AR32" i="7"/>
  <c r="AR39" i="7"/>
  <c r="AU14" i="7"/>
  <c r="E48" i="7"/>
  <c r="AK21" i="7"/>
  <c r="AU15" i="7"/>
  <c r="F48" i="7"/>
  <c r="V48" i="7"/>
  <c r="AF44" i="7"/>
  <c r="AS44" i="7"/>
  <c r="AL21" i="7"/>
  <c r="AV15" i="7"/>
  <c r="AV26" i="7"/>
  <c r="AV37" i="7"/>
  <c r="AV42" i="7"/>
  <c r="AK39" i="7"/>
  <c r="AU5" i="7"/>
  <c r="AU8" i="7"/>
  <c r="AU20" i="7"/>
  <c r="T48" i="7"/>
  <c r="AV9" i="7"/>
  <c r="AM21" i="7"/>
  <c r="AU6" i="7"/>
  <c r="AU9" i="7"/>
  <c r="AU12" i="7"/>
  <c r="AU18" i="7"/>
  <c r="AU23" i="7"/>
  <c r="AU26" i="7"/>
  <c r="AU29" i="7"/>
  <c r="AU34" i="7"/>
  <c r="AU37" i="7"/>
  <c r="AM44" i="7"/>
  <c r="AI44" i="7"/>
  <c r="AQ21" i="7"/>
  <c r="AU13" i="7"/>
  <c r="AU16" i="7"/>
  <c r="AM39" i="7"/>
  <c r="AN21" i="7"/>
  <c r="AU10" i="7"/>
  <c r="AU19" i="7"/>
  <c r="AU27" i="7"/>
  <c r="AU30" i="7"/>
  <c r="AU35" i="7"/>
  <c r="AU11" i="7"/>
  <c r="AN44" i="7"/>
  <c r="AJ44" i="7"/>
  <c r="AO21" i="7"/>
  <c r="J48" i="7"/>
  <c r="AF32" i="7"/>
  <c r="AS32" i="7"/>
  <c r="AF39" i="7"/>
  <c r="AS39" i="7"/>
  <c r="AO44" i="7"/>
  <c r="AK44" i="7"/>
  <c r="E48" i="2"/>
  <c r="E53" i="2" s="1"/>
  <c r="D48" i="2"/>
  <c r="D53" i="2" s="1"/>
  <c r="AI21" i="7"/>
  <c r="AI39" i="7"/>
  <c r="AU24" i="7"/>
  <c r="AV24" i="7"/>
  <c r="AU42" i="7"/>
  <c r="AV23" i="7"/>
  <c r="AV34" i="7"/>
  <c r="AV41" i="7"/>
  <c r="AN48" i="7" l="1"/>
  <c r="AT48" i="7"/>
  <c r="AM48" i="7"/>
  <c r="AU44" i="7"/>
  <c r="AP48" i="7"/>
  <c r="AR48" i="7"/>
  <c r="AL48" i="7"/>
  <c r="AJ48" i="7"/>
  <c r="B21" i="12" s="1"/>
  <c r="AU32" i="7"/>
  <c r="AK48" i="7"/>
  <c r="D21" i="12" s="1"/>
  <c r="AU21" i="7"/>
  <c r="P48" i="7"/>
  <c r="AF48" i="7"/>
  <c r="AU39" i="7"/>
  <c r="AS48" i="7"/>
  <c r="AO48" i="7"/>
  <c r="K54" i="2"/>
  <c r="B25" i="2"/>
  <c r="L25" i="2" s="1"/>
  <c r="AQ48" i="7"/>
  <c r="B12" i="2"/>
  <c r="L12" i="2" s="1"/>
  <c r="L4" i="2"/>
  <c r="B20" i="2"/>
  <c r="L20" i="2" s="1"/>
  <c r="B46" i="2"/>
  <c r="L46" i="2" s="1"/>
  <c r="B36" i="2"/>
  <c r="L36" i="2" s="1"/>
  <c r="AI48" i="7"/>
  <c r="AU48" i="7" l="1"/>
  <c r="B48" i="2"/>
  <c r="C21" i="12"/>
  <c r="E21" i="12" s="1"/>
  <c r="G21" i="12" s="1"/>
  <c r="B53" i="2" l="1"/>
  <c r="L48" i="2"/>
  <c r="B54" i="2" l="1"/>
  <c r="L5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<sst xmlns="http://schemas.openxmlformats.org/spreadsheetml/2006/main" count="1032" uniqueCount="152">
  <si>
    <t>Pathalogy</t>
  </si>
  <si>
    <t>Radiology</t>
  </si>
  <si>
    <t>PET</t>
  </si>
  <si>
    <t>Total</t>
  </si>
  <si>
    <t>Location</t>
  </si>
  <si>
    <t>Budget</t>
  </si>
  <si>
    <t>Actual</t>
  </si>
  <si>
    <t>Variance</t>
  </si>
  <si>
    <t>Sec 11, CHD</t>
  </si>
  <si>
    <t>Sector 70, Mohali</t>
  </si>
  <si>
    <t>Manali</t>
  </si>
  <si>
    <t>Tarntaran</t>
  </si>
  <si>
    <t>Dr Bagga LDH</t>
  </si>
  <si>
    <t>Vivek Nagar Ludhiana</t>
  </si>
  <si>
    <t>Sarvodya Jalandhar</t>
  </si>
  <si>
    <t>HP Ortho Jalandhar</t>
  </si>
  <si>
    <t>Shivalik FP Lab</t>
  </si>
  <si>
    <t>Doda</t>
  </si>
  <si>
    <t>Karnal</t>
  </si>
  <si>
    <t>Total (Path + Radio)</t>
  </si>
  <si>
    <t>Cyclotron</t>
  </si>
  <si>
    <t>Group Total</t>
  </si>
  <si>
    <t>Panchkula</t>
  </si>
  <si>
    <t>Shimla</t>
  </si>
  <si>
    <t>Bhuntar</t>
  </si>
  <si>
    <t>Kullu</t>
  </si>
  <si>
    <t>NRL, Mohali</t>
  </si>
  <si>
    <t>Bathinda</t>
  </si>
  <si>
    <t>Jalandhar</t>
  </si>
  <si>
    <t>Muktsar</t>
  </si>
  <si>
    <t>SHPL</t>
  </si>
  <si>
    <t>Channi Himmat</t>
  </si>
  <si>
    <t>REHARI</t>
  </si>
  <si>
    <t>Srinagar</t>
  </si>
  <si>
    <t>Faridabad</t>
  </si>
  <si>
    <t>Gaziabad</t>
  </si>
  <si>
    <t>Ludhiana</t>
  </si>
  <si>
    <t>Central Hospital - Jalandhar</t>
  </si>
  <si>
    <t>ARR FP Lab</t>
  </si>
  <si>
    <t>Admil FP Lab</t>
  </si>
  <si>
    <t>R.S. Pura FP Lab</t>
  </si>
  <si>
    <t>Dr.Kanika FP Lab</t>
  </si>
  <si>
    <t>Udhampur</t>
  </si>
  <si>
    <t>Kanpur</t>
  </si>
  <si>
    <t>Noheria</t>
  </si>
  <si>
    <t>Cardinova - Jalandhar</t>
  </si>
  <si>
    <t>Amritsar</t>
  </si>
  <si>
    <t>Non Operational</t>
  </si>
  <si>
    <t>Revenue</t>
  </si>
  <si>
    <t>FY 2024</t>
  </si>
  <si>
    <t>LAB</t>
  </si>
  <si>
    <t>RADIO</t>
  </si>
  <si>
    <t>TOTAL</t>
  </si>
  <si>
    <t>YTD</t>
  </si>
  <si>
    <t>FY 24</t>
  </si>
  <si>
    <t>Rehari</t>
  </si>
  <si>
    <t>HLM</t>
  </si>
  <si>
    <t>Kalyan Hospital Ludhiana/Cardiomax Jalandhar</t>
  </si>
  <si>
    <t>HLM Total</t>
  </si>
  <si>
    <t>FP Lab</t>
  </si>
  <si>
    <t>FP LAB TOTAL</t>
  </si>
  <si>
    <t>Fortis</t>
  </si>
  <si>
    <t>Trading</t>
  </si>
  <si>
    <t>Total Revenue</t>
  </si>
  <si>
    <t>Corporate</t>
  </si>
  <si>
    <t>YTD Jun23</t>
  </si>
  <si>
    <t>YTD Jun-24</t>
  </si>
  <si>
    <t>Growth Over LY</t>
  </si>
  <si>
    <t>Lab</t>
  </si>
  <si>
    <t>Radio</t>
  </si>
  <si>
    <t>Grand Total</t>
  </si>
  <si>
    <t>YTD Jun24</t>
  </si>
  <si>
    <t>Modality</t>
  </si>
  <si>
    <t>April</t>
  </si>
  <si>
    <t>May</t>
  </si>
  <si>
    <t>June</t>
  </si>
  <si>
    <t>FY-25</t>
  </si>
  <si>
    <t>FY-24</t>
  </si>
  <si>
    <t>Total Business</t>
  </si>
  <si>
    <t>Path</t>
  </si>
  <si>
    <t>Growth over LY</t>
  </si>
  <si>
    <t>Month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</si>
  <si>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</si>
  <si>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</si>
  <si>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</si>
  <si>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</si>
  <si>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</si>
  <si>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</si>
  <si>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</si>
  <si>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</si>
  <si>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</si>
  <si>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Growth over Bud</t>
  </si>
  <si>
    <t>FY 2025</t>
  </si>
  <si>
    <t>FY 2023</t>
  </si>
  <si>
    <t>Budget 25</t>
  </si>
  <si>
    <t>Q4</t>
  </si>
  <si>
    <t>Q3</t>
  </si>
  <si>
    <t>Q2</t>
  </si>
  <si>
    <t>Q1</t>
  </si>
  <si>
    <t>Alternative Reveue</t>
  </si>
  <si>
    <t>Total(Path+Radio)</t>
  </si>
  <si>
    <t>Tarantaran</t>
  </si>
  <si>
    <t>Q IV -FY 23</t>
  </si>
  <si>
    <t>2022-23</t>
  </si>
  <si>
    <t>2021-22</t>
  </si>
  <si>
    <t>Existing</t>
  </si>
  <si>
    <t>Pathology</t>
  </si>
  <si>
    <t>Revenue FY 23</t>
  </si>
  <si>
    <t>No of centers</t>
  </si>
  <si>
    <t>Integrated</t>
  </si>
  <si>
    <t>FY 23</t>
  </si>
  <si>
    <t>Bud 25</t>
  </si>
  <si>
    <t>YTD 25</t>
  </si>
  <si>
    <t>Small Centres</t>
  </si>
  <si>
    <t>YTD 24</t>
  </si>
  <si>
    <t>Gro over LY</t>
  </si>
  <si>
    <t>Gro over Bud</t>
  </si>
  <si>
    <t>Center Type</t>
  </si>
  <si>
    <t>YTD 23</t>
  </si>
  <si>
    <t>Both</t>
  </si>
  <si>
    <t>AMRITSAR RADIOLOGY</t>
  </si>
  <si>
    <t>HOME COLLECTION</t>
  </si>
  <si>
    <t>FY 25</t>
  </si>
  <si>
    <t>Central, Jalandar-HLM</t>
  </si>
  <si>
    <t>RS Pura</t>
  </si>
  <si>
    <t>Existing Business</t>
  </si>
  <si>
    <t>NEW Centres</t>
  </si>
  <si>
    <t>HLM-1</t>
  </si>
  <si>
    <t>HLM-2</t>
  </si>
  <si>
    <t>HLM-3</t>
  </si>
  <si>
    <t>HLM-4</t>
  </si>
  <si>
    <t>HLM-5</t>
  </si>
  <si>
    <t>HLM-6</t>
  </si>
  <si>
    <t>HLM-7</t>
  </si>
  <si>
    <t>HLM-8</t>
  </si>
  <si>
    <t>HLM-9</t>
  </si>
  <si>
    <t>HLM-10</t>
  </si>
  <si>
    <t>HLM-11</t>
  </si>
  <si>
    <t>HLM New</t>
  </si>
  <si>
    <t>Baramula</t>
  </si>
  <si>
    <t>FP Lab-5</t>
  </si>
  <si>
    <t>FP Lab-6</t>
  </si>
  <si>
    <t>FP Lab-7</t>
  </si>
  <si>
    <t>FP Lab-8</t>
  </si>
  <si>
    <t>FP Lab-9</t>
  </si>
  <si>
    <t>FP Lab -New</t>
  </si>
  <si>
    <t>New center</t>
  </si>
  <si>
    <t>New Center Total</t>
  </si>
  <si>
    <t>Total (Path+Radio)</t>
  </si>
  <si>
    <t>Tailwind</t>
  </si>
  <si>
    <t>CSS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</si>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</sst>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0.0%"/>
    <numFmt numFmtId="165" formatCode="_(* #,##0_);_(* \(#,##0\);_(* &quot;-&quot;??_);_(@_)"/>
    <numFmt numFmtId="166" formatCode="_ * #,##0_ ;_ * \-#,##0_ ;_ * &quot;-&quot;??_ ;_ @_ "/>
    <numFmt numFmtId="167" formatCode="_ * #,##0.0_ ;_ * \-#,##0.0_ ;_ * &quot;-&quot;??_ ;_ @_ "/>
    <numFmt numFmtId="168" formatCode="0.0"/>
    <numFmt numFmtId="169" formatCode="mmmm"/>
  </numFmts>
  <fonts count="3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48"/>
      <name val="Aptos Narrow"/>
      <family val="2"/>
      <scheme val="minor"/>
    </font>
    <font>
      <b/>
      <sz val="18"/>
      <color theme="1"/>
      <name val="Monotype Corsiva"/>
      <family val="4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color theme="1"/>
      <name val="Calibri"/>
      <family val="2"/>
    </font>
    <font>
      <sz val="16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sz val="12"/>
      <name val="Calibri"/>
      <family val="2"/>
    </font>
    <font>
      <b/>
      <sz val="16"/>
      <color theme="1"/>
      <name val="Calibri"/>
      <family val="2"/>
    </font>
    <font>
      <b/>
      <u/>
      <sz val="12"/>
      <color theme="10"/>
      <name val="Calibri"/>
      <family val="2"/>
    </font>
    <font>
      <b/>
      <sz val="12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name val="Aptos Narrow"/>
      <family val="2"/>
      <scheme val="minor"/>
    </font>
    <font>
      <b/>
      <sz val="48"/>
      <color rgb="FF000099"/>
      <name val="Monotype Corsiva"/>
      <family val="4"/>
    </font>
    <font>
      <b/>
      <sz val="36"/>
      <color rgb="FF000099"/>
      <name val="Monotype Corsiva"/>
      <family val="4"/>
    </font>
    <font>
      <b/>
      <sz val="28"/>
      <color theme="0"/>
      <name val="Monotype Corsiva"/>
      <family val="4"/>
    </font>
    <font>
      <b/>
      <sz val="16"/>
      <color theme="1"/>
      <name val="Aptos Narrow"/>
      <family val="2"/>
      <scheme val="minor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5"/>
      </left>
      <right/>
      <top style="thick">
        <color theme="5"/>
      </top>
      <bottom style="medium">
        <color theme="5"/>
      </bottom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 style="medium">
        <color theme="5"/>
      </top>
      <bottom/>
      <diagonal/>
    </border>
    <border>
      <left/>
      <right style="thick">
        <color theme="5"/>
      </right>
      <top style="medium">
        <color theme="5"/>
      </top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/>
      <right style="double">
        <color theme="5"/>
      </right>
      <top/>
      <bottom/>
      <diagonal/>
    </border>
    <border>
      <left/>
      <right style="double">
        <color theme="5"/>
      </right>
      <top style="medium">
        <color theme="5"/>
      </top>
      <bottom/>
      <diagonal/>
    </border>
    <border>
      <left/>
      <right style="double">
        <color theme="5"/>
      </right>
      <top/>
      <bottom style="thick">
        <color theme="5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medium">
        <color theme="5"/>
      </bottom>
      <diagonal/>
    </border>
    <border>
      <left style="thick">
        <color theme="5"/>
      </left>
      <right style="thick">
        <color theme="5"/>
      </right>
      <top/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thick">
        <color theme="5"/>
      </left>
      <right style="thick">
        <color theme="5"/>
      </right>
      <top style="medium">
        <color theme="5"/>
      </top>
      <bottom/>
      <diagonal/>
    </border>
    <border>
      <left style="thick">
        <color theme="5"/>
      </left>
      <right/>
      <top style="thick">
        <color theme="5"/>
      </top>
      <bottom style="thick">
        <color theme="5"/>
      </bottom>
      <diagonal/>
    </border>
    <border>
      <left style="thick">
        <color theme="5"/>
      </left>
      <right/>
      <top style="medium">
        <color theme="5"/>
      </top>
      <bottom style="thick">
        <color theme="5"/>
      </bottom>
      <diagonal/>
    </border>
    <border>
      <left style="thick">
        <color theme="5"/>
      </left>
      <right/>
      <top/>
      <bottom style="medium">
        <color theme="5"/>
      </bottom>
      <diagonal/>
    </border>
    <border>
      <left/>
      <right style="thick">
        <color theme="5"/>
      </right>
      <top/>
      <bottom style="medium">
        <color theme="5"/>
      </bottom>
      <diagonal/>
    </border>
    <border>
      <left/>
      <right style="double">
        <color theme="5"/>
      </right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/>
      <top style="medium">
        <color theme="5"/>
      </top>
      <bottom style="thick">
        <color theme="5"/>
      </bottom>
      <diagonal/>
    </border>
    <border>
      <left style="thick">
        <color theme="1" tint="4.9989318521683403E-2"/>
      </left>
      <right/>
      <top style="medium">
        <color theme="5"/>
      </top>
      <bottom style="thick">
        <color theme="5"/>
      </bottom>
      <diagonal/>
    </border>
    <border>
      <left style="thick">
        <color theme="1" tint="4.9989318521683403E-2"/>
      </left>
      <right/>
      <top style="medium">
        <color theme="5"/>
      </top>
      <bottom/>
      <diagonal/>
    </border>
    <border>
      <left/>
      <right/>
      <top style="thick">
        <color theme="5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 style="thick">
        <color theme="5"/>
      </bottom>
      <diagonal/>
    </border>
    <border>
      <left/>
      <right style="medium">
        <color indexed="64"/>
      </right>
      <top/>
      <bottom style="medium">
        <color theme="5"/>
      </bottom>
      <diagonal/>
    </border>
    <border>
      <left/>
      <right style="medium">
        <color indexed="64"/>
      </right>
      <top style="medium">
        <color theme="5"/>
      </top>
      <bottom/>
      <diagonal/>
    </border>
    <border>
      <left/>
      <right style="medium">
        <color indexed="64"/>
      </right>
      <top/>
      <bottom style="thick">
        <color theme="5"/>
      </bottom>
      <diagonal/>
    </border>
    <border>
      <left style="thick">
        <color theme="5"/>
      </left>
      <right style="medium">
        <color indexed="64"/>
      </right>
      <top style="thick">
        <color theme="5"/>
      </top>
      <bottom style="medium">
        <color theme="5"/>
      </bottom>
      <diagonal/>
    </border>
    <border>
      <left style="thick">
        <color theme="5"/>
      </left>
      <right style="medium">
        <color indexed="64"/>
      </right>
      <top/>
      <bottom/>
      <diagonal/>
    </border>
    <border>
      <left style="thick">
        <color theme="5"/>
      </left>
      <right style="medium">
        <color indexed="64"/>
      </right>
      <top/>
      <bottom style="thick">
        <color theme="5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03">
    <xf numFmtId="0" fontId="0" fillId="0" borderId="0" xfId="0"/>
    <xf numFmtId="0" fontId="2" fillId="0" borderId="0" xfId="0" applyFont="1"/>
    <xf numFmtId="43" fontId="0" fillId="0" borderId="0" xfId="1" applyFont="1" applyAlignment="1">
      <alignment horizontal="center"/>
    </xf>
    <xf numFmtId="43" fontId="4" fillId="0" borderId="0" xfId="1" applyFont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5" xfId="0" applyBorder="1"/>
    <xf numFmtId="0" fontId="4" fillId="0" borderId="5" xfId="0" applyFont="1" applyBorder="1"/>
    <xf numFmtId="17" fontId="7" fillId="5" borderId="17" xfId="1" applyNumberFormat="1" applyFont="1" applyFill="1" applyBorder="1"/>
    <xf numFmtId="17" fontId="7" fillId="5" borderId="18" xfId="1" applyNumberFormat="1" applyFont="1" applyFill="1" applyBorder="1"/>
    <xf numFmtId="17" fontId="7" fillId="5" borderId="19" xfId="1" applyNumberFormat="1" applyFont="1" applyFill="1" applyBorder="1"/>
    <xf numFmtId="17" fontId="7" fillId="5" borderId="20" xfId="1" applyNumberFormat="1" applyFont="1" applyFill="1" applyBorder="1"/>
    <xf numFmtId="17" fontId="0" fillId="0" borderId="0" xfId="0" applyNumberFormat="1"/>
    <xf numFmtId="0" fontId="8" fillId="0" borderId="0" xfId="0" applyFont="1"/>
    <xf numFmtId="43" fontId="8" fillId="0" borderId="21" xfId="1" applyFont="1" applyBorder="1" applyAlignment="1">
      <alignment horizontal="center"/>
    </xf>
    <xf numFmtId="43" fontId="8" fillId="0" borderId="22" xfId="1" applyFont="1" applyBorder="1" applyAlignment="1">
      <alignment horizontal="center"/>
    </xf>
    <xf numFmtId="43" fontId="7" fillId="0" borderId="23" xfId="1" applyFont="1" applyBorder="1" applyAlignment="1">
      <alignment horizontal="center"/>
    </xf>
    <xf numFmtId="43" fontId="7" fillId="0" borderId="1" xfId="1" applyFont="1" applyBorder="1" applyAlignment="1">
      <alignment horizontal="center"/>
    </xf>
    <xf numFmtId="43" fontId="8" fillId="0" borderId="24" xfId="1" applyFont="1" applyBorder="1" applyAlignment="1">
      <alignment horizontal="center"/>
    </xf>
    <xf numFmtId="43" fontId="8" fillId="0" borderId="25" xfId="1" applyFont="1" applyBorder="1" applyAlignment="1">
      <alignment horizontal="center"/>
    </xf>
    <xf numFmtId="43" fontId="7" fillId="0" borderId="8" xfId="1" applyFont="1" applyBorder="1" applyAlignment="1">
      <alignment horizontal="center"/>
    </xf>
    <xf numFmtId="43" fontId="7" fillId="0" borderId="5" xfId="1" applyFont="1" applyBorder="1" applyAlignment="1">
      <alignment horizontal="center"/>
    </xf>
    <xf numFmtId="0" fontId="9" fillId="0" borderId="0" xfId="0" applyFont="1"/>
    <xf numFmtId="0" fontId="10" fillId="6" borderId="14" xfId="0" applyFont="1" applyFill="1" applyBorder="1"/>
    <xf numFmtId="43" fontId="10" fillId="6" borderId="26" xfId="1" applyFont="1" applyFill="1" applyBorder="1" applyAlignment="1">
      <alignment horizontal="center"/>
    </xf>
    <xf numFmtId="43" fontId="10" fillId="6" borderId="27" xfId="1" applyFont="1" applyFill="1" applyBorder="1" applyAlignment="1">
      <alignment horizontal="center"/>
    </xf>
    <xf numFmtId="43" fontId="10" fillId="6" borderId="28" xfId="1" applyFont="1" applyFill="1" applyBorder="1" applyAlignment="1">
      <alignment horizontal="center"/>
    </xf>
    <xf numFmtId="43" fontId="10" fillId="6" borderId="29" xfId="1" applyFont="1" applyFill="1" applyBorder="1" applyAlignment="1">
      <alignment horizontal="center"/>
    </xf>
    <xf numFmtId="0" fontId="7" fillId="0" borderId="0" xfId="0" applyFont="1"/>
    <xf numFmtId="43" fontId="8" fillId="0" borderId="8" xfId="1" applyFont="1" applyBorder="1" applyAlignment="1">
      <alignment horizontal="center"/>
    </xf>
    <xf numFmtId="43" fontId="8" fillId="0" borderId="5" xfId="1" applyFont="1" applyBorder="1" applyAlignment="1">
      <alignment horizontal="center"/>
    </xf>
    <xf numFmtId="0" fontId="8" fillId="0" borderId="6" xfId="0" applyFont="1" applyBorder="1"/>
    <xf numFmtId="43" fontId="8" fillId="0" borderId="30" xfId="1" applyFont="1" applyBorder="1" applyAlignment="1">
      <alignment horizontal="center"/>
    </xf>
    <xf numFmtId="43" fontId="8" fillId="0" borderId="31" xfId="1" applyFont="1" applyBorder="1" applyAlignment="1">
      <alignment horizontal="center"/>
    </xf>
    <xf numFmtId="43" fontId="8" fillId="0" borderId="32" xfId="1" applyFont="1" applyBorder="1" applyAlignment="1">
      <alignment horizontal="center"/>
    </xf>
    <xf numFmtId="43" fontId="8" fillId="0" borderId="10" xfId="1" applyFont="1" applyBorder="1" applyAlignment="1">
      <alignment horizontal="center"/>
    </xf>
    <xf numFmtId="43" fontId="7" fillId="0" borderId="10" xfId="1" applyFont="1" applyBorder="1" applyAlignment="1">
      <alignment horizontal="center"/>
    </xf>
    <xf numFmtId="0" fontId="11" fillId="0" borderId="0" xfId="0" applyFont="1"/>
    <xf numFmtId="0" fontId="14" fillId="3" borderId="5" xfId="0" applyFont="1" applyFill="1" applyBorder="1" applyAlignment="1">
      <alignment vertical="center"/>
    </xf>
    <xf numFmtId="0" fontId="14" fillId="3" borderId="0" xfId="0" applyFont="1" applyFill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43" fontId="11" fillId="0" borderId="5" xfId="0" applyNumberFormat="1" applyFont="1" applyBorder="1" applyAlignment="1">
      <alignment vertical="center"/>
    </xf>
    <xf numFmtId="43" fontId="11" fillId="0" borderId="0" xfId="0" applyNumberFormat="1" applyFont="1"/>
    <xf numFmtId="43" fontId="14" fillId="3" borderId="5" xfId="0" applyNumberFormat="1" applyFont="1" applyFill="1" applyBorder="1" applyAlignment="1">
      <alignment vertical="center"/>
    </xf>
    <xf numFmtId="43" fontId="15" fillId="2" borderId="5" xfId="0" applyNumberFormat="1" applyFont="1" applyFill="1" applyBorder="1" applyAlignment="1">
      <alignment vertical="center"/>
    </xf>
    <xf numFmtId="43" fontId="16" fillId="2" borderId="5" xfId="0" applyNumberFormat="1" applyFont="1" applyFill="1" applyBorder="1" applyAlignment="1">
      <alignment vertical="center"/>
    </xf>
    <xf numFmtId="43" fontId="14" fillId="3" borderId="10" xfId="0" applyNumberFormat="1" applyFont="1" applyFill="1" applyBorder="1" applyAlignment="1">
      <alignment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1" fillId="0" borderId="6" xfId="0" applyFont="1" applyBorder="1"/>
    <xf numFmtId="0" fontId="11" fillId="0" borderId="9" xfId="0" applyFont="1" applyBorder="1"/>
    <xf numFmtId="43" fontId="11" fillId="0" borderId="6" xfId="0" applyNumberFormat="1" applyFont="1" applyBorder="1"/>
    <xf numFmtId="43" fontId="11" fillId="0" borderId="9" xfId="0" applyNumberFormat="1" applyFont="1" applyBorder="1"/>
    <xf numFmtId="43" fontId="11" fillId="0" borderId="0" xfId="1" applyFont="1"/>
    <xf numFmtId="43" fontId="11" fillId="0" borderId="5" xfId="1" applyFont="1" applyBorder="1"/>
    <xf numFmtId="43" fontId="11" fillId="0" borderId="5" xfId="1" applyFont="1" applyBorder="1" applyAlignment="1">
      <alignment horizontal="left"/>
    </xf>
    <xf numFmtId="43" fontId="14" fillId="3" borderId="5" xfId="0" applyNumberFormat="1" applyFont="1" applyFill="1" applyBorder="1" applyAlignment="1">
      <alignment horizontal="left" vertical="center"/>
    </xf>
    <xf numFmtId="43" fontId="14" fillId="3" borderId="10" xfId="0" applyNumberFormat="1" applyFont="1" applyFill="1" applyBorder="1" applyAlignment="1">
      <alignment horizontal="left" vertical="center"/>
    </xf>
    <xf numFmtId="43" fontId="11" fillId="0" borderId="0" xfId="1" applyFont="1" applyAlignment="1">
      <alignment horizontal="left"/>
    </xf>
    <xf numFmtId="0" fontId="11" fillId="0" borderId="3" xfId="0" applyFont="1" applyBorder="1"/>
    <xf numFmtId="0" fontId="14" fillId="3" borderId="4" xfId="0" applyFont="1" applyFill="1" applyBorder="1" applyAlignment="1">
      <alignment vertical="center"/>
    </xf>
    <xf numFmtId="0" fontId="14" fillId="3" borderId="33" xfId="0" applyFont="1" applyFill="1" applyBorder="1" applyAlignment="1">
      <alignment horizontal="center" vertical="center"/>
    </xf>
    <xf numFmtId="43" fontId="12" fillId="0" borderId="0" xfId="0" applyNumberFormat="1" applyFont="1"/>
    <xf numFmtId="17" fontId="18" fillId="2" borderId="1" xfId="3" applyNumberFormat="1" applyFont="1" applyFill="1" applyBorder="1" applyAlignment="1">
      <alignment horizontal="center"/>
    </xf>
    <xf numFmtId="0" fontId="13" fillId="2" borderId="2" xfId="0" applyFont="1" applyFill="1" applyBorder="1"/>
    <xf numFmtId="0" fontId="13" fillId="2" borderId="3" xfId="0" applyFont="1" applyFill="1" applyBorder="1"/>
    <xf numFmtId="0" fontId="13" fillId="2" borderId="4" xfId="0" applyFont="1" applyFill="1" applyBorder="1"/>
    <xf numFmtId="0" fontId="15" fillId="3" borderId="5" xfId="0" applyFont="1" applyFill="1" applyBorder="1"/>
    <xf numFmtId="0" fontId="15" fillId="3" borderId="6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43" fontId="11" fillId="0" borderId="5" xfId="0" applyNumberFormat="1" applyFont="1" applyBorder="1"/>
    <xf numFmtId="43" fontId="11" fillId="4" borderId="9" xfId="0" applyNumberFormat="1" applyFont="1" applyFill="1" applyBorder="1"/>
    <xf numFmtId="43" fontId="15" fillId="3" borderId="5" xfId="0" applyNumberFormat="1" applyFont="1" applyFill="1" applyBorder="1"/>
    <xf numFmtId="43" fontId="15" fillId="3" borderId="6" xfId="0" applyNumberFormat="1" applyFont="1" applyFill="1" applyBorder="1"/>
    <xf numFmtId="43" fontId="15" fillId="3" borderId="0" xfId="0" applyNumberFormat="1" applyFont="1" applyFill="1"/>
    <xf numFmtId="43" fontId="15" fillId="3" borderId="9" xfId="0" applyNumberFormat="1" applyFont="1" applyFill="1" applyBorder="1"/>
    <xf numFmtId="43" fontId="15" fillId="2" borderId="5" xfId="0" applyNumberFormat="1" applyFont="1" applyFill="1" applyBorder="1"/>
    <xf numFmtId="43" fontId="15" fillId="2" borderId="6" xfId="0" applyNumberFormat="1" applyFont="1" applyFill="1" applyBorder="1"/>
    <xf numFmtId="43" fontId="15" fillId="2" borderId="0" xfId="0" applyNumberFormat="1" applyFont="1" applyFill="1"/>
    <xf numFmtId="43" fontId="15" fillId="2" borderId="9" xfId="0" applyNumberFormat="1" applyFont="1" applyFill="1" applyBorder="1"/>
    <xf numFmtId="2" fontId="11" fillId="0" borderId="0" xfId="0" applyNumberFormat="1" applyFont="1"/>
    <xf numFmtId="43" fontId="15" fillId="3" borderId="10" xfId="0" applyNumberFormat="1" applyFont="1" applyFill="1" applyBorder="1"/>
    <xf numFmtId="43" fontId="15" fillId="3" borderId="11" xfId="0" applyNumberFormat="1" applyFont="1" applyFill="1" applyBorder="1"/>
    <xf numFmtId="43" fontId="15" fillId="3" borderId="12" xfId="0" applyNumberFormat="1" applyFont="1" applyFill="1" applyBorder="1"/>
    <xf numFmtId="43" fontId="15" fillId="3" borderId="13" xfId="0" applyNumberFormat="1" applyFont="1" applyFill="1" applyBorder="1"/>
    <xf numFmtId="0" fontId="19" fillId="2" borderId="1" xfId="0" applyFont="1" applyFill="1" applyBorder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9" xfId="0" applyFont="1" applyFill="1" applyBorder="1" applyAlignment="1">
      <alignment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1" fillId="7" borderId="0" xfId="0" applyFont="1" applyFill="1" applyAlignment="1">
      <alignment vertical="center"/>
    </xf>
    <xf numFmtId="0" fontId="11" fillId="7" borderId="9" xfId="0" applyFont="1" applyFill="1" applyBorder="1" applyAlignment="1">
      <alignment vertical="center"/>
    </xf>
    <xf numFmtId="43" fontId="11" fillId="0" borderId="6" xfId="0" applyNumberFormat="1" applyFont="1" applyBorder="1" applyAlignment="1">
      <alignment vertical="center"/>
    </xf>
    <xf numFmtId="43" fontId="11" fillId="0" borderId="0" xfId="0" applyNumberFormat="1" applyFont="1" applyAlignment="1">
      <alignment vertical="center"/>
    </xf>
    <xf numFmtId="43" fontId="11" fillId="0" borderId="9" xfId="0" applyNumberFormat="1" applyFont="1" applyBorder="1" applyAlignment="1">
      <alignment vertical="center"/>
    </xf>
    <xf numFmtId="164" fontId="11" fillId="0" borderId="9" xfId="2" applyNumberFormat="1" applyFont="1" applyBorder="1" applyAlignment="1">
      <alignment vertical="center"/>
    </xf>
    <xf numFmtId="43" fontId="11" fillId="7" borderId="0" xfId="0" applyNumberFormat="1" applyFont="1" applyFill="1" applyAlignment="1">
      <alignment vertical="center"/>
    </xf>
    <xf numFmtId="43" fontId="14" fillId="3" borderId="6" xfId="0" applyNumberFormat="1" applyFont="1" applyFill="1" applyBorder="1" applyAlignment="1">
      <alignment vertical="center"/>
    </xf>
    <xf numFmtId="43" fontId="14" fillId="3" borderId="0" xfId="0" applyNumberFormat="1" applyFont="1" applyFill="1" applyAlignment="1">
      <alignment vertical="center"/>
    </xf>
    <xf numFmtId="164" fontId="14" fillId="3" borderId="9" xfId="2" applyNumberFormat="1" applyFont="1" applyFill="1" applyBorder="1" applyAlignment="1">
      <alignment vertical="center"/>
    </xf>
    <xf numFmtId="164" fontId="14" fillId="3" borderId="0" xfId="2" applyNumberFormat="1" applyFont="1" applyFill="1" applyAlignment="1">
      <alignment vertical="center"/>
    </xf>
    <xf numFmtId="10" fontId="14" fillId="3" borderId="6" xfId="2" applyNumberFormat="1" applyFont="1" applyFill="1" applyBorder="1" applyAlignment="1">
      <alignment vertical="center"/>
    </xf>
    <xf numFmtId="164" fontId="14" fillId="3" borderId="6" xfId="2" applyNumberFormat="1" applyFont="1" applyFill="1" applyBorder="1" applyAlignment="1">
      <alignment vertical="center"/>
    </xf>
    <xf numFmtId="164" fontId="14" fillId="3" borderId="6" xfId="0" applyNumberFormat="1" applyFont="1" applyFill="1" applyBorder="1" applyAlignment="1">
      <alignment vertical="center"/>
    </xf>
    <xf numFmtId="9" fontId="11" fillId="0" borderId="9" xfId="0" applyNumberFormat="1" applyFont="1" applyBorder="1" applyAlignment="1">
      <alignment vertical="center"/>
    </xf>
    <xf numFmtId="10" fontId="11" fillId="0" borderId="9" xfId="2" applyNumberFormat="1" applyFont="1" applyBorder="1" applyAlignment="1">
      <alignment vertical="center"/>
    </xf>
    <xf numFmtId="9" fontId="14" fillId="3" borderId="6" xfId="2" applyFont="1" applyFill="1" applyBorder="1" applyAlignment="1">
      <alignment vertical="center"/>
    </xf>
    <xf numFmtId="9" fontId="14" fillId="3" borderId="9" xfId="2" applyFont="1" applyFill="1" applyBorder="1" applyAlignment="1">
      <alignment vertical="center"/>
    </xf>
    <xf numFmtId="10" fontId="14" fillId="3" borderId="9" xfId="2" applyNumberFormat="1" applyFont="1" applyFill="1" applyBorder="1" applyAlignment="1">
      <alignment vertical="center"/>
    </xf>
    <xf numFmtId="10" fontId="14" fillId="3" borderId="0" xfId="2" applyNumberFormat="1" applyFont="1" applyFill="1" applyAlignment="1">
      <alignment vertical="center"/>
    </xf>
    <xf numFmtId="43" fontId="15" fillId="2" borderId="6" xfId="0" applyNumberFormat="1" applyFont="1" applyFill="1" applyBorder="1" applyAlignment="1">
      <alignment vertical="center"/>
    </xf>
    <xf numFmtId="43" fontId="15" fillId="2" borderId="0" xfId="0" applyNumberFormat="1" applyFont="1" applyFill="1" applyAlignment="1">
      <alignment vertical="center"/>
    </xf>
    <xf numFmtId="43" fontId="15" fillId="2" borderId="9" xfId="0" applyNumberFormat="1" applyFont="1" applyFill="1" applyBorder="1" applyAlignment="1">
      <alignment vertical="center"/>
    </xf>
    <xf numFmtId="10" fontId="15" fillId="2" borderId="0" xfId="0" applyNumberFormat="1" applyFont="1" applyFill="1" applyAlignment="1">
      <alignment vertical="center"/>
    </xf>
    <xf numFmtId="10" fontId="15" fillId="2" borderId="9" xfId="0" applyNumberFormat="1" applyFont="1" applyFill="1" applyBorder="1" applyAlignment="1">
      <alignment vertical="center"/>
    </xf>
    <xf numFmtId="9" fontId="11" fillId="0" borderId="9" xfId="2" applyFont="1" applyBorder="1" applyAlignment="1">
      <alignment vertical="center"/>
    </xf>
    <xf numFmtId="10" fontId="11" fillId="0" borderId="0" xfId="0" applyNumberFormat="1" applyFont="1" applyAlignment="1">
      <alignment vertical="center"/>
    </xf>
    <xf numFmtId="10" fontId="11" fillId="0" borderId="9" xfId="0" applyNumberFormat="1" applyFont="1" applyBorder="1" applyAlignment="1">
      <alignment vertical="center"/>
    </xf>
    <xf numFmtId="43" fontId="14" fillId="3" borderId="11" xfId="0" applyNumberFormat="1" applyFont="1" applyFill="1" applyBorder="1" applyAlignment="1">
      <alignment vertical="center"/>
    </xf>
    <xf numFmtId="43" fontId="14" fillId="3" borderId="12" xfId="0" applyNumberFormat="1" applyFont="1" applyFill="1" applyBorder="1" applyAlignment="1">
      <alignment vertical="center"/>
    </xf>
    <xf numFmtId="10" fontId="14" fillId="3" borderId="13" xfId="2" applyNumberFormat="1" applyFont="1" applyFill="1" applyBorder="1" applyAlignment="1">
      <alignment vertical="center"/>
    </xf>
    <xf numFmtId="10" fontId="14" fillId="3" borderId="12" xfId="2" applyNumberFormat="1" applyFont="1" applyFill="1" applyBorder="1" applyAlignment="1">
      <alignment vertical="center"/>
    </xf>
    <xf numFmtId="9" fontId="14" fillId="3" borderId="8" xfId="0" applyNumberFormat="1" applyFont="1" applyFill="1" applyBorder="1" applyAlignment="1">
      <alignment horizontal="center" vertical="center"/>
    </xf>
    <xf numFmtId="9" fontId="14" fillId="3" borderId="7" xfId="0" applyNumberFormat="1" applyFont="1" applyFill="1" applyBorder="1" applyAlignment="1">
      <alignment horizontal="center" vertical="center"/>
    </xf>
    <xf numFmtId="9" fontId="11" fillId="0" borderId="0" xfId="0" applyNumberFormat="1" applyFont="1" applyAlignment="1">
      <alignment vertical="center"/>
    </xf>
    <xf numFmtId="43" fontId="11" fillId="0" borderId="6" xfId="1" applyFont="1" applyBorder="1" applyAlignment="1">
      <alignment vertical="center"/>
    </xf>
    <xf numFmtId="9" fontId="14" fillId="3" borderId="0" xfId="2" applyFont="1" applyFill="1" applyAlignment="1">
      <alignment vertical="center"/>
    </xf>
    <xf numFmtId="9" fontId="14" fillId="3" borderId="6" xfId="0" applyNumberFormat="1" applyFont="1" applyFill="1" applyBorder="1" applyAlignment="1">
      <alignment vertical="center"/>
    </xf>
    <xf numFmtId="9" fontId="15" fillId="2" borderId="9" xfId="0" applyNumberFormat="1" applyFont="1" applyFill="1" applyBorder="1" applyAlignment="1">
      <alignment vertical="center"/>
    </xf>
    <xf numFmtId="9" fontId="15" fillId="2" borderId="0" xfId="0" applyNumberFormat="1" applyFont="1" applyFill="1" applyAlignment="1">
      <alignment vertical="center"/>
    </xf>
    <xf numFmtId="9" fontId="14" fillId="3" borderId="9" xfId="0" applyNumberFormat="1" applyFont="1" applyFill="1" applyBorder="1" applyAlignment="1">
      <alignment vertical="center"/>
    </xf>
    <xf numFmtId="165" fontId="11" fillId="0" borderId="5" xfId="1" applyNumberFormat="1" applyFont="1" applyBorder="1" applyAlignment="1">
      <alignment vertical="center"/>
    </xf>
    <xf numFmtId="9" fontId="14" fillId="3" borderId="13" xfId="2" applyFont="1" applyFill="1" applyBorder="1" applyAlignment="1">
      <alignment vertical="center"/>
    </xf>
    <xf numFmtId="9" fontId="14" fillId="3" borderId="12" xfId="2" applyFont="1" applyFill="1" applyBorder="1" applyAlignment="1">
      <alignment vertical="center"/>
    </xf>
    <xf numFmtId="0" fontId="17" fillId="0" borderId="0" xfId="0" applyFont="1"/>
    <xf numFmtId="0" fontId="12" fillId="0" borderId="0" xfId="0" applyFont="1"/>
    <xf numFmtId="9" fontId="11" fillId="0" borderId="0" xfId="2" applyFont="1" applyBorder="1" applyAlignment="1">
      <alignment vertical="center"/>
    </xf>
    <xf numFmtId="0" fontId="13" fillId="2" borderId="2" xfId="0" applyFont="1" applyFill="1" applyBorder="1" applyAlignment="1">
      <alignment horizontal="centerContinuous" vertical="center"/>
    </xf>
    <xf numFmtId="0" fontId="13" fillId="2" borderId="3" xfId="0" applyFont="1" applyFill="1" applyBorder="1" applyAlignment="1">
      <alignment horizontal="centerContinuous" vertical="center"/>
    </xf>
    <xf numFmtId="0" fontId="13" fillId="2" borderId="4" xfId="0" applyFont="1" applyFill="1" applyBorder="1" applyAlignment="1">
      <alignment horizontal="centerContinuous" vertical="center"/>
    </xf>
    <xf numFmtId="0" fontId="20" fillId="0" borderId="0" xfId="0" applyFont="1"/>
    <xf numFmtId="43" fontId="22" fillId="0" borderId="0" xfId="1" applyFont="1"/>
    <xf numFmtId="0" fontId="22" fillId="0" borderId="0" xfId="0" applyFont="1"/>
    <xf numFmtId="43" fontId="22" fillId="0" borderId="0" xfId="0" applyNumberFormat="1" applyFont="1"/>
    <xf numFmtId="0" fontId="20" fillId="0" borderId="34" xfId="0" applyFont="1" applyBorder="1"/>
    <xf numFmtId="0" fontId="21" fillId="0" borderId="34" xfId="0" applyFont="1" applyBorder="1"/>
    <xf numFmtId="0" fontId="17" fillId="0" borderId="34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43" fontId="6" fillId="5" borderId="0" xfId="1" applyFont="1" applyFill="1" applyBorder="1" applyAlignment="1">
      <alignment horizontal="center"/>
    </xf>
    <xf numFmtId="17" fontId="7" fillId="5" borderId="0" xfId="1" applyNumberFormat="1" applyFont="1" applyFill="1" applyBorder="1"/>
    <xf numFmtId="43" fontId="7" fillId="0" borderId="0" xfId="1" applyFont="1" applyBorder="1" applyAlignment="1">
      <alignment horizontal="center"/>
    </xf>
    <xf numFmtId="43" fontId="10" fillId="6" borderId="0" xfId="1" applyFont="1" applyFill="1" applyBorder="1" applyAlignment="1">
      <alignment horizontal="center"/>
    </xf>
    <xf numFmtId="43" fontId="8" fillId="0" borderId="0" xfId="1" applyFont="1" applyBorder="1" applyAlignment="1">
      <alignment horizontal="center"/>
    </xf>
    <xf numFmtId="10" fontId="11" fillId="0" borderId="0" xfId="2" applyNumberFormat="1" applyFont="1" applyBorder="1" applyAlignment="1">
      <alignment vertical="center"/>
    </xf>
    <xf numFmtId="43" fontId="20" fillId="0" borderId="34" xfId="1" applyFont="1" applyBorder="1"/>
    <xf numFmtId="43" fontId="21" fillId="0" borderId="34" xfId="1" applyFont="1" applyBorder="1"/>
    <xf numFmtId="43" fontId="20" fillId="0" borderId="0" xfId="1" applyFont="1"/>
    <xf numFmtId="43" fontId="12" fillId="0" borderId="0" xfId="1" applyFont="1"/>
    <xf numFmtId="0" fontId="0" fillId="2" borderId="0" xfId="0" applyFill="1"/>
    <xf numFmtId="0" fontId="10" fillId="9" borderId="35" xfId="0" applyFont="1" applyFill="1" applyBorder="1"/>
    <xf numFmtId="0" fontId="10" fillId="5" borderId="36" xfId="0" applyFont="1" applyFill="1" applyBorder="1"/>
    <xf numFmtId="43" fontId="10" fillId="5" borderId="37" xfId="0" applyNumberFormat="1" applyFont="1" applyFill="1" applyBorder="1" applyAlignment="1">
      <alignment vertical="center"/>
    </xf>
    <xf numFmtId="43" fontId="10" fillId="6" borderId="38" xfId="1" applyFont="1" applyFill="1" applyBorder="1"/>
    <xf numFmtId="164" fontId="10" fillId="6" borderId="39" xfId="2" applyNumberFormat="1" applyFont="1" applyFill="1" applyBorder="1" applyAlignment="1"/>
    <xf numFmtId="43" fontId="10" fillId="6" borderId="40" xfId="1" applyFont="1" applyFill="1" applyBorder="1"/>
    <xf numFmtId="164" fontId="10" fillId="6" borderId="41" xfId="2" applyNumberFormat="1" applyFont="1" applyFill="1" applyBorder="1" applyAlignment="1"/>
    <xf numFmtId="0" fontId="0" fillId="8" borderId="0" xfId="0" applyFill="1"/>
    <xf numFmtId="43" fontId="10" fillId="5" borderId="42" xfId="0" applyNumberFormat="1" applyFont="1" applyFill="1" applyBorder="1" applyAlignment="1">
      <alignment vertical="center"/>
    </xf>
    <xf numFmtId="164" fontId="10" fillId="6" borderId="43" xfId="2" applyNumberFormat="1" applyFont="1" applyFill="1" applyBorder="1" applyAlignment="1"/>
    <xf numFmtId="164" fontId="10" fillId="6" borderId="44" xfId="2" applyNumberFormat="1" applyFont="1" applyFill="1" applyBorder="1" applyAlignment="1"/>
    <xf numFmtId="0" fontId="10" fillId="5" borderId="40" xfId="0" applyFont="1" applyFill="1" applyBorder="1"/>
    <xf numFmtId="0" fontId="10" fillId="9" borderId="35" xfId="0" applyFont="1" applyFill="1" applyBorder="1" applyAlignment="1">
      <alignment horizontal="center"/>
    </xf>
    <xf numFmtId="0" fontId="22" fillId="2" borderId="0" xfId="0" applyFont="1" applyFill="1"/>
    <xf numFmtId="43" fontId="0" fillId="0" borderId="0" xfId="1" applyFont="1"/>
    <xf numFmtId="0" fontId="0" fillId="0" borderId="0" xfId="0" applyAlignment="1">
      <alignment horizontal="center"/>
    </xf>
    <xf numFmtId="166" fontId="24" fillId="3" borderId="0" xfId="0" applyNumberFormat="1" applyFont="1" applyFill="1"/>
    <xf numFmtId="166" fontId="0" fillId="0" borderId="0" xfId="1" applyNumberFormat="1" applyFont="1"/>
    <xf numFmtId="43" fontId="0" fillId="0" borderId="0" xfId="0" applyNumberFormat="1"/>
    <xf numFmtId="43" fontId="0" fillId="0" borderId="9" xfId="1" applyFont="1" applyBorder="1"/>
    <xf numFmtId="43" fontId="0" fillId="0" borderId="0" xfId="1" applyFont="1" applyBorder="1"/>
    <xf numFmtId="43" fontId="0" fillId="0" borderId="6" xfId="1" applyFont="1" applyBorder="1"/>
    <xf numFmtId="166" fontId="0" fillId="0" borderId="0" xfId="0" applyNumberFormat="1"/>
    <xf numFmtId="43" fontId="24" fillId="3" borderId="9" xfId="1" applyFont="1" applyFill="1" applyBorder="1"/>
    <xf numFmtId="43" fontId="24" fillId="3" borderId="0" xfId="1" applyFont="1" applyFill="1" applyBorder="1"/>
    <xf numFmtId="43" fontId="24" fillId="3" borderId="6" xfId="1" applyFont="1" applyFill="1" applyBorder="1"/>
    <xf numFmtId="166" fontId="0" fillId="0" borderId="47" xfId="0" applyNumberFormat="1" applyBorder="1"/>
    <xf numFmtId="43" fontId="24" fillId="3" borderId="4" xfId="1" applyFont="1" applyFill="1" applyBorder="1"/>
    <xf numFmtId="43" fontId="24" fillId="3" borderId="3" xfId="1" applyFont="1" applyFill="1" applyBorder="1"/>
    <xf numFmtId="43" fontId="24" fillId="3" borderId="2" xfId="1" applyFont="1" applyFill="1" applyBorder="1"/>
    <xf numFmtId="0" fontId="4" fillId="0" borderId="0" xfId="0" applyFont="1"/>
    <xf numFmtId="166" fontId="24" fillId="3" borderId="13" xfId="0" applyNumberFormat="1" applyFont="1" applyFill="1" applyBorder="1"/>
    <xf numFmtId="166" fontId="24" fillId="3" borderId="12" xfId="0" applyNumberFormat="1" applyFont="1" applyFill="1" applyBorder="1"/>
    <xf numFmtId="166" fontId="24" fillId="3" borderId="11" xfId="0" applyNumberFormat="1" applyFont="1" applyFill="1" applyBorder="1"/>
    <xf numFmtId="166" fontId="0" fillId="0" borderId="47" xfId="1" applyNumberFormat="1" applyFont="1" applyBorder="1"/>
    <xf numFmtId="0" fontId="0" fillId="0" borderId="47" xfId="1" applyNumberFormat="1" applyFont="1" applyBorder="1"/>
    <xf numFmtId="166" fontId="24" fillId="3" borderId="9" xfId="0" applyNumberFormat="1" applyFont="1" applyFill="1" applyBorder="1"/>
    <xf numFmtId="166" fontId="24" fillId="3" borderId="6" xfId="0" applyNumberFormat="1" applyFont="1" applyFill="1" applyBorder="1"/>
    <xf numFmtId="165" fontId="0" fillId="0" borderId="0" xfId="0" applyNumberFormat="1"/>
    <xf numFmtId="17" fontId="4" fillId="0" borderId="0" xfId="0" applyNumberFormat="1" applyFont="1" applyAlignment="1">
      <alignment horizontal="center"/>
    </xf>
    <xf numFmtId="17" fontId="23" fillId="3" borderId="0" xfId="0" applyNumberFormat="1" applyFont="1" applyFill="1"/>
    <xf numFmtId="0" fontId="23" fillId="3" borderId="0" xfId="0" applyFont="1" applyFill="1"/>
    <xf numFmtId="0" fontId="4" fillId="0" borderId="0" xfId="0" applyFont="1" applyAlignment="1">
      <alignment horizontal="center"/>
    </xf>
    <xf numFmtId="43" fontId="10" fillId="5" borderId="36" xfId="1" applyFont="1" applyFill="1" applyBorder="1" applyAlignment="1">
      <alignment horizontal="center"/>
    </xf>
    <xf numFmtId="43" fontId="10" fillId="6" borderId="48" xfId="1" applyFont="1" applyFill="1" applyBorder="1"/>
    <xf numFmtId="0" fontId="10" fillId="9" borderId="49" xfId="0" applyFont="1" applyFill="1" applyBorder="1"/>
    <xf numFmtId="43" fontId="10" fillId="6" borderId="50" xfId="1" applyFont="1" applyFill="1" applyBorder="1"/>
    <xf numFmtId="0" fontId="0" fillId="10" borderId="0" xfId="0" applyFill="1"/>
    <xf numFmtId="0" fontId="10" fillId="9" borderId="51" xfId="0" applyFont="1" applyFill="1" applyBorder="1"/>
    <xf numFmtId="0" fontId="10" fillId="9" borderId="52" xfId="0" applyFont="1" applyFill="1" applyBorder="1"/>
    <xf numFmtId="0" fontId="10" fillId="9" borderId="53" xfId="0" applyFont="1" applyFill="1" applyBorder="1"/>
    <xf numFmtId="0" fontId="10" fillId="9" borderId="54" xfId="0" applyFont="1" applyFill="1" applyBorder="1"/>
    <xf numFmtId="43" fontId="10" fillId="6" borderId="38" xfId="1" applyFont="1" applyFill="1" applyBorder="1" applyAlignment="1">
      <alignment vertical="center"/>
    </xf>
    <xf numFmtId="0" fontId="10" fillId="8" borderId="0" xfId="0" applyFont="1" applyFill="1"/>
    <xf numFmtId="0" fontId="10" fillId="8" borderId="9" xfId="0" applyFont="1" applyFill="1" applyBorder="1"/>
    <xf numFmtId="0" fontId="10" fillId="9" borderId="60" xfId="0" applyFont="1" applyFill="1" applyBorder="1"/>
    <xf numFmtId="0" fontId="10" fillId="5" borderId="0" xfId="0" applyFont="1" applyFill="1"/>
    <xf numFmtId="43" fontId="10" fillId="5" borderId="9" xfId="0" applyNumberFormat="1" applyFont="1" applyFill="1" applyBorder="1" applyAlignment="1">
      <alignment vertical="center"/>
    </xf>
    <xf numFmtId="164" fontId="10" fillId="6" borderId="61" xfId="2" applyNumberFormat="1" applyFont="1" applyFill="1" applyBorder="1" applyAlignment="1"/>
    <xf numFmtId="164" fontId="10" fillId="6" borderId="62" xfId="2" applyNumberFormat="1" applyFont="1" applyFill="1" applyBorder="1" applyAlignment="1"/>
    <xf numFmtId="0" fontId="10" fillId="9" borderId="63" xfId="0" applyFont="1" applyFill="1" applyBorder="1"/>
    <xf numFmtId="43" fontId="10" fillId="5" borderId="64" xfId="1" applyFont="1" applyFill="1" applyBorder="1" applyAlignment="1">
      <alignment horizontal="center"/>
    </xf>
    <xf numFmtId="0" fontId="10" fillId="5" borderId="64" xfId="0" applyFont="1" applyFill="1" applyBorder="1"/>
    <xf numFmtId="0" fontId="10" fillId="5" borderId="65" xfId="0" applyFont="1" applyFill="1" applyBorder="1"/>
    <xf numFmtId="0" fontId="26" fillId="10" borderId="14" xfId="0" applyFont="1" applyFill="1" applyBorder="1" applyAlignment="1">
      <alignment vertical="center"/>
    </xf>
    <xf numFmtId="0" fontId="26" fillId="10" borderId="15" xfId="0" applyFont="1" applyFill="1" applyBorder="1" applyAlignment="1">
      <alignment vertical="center"/>
    </xf>
    <xf numFmtId="0" fontId="4" fillId="8" borderId="6" xfId="0" applyFont="1" applyFill="1" applyBorder="1"/>
    <xf numFmtId="0" fontId="4" fillId="8" borderId="0" xfId="0" applyFont="1" applyFill="1"/>
    <xf numFmtId="0" fontId="4" fillId="8" borderId="9" xfId="0" applyFont="1" applyFill="1" applyBorder="1"/>
    <xf numFmtId="0" fontId="4" fillId="8" borderId="11" xfId="0" applyFont="1" applyFill="1" applyBorder="1"/>
    <xf numFmtId="0" fontId="4" fillId="8" borderId="12" xfId="0" applyFont="1" applyFill="1" applyBorder="1"/>
    <xf numFmtId="0" fontId="4" fillId="8" borderId="13" xfId="0" applyFont="1" applyFill="1" applyBorder="1"/>
    <xf numFmtId="43" fontId="10" fillId="6" borderId="38" xfId="1" applyFont="1" applyFill="1" applyBorder="1" applyAlignment="1">
      <alignment horizontal="center"/>
    </xf>
    <xf numFmtId="43" fontId="10" fillId="6" borderId="48" xfId="1" applyFont="1" applyFill="1" applyBorder="1" applyAlignment="1">
      <alignment horizontal="center"/>
    </xf>
    <xf numFmtId="43" fontId="10" fillId="6" borderId="57" xfId="1" applyFont="1" applyFill="1" applyBorder="1" applyAlignment="1">
      <alignment horizontal="left" vertical="top"/>
    </xf>
    <xf numFmtId="43" fontId="10" fillId="6" borderId="56" xfId="1" applyFont="1" applyFill="1" applyBorder="1" applyAlignment="1">
      <alignment horizontal="left" vertical="top"/>
    </xf>
    <xf numFmtId="43" fontId="6" fillId="5" borderId="14" xfId="1" applyFont="1" applyFill="1" applyBorder="1" applyAlignment="1"/>
    <xf numFmtId="43" fontId="6" fillId="5" borderId="15" xfId="1" applyFont="1" applyFill="1" applyBorder="1" applyAlignment="1"/>
    <xf numFmtId="43" fontId="6" fillId="5" borderId="16" xfId="1" applyFont="1" applyFill="1" applyBorder="1" applyAlignment="1"/>
    <xf numFmtId="0" fontId="4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23" fillId="3" borderId="0" xfId="0" applyFont="1" applyFill="1" applyAlignment="1">
      <alignment horizontal="left"/>
    </xf>
    <xf numFmtId="17" fontId="23" fillId="3" borderId="0" xfId="0" applyNumberFormat="1" applyFont="1" applyFill="1" applyAlignment="1">
      <alignment horizontal="center"/>
    </xf>
    <xf numFmtId="0" fontId="23" fillId="3" borderId="0" xfId="0" applyFont="1" applyFill="1" applyAlignment="1">
      <alignment horizontal="center"/>
    </xf>
    <xf numFmtId="2" fontId="0" fillId="0" borderId="0" xfId="0" applyNumberFormat="1"/>
    <xf numFmtId="43" fontId="4" fillId="0" borderId="0" xfId="0" applyNumberFormat="1" applyFont="1"/>
    <xf numFmtId="43" fontId="23" fillId="3" borderId="0" xfId="1" applyFont="1" applyFill="1"/>
    <xf numFmtId="167" fontId="0" fillId="0" borderId="0" xfId="1" applyNumberFormat="1" applyFont="1"/>
    <xf numFmtId="43" fontId="23" fillId="3" borderId="0" xfId="0" applyNumberFormat="1" applyFont="1" applyFill="1"/>
    <xf numFmtId="168" fontId="0" fillId="0" borderId="0" xfId="0" applyNumberFormat="1"/>
    <xf numFmtId="2" fontId="4" fillId="0" borderId="0" xfId="0" applyNumberFormat="1" applyFont="1" applyAlignment="1">
      <alignment horizontal="center"/>
    </xf>
    <xf numFmtId="2" fontId="23" fillId="3" borderId="0" xfId="0" applyNumberFormat="1" applyFont="1" applyFill="1" applyAlignment="1">
      <alignment horizontal="center"/>
    </xf>
    <xf numFmtId="166" fontId="4" fillId="0" borderId="0" xfId="1" applyNumberFormat="1" applyFont="1"/>
    <xf numFmtId="166" fontId="23" fillId="3" borderId="0" xfId="1" applyNumberFormat="1" applyFont="1" applyFill="1"/>
    <xf numFmtId="166" fontId="23" fillId="0" borderId="0" xfId="1" applyNumberFormat="1" applyFont="1" applyFill="1"/>
    <xf numFmtId="0" fontId="30" fillId="0" borderId="0" xfId="0" applyFont="1"/>
    <xf numFmtId="0" fontId="31" fillId="0" borderId="0" xfId="0" applyFont="1" applyAlignment="1">
      <alignment vertical="center"/>
    </xf>
    <xf numFmtId="43" fontId="30" fillId="0" borderId="0" xfId="0" applyNumberFormat="1" applyFont="1" applyAlignment="1">
      <alignment vertical="center"/>
    </xf>
    <xf numFmtId="0" fontId="24" fillId="2" borderId="0" xfId="0" applyFont="1" applyFill="1"/>
    <xf numFmtId="43" fontId="31" fillId="0" borderId="0" xfId="0" applyNumberFormat="1" applyFont="1" applyAlignment="1">
      <alignment vertical="center"/>
    </xf>
    <xf numFmtId="166" fontId="10" fillId="9" borderId="35" xfId="1" applyNumberFormat="1" applyFont="1" applyFill="1" applyBorder="1"/>
    <xf numFmtId="0" fontId="4" fillId="0" borderId="0" xfId="0" applyFont="1" applyAlignment="1">
      <alignment horizontal="center" vertical="center"/>
    </xf>
    <xf numFmtId="0" fontId="32" fillId="0" borderId="0" xfId="0" quotePrefix="1" applyFont="1" applyAlignment="1">
      <alignment vertical="center"/>
    </xf>
    <xf numFmtId="43" fontId="10" fillId="9" borderId="45" xfId="1" applyFont="1" applyFill="1" applyBorder="1"/>
    <xf numFmtId="43" fontId="24" fillId="3" borderId="0" xfId="1" applyFont="1" applyFill="1"/>
    <xf numFmtId="43" fontId="0" fillId="0" borderId="0" xfId="0" applyNumberFormat="1" applyAlignment="1">
      <alignment horizontal="center"/>
    </xf>
    <xf numFmtId="2" fontId="4" fillId="0" borderId="0" xfId="2" applyNumberFormat="1" applyFont="1"/>
    <xf numFmtId="2" fontId="23" fillId="3" borderId="0" xfId="2" applyNumberFormat="1" applyFont="1" applyFill="1"/>
    <xf numFmtId="2" fontId="4" fillId="0" borderId="0" xfId="0" applyNumberFormat="1" applyFont="1"/>
    <xf numFmtId="2" fontId="23" fillId="3" borderId="0" xfId="1" applyNumberFormat="1" applyFont="1" applyFill="1"/>
    <xf numFmtId="2" fontId="23" fillId="3" borderId="0" xfId="0" applyNumberFormat="1" applyFont="1" applyFill="1"/>
    <xf numFmtId="2" fontId="23" fillId="0" borderId="0" xfId="2" applyNumberFormat="1" applyFont="1" applyFill="1"/>
    <xf numFmtId="169" fontId="23" fillId="3" borderId="0" xfId="0" applyNumberFormat="1" applyFont="1" applyFill="1" applyAlignment="1">
      <alignment horizontal="center"/>
    </xf>
    <xf numFmtId="0" fontId="28" fillId="11" borderId="15" xfId="0" applyFont="1" applyFill="1" applyBorder="1" applyAlignment="1">
      <alignment horizontal="left" vertical="center" wrapText="1"/>
    </xf>
    <xf numFmtId="0" fontId="28" fillId="11" borderId="16" xfId="0" applyFont="1" applyFill="1" applyBorder="1" applyAlignment="1">
      <alignment horizontal="left" vertical="center" wrapText="1"/>
    </xf>
    <xf numFmtId="0" fontId="27" fillId="4" borderId="14" xfId="0" applyFont="1" applyFill="1" applyBorder="1" applyAlignment="1">
      <alignment horizontal="left" vertical="center"/>
    </xf>
    <xf numFmtId="0" fontId="27" fillId="4" borderId="16" xfId="0" applyFont="1" applyFill="1" applyBorder="1" applyAlignment="1">
      <alignment horizontal="left" vertical="center"/>
    </xf>
    <xf numFmtId="43" fontId="10" fillId="6" borderId="50" xfId="1" applyFont="1" applyFill="1" applyBorder="1" applyAlignment="1">
      <alignment horizontal="center" vertical="center"/>
    </xf>
    <xf numFmtId="43" fontId="10" fillId="6" borderId="55" xfId="1" applyFont="1" applyFill="1" applyBorder="1" applyAlignment="1">
      <alignment horizontal="center" vertical="center"/>
    </xf>
    <xf numFmtId="0" fontId="10" fillId="9" borderId="49" xfId="0" applyFont="1" applyFill="1" applyBorder="1" applyAlignment="1">
      <alignment horizontal="center" vertical="center"/>
    </xf>
    <xf numFmtId="0" fontId="10" fillId="9" borderId="58" xfId="0" applyFont="1" applyFill="1" applyBorder="1" applyAlignment="1">
      <alignment horizontal="center" vertical="center"/>
    </xf>
    <xf numFmtId="0" fontId="10" fillId="9" borderId="59" xfId="0" applyFont="1" applyFill="1" applyBorder="1" applyAlignment="1">
      <alignment horizontal="center" vertical="center"/>
    </xf>
    <xf numFmtId="43" fontId="25" fillId="6" borderId="48" xfId="1" applyFont="1" applyFill="1" applyBorder="1" applyAlignment="1">
      <alignment horizontal="center" vertical="center" wrapText="1"/>
    </xf>
    <xf numFmtId="43" fontId="25" fillId="6" borderId="46" xfId="1" applyFont="1" applyFill="1" applyBorder="1" applyAlignment="1">
      <alignment horizontal="center" vertical="center" wrapText="1"/>
    </xf>
    <xf numFmtId="43" fontId="17" fillId="0" borderId="1" xfId="1" applyFont="1" applyBorder="1" applyAlignment="1">
      <alignment horizontal="center" wrapText="1"/>
    </xf>
    <xf numFmtId="43" fontId="17" fillId="0" borderId="10" xfId="1" applyFont="1" applyBorder="1" applyAlignment="1">
      <alignment horizontal="center" wrapText="1"/>
    </xf>
    <xf numFmtId="17" fontId="17" fillId="0" borderId="3" xfId="0" applyNumberFormat="1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43" fontId="13" fillId="0" borderId="1" xfId="1" applyFont="1" applyBorder="1" applyAlignment="1">
      <alignment horizontal="center" wrapText="1"/>
    </xf>
    <xf numFmtId="43" fontId="13" fillId="0" borderId="10" xfId="1" applyFont="1" applyBorder="1" applyAlignment="1">
      <alignment horizontal="center" wrapText="1"/>
    </xf>
    <xf numFmtId="17" fontId="13" fillId="0" borderId="3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43" fontId="4" fillId="0" borderId="0" xfId="1" applyFont="1" applyAlignment="1">
      <alignment horizontal="center"/>
    </xf>
    <xf numFmtId="17" fontId="5" fillId="5" borderId="9" xfId="0" applyNumberFormat="1" applyFont="1" applyFill="1" applyBorder="1" applyAlignment="1">
      <alignment horizontal="center" vertical="center"/>
    </xf>
    <xf numFmtId="17" fontId="5" fillId="5" borderId="13" xfId="0" applyNumberFormat="1" applyFont="1" applyFill="1" applyBorder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63"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b/>
        <i val="0"/>
        <color rgb="FF9C0006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/>
                </a:solidFill>
                <a:latin typeface="Monotype Corsiva" panose="03010101010201010101" pitchFamily="66" charset="0"/>
                <a:ea typeface="+mn-ea"/>
                <a:cs typeface="+mn-cs"/>
              </a:defRPr>
            </a:pPr>
            <a:r>
              <a:rPr lang="en-IN">
                <a:latin typeface="Monotype Corsiva" panose="03010101010201010101" pitchFamily="66" charset="0"/>
              </a:rPr>
              <a:t>Sales Analysis </a:t>
            </a:r>
          </a:p>
        </c:rich>
      </c:tx>
      <c:layout>
        <c:manualLayout>
          <c:xMode val="edge"/>
          <c:yMode val="edge"/>
          <c:x val="0.43433051874128054"/>
          <c:y val="3.76751297235955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/>
              </a:solidFill>
              <a:latin typeface="Monotype Corsiva" panose="03010101010201010101" pitchFamily="66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447207349800218E-2"/>
          <c:y val="0.27968401344439947"/>
          <c:w val="0.94510558530039956"/>
          <c:h val="0.6510577660051774"/>
        </c:manualLayout>
      </c:layout>
      <c:barChart>
        <c:barDir val="col"/>
        <c:grouping val="clustered"/>
        <c:varyColors val="0"/>
        <c:ser>
          <c:idx val="0"/>
          <c:order val="0"/>
          <c:tx>
            <c:v>LY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3191167217446018E-2"/>
                  <c:y val="-7.77461572660900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F96-4881-974F-26999CFFA4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 Path </c:v>
              </c:pt>
              <c:pt idx="1">
                <c:v> Radio </c:v>
              </c:pt>
              <c:pt idx="2">
                <c:v> HLM </c:v>
              </c:pt>
              <c:pt idx="3">
                <c:v> FP Labs </c:v>
              </c:pt>
              <c:pt idx="4">
                <c:v> Cyclotron </c:v>
              </c:pt>
              <c:pt idx="5">
                <c:v> Fortis </c:v>
              </c:pt>
            </c:strLit>
          </c:cat>
          <c:val>
            <c:numLit>
              <c:formatCode>_(* #,##0.00_);_(* \(#,##0.00\);_(* "-"??_);_(@_)</c:formatCode>
              <c:ptCount val="6"/>
              <c:pt idx="0">
                <c:v>504.0230651</c:v>
              </c:pt>
              <c:pt idx="1">
                <c:v>416.09439430000009</c:v>
              </c:pt>
              <c:pt idx="2">
                <c:v>67.905630000000002</c:v>
              </c:pt>
              <c:pt idx="3">
                <c:v>13.45059</c:v>
              </c:pt>
              <c:pt idx="4">
                <c:v>335.8780663</c:v>
              </c:pt>
              <c:pt idx="5">
                <c:v>47.693200000000004</c:v>
              </c:pt>
            </c:numLit>
          </c:val>
          <c:extLst>
            <c:ext xmlns:c16="http://schemas.microsoft.com/office/drawing/2014/chart" uri="{C3380CC4-5D6E-409C-BE32-E72D297353CC}">
              <c16:uniqueId val="{00000001-7F96-4881-974F-26999CFFA43B}"/>
            </c:ext>
          </c:extLst>
        </c:ser>
        <c:ser>
          <c:idx val="1"/>
          <c:order val="1"/>
          <c:tx>
            <c:v> Budget 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 Path </c:v>
              </c:pt>
              <c:pt idx="1">
                <c:v> Radio </c:v>
              </c:pt>
              <c:pt idx="2">
                <c:v> HLM </c:v>
              </c:pt>
              <c:pt idx="3">
                <c:v> FP Labs </c:v>
              </c:pt>
              <c:pt idx="4">
                <c:v> Cyclotron </c:v>
              </c:pt>
              <c:pt idx="5">
                <c:v> Fortis </c:v>
              </c:pt>
            </c:strLit>
          </c:cat>
          <c:val>
            <c:numLit>
              <c:formatCode>_ * #,##0.0_ ;_ * \-#,##0.0_ ;_ * "-"??_ ;_ @_ </c:formatCode>
              <c:ptCount val="6"/>
              <c:pt idx="0">
                <c:v>546.75764375208087</c:v>
              </c:pt>
              <c:pt idx="1">
                <c:v>518.72188999273146</c:v>
              </c:pt>
              <c:pt idx="2">
                <c:v>138.1147969662205</c:v>
              </c:pt>
              <c:pt idx="3">
                <c:v>77.937286806883378</c:v>
              </c:pt>
              <c:pt idx="4">
                <c:v>370.96199999999999</c:v>
              </c:pt>
              <c:pt idx="5">
                <c:v>47.111111111111114</c:v>
              </c:pt>
            </c:numLit>
          </c:val>
          <c:extLst>
            <c:ext xmlns:c16="http://schemas.microsoft.com/office/drawing/2014/chart" uri="{C3380CC4-5D6E-409C-BE32-E72D297353CC}">
              <c16:uniqueId val="{00000002-7F96-4881-974F-26999CFFA43B}"/>
            </c:ext>
          </c:extLst>
        </c:ser>
        <c:ser>
          <c:idx val="2"/>
          <c:order val="2"/>
          <c:tx>
            <c:v> Actual 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153465527334273E-2"/>
                  <c:y val="-4.37322134621756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F96-4881-974F-26999CFFA43B}"/>
                </c:ext>
              </c:extLst>
            </c:dLbl>
            <c:dLbl>
              <c:idx val="4"/>
              <c:layout>
                <c:manualLayout>
                  <c:x val="1.4908607496929583E-2"/>
                  <c:y val="-3.40139438039143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F96-4881-974F-26999CFFA4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 Path </c:v>
              </c:pt>
              <c:pt idx="1">
                <c:v> Radio </c:v>
              </c:pt>
              <c:pt idx="2">
                <c:v> HLM </c:v>
              </c:pt>
              <c:pt idx="3">
                <c:v> FP Labs </c:v>
              </c:pt>
              <c:pt idx="4">
                <c:v> Cyclotron </c:v>
              </c:pt>
              <c:pt idx="5">
                <c:v> Fortis </c:v>
              </c:pt>
            </c:strLit>
          </c:cat>
          <c:val>
            <c:numLit>
              <c:formatCode>_ * #,##0.0_ ;_ * \-#,##0.0_ ;_ * "-"??_ ;_ @_ </c:formatCode>
              <c:ptCount val="6"/>
              <c:pt idx="0">
                <c:v>518.67148369999995</c:v>
              </c:pt>
              <c:pt idx="1">
                <c:v>440.78929390000002</c:v>
              </c:pt>
              <c:pt idx="2">
                <c:v>132.04287009999999</c:v>
              </c:pt>
              <c:pt idx="3">
                <c:v>70.631159800000006</c:v>
              </c:pt>
              <c:pt idx="4">
                <c:v>386.62</c:v>
              </c:pt>
              <c:pt idx="5">
                <c:v>47.33</c:v>
              </c:pt>
            </c:numLit>
          </c:val>
          <c:extLst>
            <c:ext xmlns:c16="http://schemas.microsoft.com/office/drawing/2014/chart" uri="{C3380CC4-5D6E-409C-BE32-E72D297353CC}">
              <c16:uniqueId val="{00000005-7F96-4881-974F-26999CFFA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525955391"/>
        <c:axId val="2001259183"/>
        <c:extLst/>
      </c:barChart>
      <c:catAx>
        <c:axId val="152595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259183"/>
        <c:crosses val="autoZero"/>
        <c:auto val="1"/>
        <c:lblAlgn val="ctr"/>
        <c:lblOffset val="100"/>
        <c:noMultiLvlLbl val="0"/>
      </c:catAx>
      <c:valAx>
        <c:axId val="2001259183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525955391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77654461402755526"/>
          <c:y val="6.3984041155564164E-2"/>
          <c:w val="0.20055692430207459"/>
          <c:h val="0.184778249505607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/>
                </a:solidFill>
                <a:latin typeface="Monotype Corsiva" panose="03010101010201010101" pitchFamily="66" charset="0"/>
                <a:ea typeface="+mn-ea"/>
                <a:cs typeface="+mn-cs"/>
              </a:defRPr>
            </a:pPr>
            <a:r>
              <a:rPr lang="en-IN">
                <a:latin typeface="Monotype Corsiva" panose="03010101010201010101" pitchFamily="66" charset="0"/>
              </a:rPr>
              <a:t>Sales Analysis </a:t>
            </a:r>
          </a:p>
        </c:rich>
      </c:tx>
      <c:layout>
        <c:manualLayout>
          <c:xMode val="edge"/>
          <c:yMode val="edge"/>
          <c:x val="0.43433051874128054"/>
          <c:y val="3.76751297235955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/>
              </a:solidFill>
              <a:latin typeface="Monotype Corsiva" panose="03010101010201010101" pitchFamily="66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447207349800218E-2"/>
          <c:y val="0.27968401344439947"/>
          <c:w val="0.94510558530039956"/>
          <c:h val="0.6510577660051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Dashboard!$C$37</c:f>
              <c:strCache>
                <c:ptCount val="1"/>
                <c:pt idx="0">
                  <c:v>FY 2023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Dashboard!$D$36:$P$36</c:f>
              <c:strCache>
                <c:ptCount val="1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</c:v>
                </c:pt>
                <c:pt idx="11">
                  <c:v>March</c:v>
                </c:pt>
                <c:pt idx="12">
                  <c:v>Total</c:v>
                </c:pt>
              </c:strCache>
            </c:strRef>
          </c:cat>
          <c:val>
            <c:numRef>
              <c:f>Dashboard!$D$37:$P$37</c:f>
              <c:numCache>
                <c:formatCode>_(* #,##0.00_);_(* \(#,##0.00\);_(* "-"??_);_(@_)</c:formatCode>
                <c:ptCount val="13"/>
                <c:pt idx="0">
                  <c:v>0</c:v>
                </c:pt>
                <c:pt idx="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EF-45C1-BD7A-B4BD26B8131A}"/>
            </c:ext>
          </c:extLst>
        </c:ser>
        <c:ser>
          <c:idx val="1"/>
          <c:order val="1"/>
          <c:tx>
            <c:strRef>
              <c:f>Dashboard!$C$38</c:f>
              <c:strCache>
                <c:ptCount val="1"/>
                <c:pt idx="0">
                  <c:v>FY 2024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Dashboard!$D$36:$P$36</c:f>
              <c:strCache>
                <c:ptCount val="1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</c:v>
                </c:pt>
                <c:pt idx="11">
                  <c:v>March</c:v>
                </c:pt>
                <c:pt idx="12">
                  <c:v>Total</c:v>
                </c:pt>
              </c:strCache>
            </c:strRef>
          </c:cat>
          <c:val>
            <c:numRef>
              <c:f>Dashboard!$D$38:$P$38</c:f>
              <c:numCache>
                <c:formatCode>General</c:formatCode>
                <c:ptCount val="13"/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EF-45C1-BD7A-B4BD26B8131A}"/>
            </c:ext>
          </c:extLst>
        </c:ser>
        <c:ser>
          <c:idx val="2"/>
          <c:order val="2"/>
          <c:tx>
            <c:strRef>
              <c:f>Dashboard!$C$39</c:f>
              <c:strCache>
                <c:ptCount val="1"/>
                <c:pt idx="0">
                  <c:v>Budget 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Dashboard!$D$36:$P$36</c:f>
              <c:strCache>
                <c:ptCount val="1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</c:v>
                </c:pt>
                <c:pt idx="11">
                  <c:v>March</c:v>
                </c:pt>
                <c:pt idx="12">
                  <c:v>Total</c:v>
                </c:pt>
              </c:strCache>
            </c:strRef>
          </c:cat>
          <c:val>
            <c:numRef>
              <c:f>Dashboard!$D$39:$P$39</c:f>
              <c:numCache>
                <c:formatCode>General</c:formatCode>
                <c:ptCount val="13"/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EF-45C1-BD7A-B4BD26B8131A}"/>
            </c:ext>
          </c:extLst>
        </c:ser>
        <c:ser>
          <c:idx val="3"/>
          <c:order val="3"/>
          <c:tx>
            <c:strRef>
              <c:f>Dashboard!$C$40</c:f>
              <c:strCache>
                <c:ptCount val="1"/>
                <c:pt idx="0">
                  <c:v>FY 2025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Dashboard!$D$36:$P$36</c:f>
              <c:strCache>
                <c:ptCount val="1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</c:v>
                </c:pt>
                <c:pt idx="11">
                  <c:v>March</c:v>
                </c:pt>
                <c:pt idx="12">
                  <c:v>Total</c:v>
                </c:pt>
              </c:strCache>
            </c:strRef>
          </c:cat>
          <c:val>
            <c:numRef>
              <c:f>Dashboard!$D$40:$P$40</c:f>
              <c:numCache>
                <c:formatCode>General</c:formatCode>
                <c:ptCount val="13"/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6-4ECB-944C-1D26D91DF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525955391"/>
        <c:axId val="2001259183"/>
        <c:extLst/>
      </c:barChart>
      <c:catAx>
        <c:axId val="15259553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259183"/>
        <c:crosses val="autoZero"/>
        <c:auto val="1"/>
        <c:lblAlgn val="ctr"/>
        <c:lblOffset val="100"/>
        <c:noMultiLvlLbl val="0"/>
      </c:catAx>
      <c:valAx>
        <c:axId val="2001259183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1525955391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dk1"/>
                </a:solidFill>
                <a:latin typeface="Monotype Corsiva" panose="03010101010201010101" pitchFamily="66" charset="0"/>
                <a:ea typeface="+mn-ea"/>
                <a:cs typeface="+mn-cs"/>
              </a:defRPr>
            </a:pPr>
            <a:r>
              <a:rPr lang="en-IN" sz="1800" b="1">
                <a:latin typeface="Monotype Corsiva" panose="03010101010201010101" pitchFamily="66" charset="0"/>
              </a:rPr>
              <a:t>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dk1"/>
              </a:solidFill>
              <a:latin typeface="Monotype Corsiva" panose="03010101010201010101" pitchFamily="66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17682403378383E-2"/>
          <c:y val="0.19624363909380177"/>
          <c:w val="0.87867865921149457"/>
          <c:h val="0.690495805655838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Dashboard!$C$16:$C$19</c:f>
              <c:strCache>
                <c:ptCount val="4"/>
                <c:pt idx="0">
                  <c:v>YTD 23</c:v>
                </c:pt>
                <c:pt idx="1">
                  <c:v>YTD 24</c:v>
                </c:pt>
                <c:pt idx="2">
                  <c:v>Bud 25</c:v>
                </c:pt>
                <c:pt idx="3">
                  <c:v>YTD 25</c:v>
                </c:pt>
              </c:strCache>
            </c:strRef>
          </c:cat>
          <c:val>
            <c:numRef>
              <c:f>Dashboard!$D$16:$D$19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12.810499999999999</c:v>
                </c:pt>
                <c:pt idx="2">
                  <c:v>17.686731077119184</c:v>
                </c:pt>
                <c:pt idx="3">
                  <c:v>18.86525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6F-4E80-9390-952838018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1551631"/>
        <c:axId val="841397759"/>
      </c:barChart>
      <c:catAx>
        <c:axId val="721551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397759"/>
        <c:crosses val="autoZero"/>
        <c:auto val="1"/>
        <c:lblAlgn val="ctr"/>
        <c:lblOffset val="100"/>
        <c:noMultiLvlLbl val="0"/>
      </c:catAx>
      <c:valAx>
        <c:axId val="841397759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72155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dk1"/>
                </a:solidFill>
                <a:latin typeface="Monotype Corsiva" panose="03010101010201010101" pitchFamily="66" charset="0"/>
                <a:ea typeface="+mn-ea"/>
                <a:cs typeface="+mn-cs"/>
              </a:defRPr>
            </a:pPr>
            <a:r>
              <a:rPr lang="en-IN" sz="1800" b="1">
                <a:latin typeface="Monotype Corsiva" panose="03010101010201010101" pitchFamily="66" charset="0"/>
              </a:rPr>
              <a:t>Total Revenue</a:t>
            </a:r>
          </a:p>
        </c:rich>
      </c:tx>
      <c:layout>
        <c:manualLayout>
          <c:xMode val="edge"/>
          <c:yMode val="edge"/>
          <c:x val="0.25381413268332087"/>
          <c:y val="2.23241359065269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dk1"/>
              </a:solidFill>
              <a:latin typeface="Monotype Corsiva" panose="03010101010201010101" pitchFamily="66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450105651170149E-2"/>
          <c:y val="0.19624363909380177"/>
          <c:w val="0.89140526778758655"/>
          <c:h val="0.690495805655838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5.0488065878954921E-3"/>
                  <c:y val="7.25538811477066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313138106981752"/>
                      <c:h val="0.2006662963555408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63B4-4CC8-8ACC-03E3A0AF22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Dashboard!$H$5:$K$5</c:f>
              <c:strCache>
                <c:ptCount val="4"/>
                <c:pt idx="0">
                  <c:v> FY 23 </c:v>
                </c:pt>
                <c:pt idx="1">
                  <c:v> FY 24 </c:v>
                </c:pt>
                <c:pt idx="2">
                  <c:v> Bud 25 </c:v>
                </c:pt>
                <c:pt idx="3">
                  <c:v> YTD 25 </c:v>
                </c:pt>
              </c:strCache>
            </c:strRef>
          </c:cat>
          <c:val>
            <c:numRef>
              <c:f>Dashboard!$H$13:$K$13</c:f>
              <c:numCache>
                <c:formatCode>_ * #,##0_ ;_ * \-#,##0_ ;_ * "-"??_ ;_ @_ </c:formatCode>
                <c:ptCount val="4"/>
                <c:pt idx="0">
                  <c:v>3.4954999999999998</c:v>
                </c:pt>
                <c:pt idx="1">
                  <c:v>36.838950000000004</c:v>
                </c:pt>
                <c:pt idx="2">
                  <c:v>53.128423263224995</c:v>
                </c:pt>
                <c:pt idx="3" formatCode="_(* #,##0.00_);_(* \(#,##0.00\);_(* &quot;-&quot;??_);_(@_)">
                  <c:v>18.86525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3-4D39-BD7C-E662341A7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1551631"/>
        <c:axId val="841397759"/>
      </c:barChart>
      <c:catAx>
        <c:axId val="721551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397759"/>
        <c:crosses val="autoZero"/>
        <c:auto val="1"/>
        <c:lblAlgn val="ctr"/>
        <c:lblOffset val="100"/>
        <c:noMultiLvlLbl val="0"/>
      </c:catAx>
      <c:valAx>
        <c:axId val="841397759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72155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dk1"/>
                </a:solidFill>
                <a:latin typeface="Monotype Corsiva" panose="03010101010201010101" pitchFamily="66" charset="0"/>
                <a:ea typeface="+mn-ea"/>
                <a:cs typeface="+mn-cs"/>
              </a:defRPr>
            </a:pPr>
            <a:r>
              <a:rPr lang="en-IN" sz="1800" b="1">
                <a:latin typeface="Monotype Corsiva" panose="03010101010201010101" pitchFamily="66" charset="0"/>
              </a:rPr>
              <a:t>No</a:t>
            </a:r>
            <a:r>
              <a:rPr lang="en-IN" sz="1800" b="1" baseline="0">
                <a:latin typeface="Monotype Corsiva" panose="03010101010201010101" pitchFamily="66" charset="0"/>
              </a:rPr>
              <a:t> of Centers</a:t>
            </a:r>
            <a:endParaRPr lang="en-IN" sz="1800" b="1">
              <a:latin typeface="Monotype Corsiva" panose="03010101010201010101" pitchFamily="66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dk1"/>
              </a:solidFill>
              <a:latin typeface="Monotype Corsiva" panose="03010101010201010101" pitchFamily="66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450105651170149E-2"/>
          <c:y val="0.19624363909380177"/>
          <c:w val="0.89140526778758655"/>
          <c:h val="0.690495805655838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Dashboard!$D$5:$G$5</c:f>
              <c:strCache>
                <c:ptCount val="4"/>
                <c:pt idx="0">
                  <c:v>FY 23</c:v>
                </c:pt>
                <c:pt idx="1">
                  <c:v>FY 24</c:v>
                </c:pt>
                <c:pt idx="2">
                  <c:v>Bud 25</c:v>
                </c:pt>
                <c:pt idx="3">
                  <c:v>YTD 25</c:v>
                </c:pt>
              </c:strCache>
            </c:strRef>
          </c:cat>
          <c:val>
            <c:numRef>
              <c:f>Dashboard!$D$13:$G$13</c:f>
              <c:numCache>
                <c:formatCode>_(* #,##0.00_);_(* \(#,##0.00\);_(* "-"??_);_(@_)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8B-4EC6-9BA1-82EC235E2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1551631"/>
        <c:axId val="841397759"/>
      </c:barChart>
      <c:catAx>
        <c:axId val="721551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397759"/>
        <c:crosses val="autoZero"/>
        <c:auto val="1"/>
        <c:lblAlgn val="ctr"/>
        <c:lblOffset val="100"/>
        <c:noMultiLvlLbl val="0"/>
      </c:catAx>
      <c:valAx>
        <c:axId val="841397759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72155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Budget vs Actual</a:t>
            </a:r>
          </a:p>
        </c:rich>
      </c:tx>
      <c:layout>
        <c:manualLayout>
          <c:xMode val="edge"/>
          <c:yMode val="edge"/>
          <c:x val="0.37123621712480714"/>
          <c:y val="8.0038906919010719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97768224723393"/>
          <c:y val="0.14151300041140039"/>
          <c:w val="0.89702231775276609"/>
          <c:h val="0.6671085117524439"/>
        </c:manualLayout>
      </c:layout>
      <c:barChart>
        <c:barDir val="col"/>
        <c:grouping val="clustered"/>
        <c:varyColors val="0"/>
        <c:ser>
          <c:idx val="0"/>
          <c:order val="0"/>
          <c:tx>
            <c:v>Budget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(Summay!$A$4:$A$7,Summay!$A$9:$A$10)</c:f>
              <c:strCache>
                <c:ptCount val="6"/>
                <c:pt idx="0">
                  <c:v>Lab</c:v>
                </c:pt>
                <c:pt idx="1">
                  <c:v>Radio</c:v>
                </c:pt>
                <c:pt idx="2">
                  <c:v>HLM</c:v>
                </c:pt>
                <c:pt idx="3">
                  <c:v>FP Lab</c:v>
                </c:pt>
                <c:pt idx="4">
                  <c:v>Cyclotron</c:v>
                </c:pt>
                <c:pt idx="5">
                  <c:v>Fortis</c:v>
                </c:pt>
              </c:strCache>
            </c:strRef>
          </c:cat>
          <c:val>
            <c:numRef>
              <c:f>(Summay!$C$4:$C$7,Summay!$C$9:$C$10)</c:f>
              <c:numCache>
                <c:formatCode>_(* #,##0.00_);_(* \(#,##0.00\);_(* "-"??_);_(@_)</c:formatCode>
                <c:ptCount val="6"/>
                <c:pt idx="0">
                  <c:v>820.11645862916521</c:v>
                </c:pt>
                <c:pt idx="1">
                  <c:v>846.51248831813143</c:v>
                </c:pt>
                <c:pt idx="2">
                  <c:v>218.64208020511373</c:v>
                </c:pt>
                <c:pt idx="3">
                  <c:v>134.55193081991149</c:v>
                </c:pt>
                <c:pt idx="4">
                  <c:v>557.89099999999996</c:v>
                </c:pt>
                <c:pt idx="5">
                  <c:v>70.679999999999993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AA-4E3F-B34C-9B5B735D509B}"/>
            </c:ext>
          </c:extLst>
        </c:ser>
        <c:ser>
          <c:idx val="1"/>
          <c:order val="1"/>
          <c:tx>
            <c:v>FY - 24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(Summay!$A$4:$A$7,Summay!$A$9:$A$10)</c:f>
              <c:strCache>
                <c:ptCount val="6"/>
                <c:pt idx="0">
                  <c:v>Lab</c:v>
                </c:pt>
                <c:pt idx="1">
                  <c:v>Radio</c:v>
                </c:pt>
                <c:pt idx="2">
                  <c:v>HLM</c:v>
                </c:pt>
                <c:pt idx="3">
                  <c:v>FP Lab</c:v>
                </c:pt>
                <c:pt idx="4">
                  <c:v>Cyclotron</c:v>
                </c:pt>
                <c:pt idx="5">
                  <c:v>Fortis</c:v>
                </c:pt>
              </c:strCache>
            </c:strRef>
          </c:cat>
          <c:val>
            <c:numRef>
              <c:f>(Summay!$B$4:$B$7,Summay!$B$9:$B$10)</c:f>
              <c:numCache>
                <c:formatCode>_(* #,##0.00_);_(* \(#,##0.00\);_(*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71.03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BAA-4E3F-B34C-9B5B735D509B}"/>
            </c:ext>
          </c:extLst>
        </c:ser>
        <c:ser>
          <c:idx val="2"/>
          <c:order val="2"/>
          <c:tx>
            <c:v>FY - 25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>
              <a:glow>
                <a:schemeClr val="accent1">
                  <a:alpha val="28000"/>
                </a:schemeClr>
              </a:glow>
            </a:effectLst>
          </c:spPr>
          <c:invertIfNegative val="0"/>
          <c:dLbls>
            <c:dLbl>
              <c:idx val="0"/>
              <c:layout>
                <c:manualLayout>
                  <c:x val="1.3413763558910599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DBB-4DE3-876B-5C43065ED0EC}"/>
                </c:ext>
              </c:extLst>
            </c:dLbl>
            <c:dLbl>
              <c:idx val="1"/>
              <c:layout>
                <c:manualLayout>
                  <c:x val="2.0645405146225544E-2"/>
                  <c:y val="-3.0819375589219829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DBB-4DE3-876B-5C43065ED0EC}"/>
                </c:ext>
              </c:extLst>
            </c:dLbl>
            <c:dLbl>
              <c:idx val="2"/>
              <c:layout>
                <c:manualLayout>
                  <c:x val="1.2811137890022089E-2"/>
                  <c:y val="-8.109935504913243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DBB-4DE3-876B-5C43065ED0EC}"/>
                </c:ext>
              </c:extLst>
            </c:dLbl>
            <c:dLbl>
              <c:idx val="3"/>
              <c:layout>
                <c:manualLayout>
                  <c:x val="3.6157540133306887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DBB-4DE3-876B-5C43065ED0EC}"/>
                </c:ext>
              </c:extLst>
            </c:dLbl>
            <c:dLbl>
              <c:idx val="4"/>
              <c:layout>
                <c:manualLayout>
                  <c:x val="3.2183908045976928E-2"/>
                  <c:y val="8.109833971902900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DBB-4DE3-876B-5C43065ED0EC}"/>
                </c:ext>
              </c:extLst>
            </c:dLbl>
            <c:dLbl>
              <c:idx val="5"/>
              <c:layout>
                <c:manualLayout>
                  <c:x val="7.2315080266615022E-3"/>
                  <c:y val="5.440333440816320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DBB-4DE3-876B-5C43065ED0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(Summay!$A$4:$A$7,Summay!$A$9:$A$10)</c:f>
              <c:strCache>
                <c:ptCount val="6"/>
                <c:pt idx="0">
                  <c:v>Lab</c:v>
                </c:pt>
                <c:pt idx="1">
                  <c:v>Radio</c:v>
                </c:pt>
                <c:pt idx="2">
                  <c:v>HLM</c:v>
                </c:pt>
                <c:pt idx="3">
                  <c:v>FP Lab</c:v>
                </c:pt>
                <c:pt idx="4">
                  <c:v>Cyclotron</c:v>
                </c:pt>
                <c:pt idx="5">
                  <c:v>Fortis</c:v>
                </c:pt>
              </c:strCache>
            </c:strRef>
          </c:cat>
          <c:val>
            <c:numRef>
              <c:f>(Summay!$D$4:$D$7,Summay!$D$9:$D$10)</c:f>
              <c:numCache>
                <c:formatCode>_(* #,##0.00_);_(* \(#,##0.00\);_(* "-"??_);_(@_)</c:formatCode>
                <c:ptCount val="6"/>
                <c:pt idx="0">
                  <c:v>734.44499130000008</c:v>
                </c:pt>
                <c:pt idx="1">
                  <c:v>657.80148559999975</c:v>
                </c:pt>
                <c:pt idx="2">
                  <c:v>205.50955010000001</c:v>
                </c:pt>
                <c:pt idx="3">
                  <c:v>105.9007604</c:v>
                </c:pt>
                <c:pt idx="4">
                  <c:v>502.75498632881357</c:v>
                </c:pt>
                <c:pt idx="5">
                  <c:v>70.679999999999993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BAA-4E3F-B34C-9B5B735D5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30"/>
        <c:axId val="1579714288"/>
        <c:axId val="1858258048"/>
      </c:barChart>
      <c:catAx>
        <c:axId val="15797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258048"/>
        <c:crosses val="autoZero"/>
        <c:auto val="1"/>
        <c:lblAlgn val="ctr"/>
        <c:lblOffset val="100"/>
        <c:noMultiLvlLbl val="0"/>
      </c:catAx>
      <c:valAx>
        <c:axId val="1858258048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crossAx val="15797142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55372</xdr:colOff>
      <xdr:row>1</xdr:row>
      <xdr:rowOff>49646</xdr:rowOff>
    </xdr:from>
    <xdr:to>
      <xdr:col>3</xdr:col>
      <xdr:colOff>2047</xdr:colOff>
      <xdr:row>1</xdr:row>
      <xdr:rowOff>751562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F506A6-5080-445B-A45F-8DDB670A1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317" y="143591"/>
          <a:ext cx="1115954" cy="701916"/>
        </a:xfrm>
        <a:prstGeom prst="rect">
          <a:avLst/>
        </a:prstGeom>
      </xdr:spPr>
    </xdr:pic>
    <xdr:clientData/>
  </xdr:twoCellAnchor>
  <xdr:twoCellAnchor>
    <xdr:from>
      <xdr:col>8</xdr:col>
      <xdr:colOff>187890</xdr:colOff>
      <xdr:row>21</xdr:row>
      <xdr:rowOff>104385</xdr:rowOff>
    </xdr:from>
    <xdr:to>
      <xdr:col>15</xdr:col>
      <xdr:colOff>730684</xdr:colOff>
      <xdr:row>34</xdr:row>
      <xdr:rowOff>73070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508E1C-7FC1-4F77-857D-66D02B6064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1355</xdr:colOff>
      <xdr:row>1</xdr:row>
      <xdr:rowOff>41754</xdr:rowOff>
    </xdr:from>
    <xdr:to>
      <xdr:col>10</xdr:col>
      <xdr:colOff>730686</xdr:colOff>
      <xdr:row>1</xdr:row>
      <xdr:rowOff>793315</xdr:rowOff>
    </xdr:to>
    <xdr:sp macro="" textlink="">
      <xdr:nvSpPr>
        <xdr:cNvPr id="12" name="Flowchart: Alternate Process 11">
          <a:extLst>
            <a:ext uri="{FF2B5EF4-FFF2-40B4-BE49-F238E27FC236}">
              <a16:creationId xmlns:a16="http://schemas.microsoft.com/office/drawing/2014/main" id="{94A10B6E-FDC4-4764-857A-ACFD7B8732E1}"/>
            </a:ext>
          </a:extLst>
        </xdr:cNvPr>
        <xdr:cNvSpPr/>
      </xdr:nvSpPr>
      <xdr:spPr>
        <a:xfrm>
          <a:off x="1212204" y="135699"/>
          <a:ext cx="6209468" cy="751561"/>
        </a:xfrm>
        <a:prstGeom prst="flowChartAlternateProcess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4800" b="1">
              <a:solidFill>
                <a:sysClr val="windowText" lastClr="000000"/>
              </a:solidFill>
              <a:latin typeface="Monotype Corsiva" panose="03010101010201010101" pitchFamily="66" charset="0"/>
            </a:rPr>
            <a:t>Revenue YTD June 2024</a:t>
          </a:r>
        </a:p>
      </xdr:txBody>
    </xdr:sp>
    <xdr:clientData/>
  </xdr:twoCellAnchor>
  <xdr:twoCellAnchor>
    <xdr:from>
      <xdr:col>14</xdr:col>
      <xdr:colOff>1179534</xdr:colOff>
      <xdr:row>1</xdr:row>
      <xdr:rowOff>52189</xdr:rowOff>
    </xdr:from>
    <xdr:to>
      <xdr:col>15</xdr:col>
      <xdr:colOff>741123</xdr:colOff>
      <xdr:row>1</xdr:row>
      <xdr:rowOff>772436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BDDE0543-7228-4308-A888-5578EE367E75}"/>
            </a:ext>
          </a:extLst>
        </xdr:cNvPr>
        <xdr:cNvSpPr/>
      </xdr:nvSpPr>
      <xdr:spPr>
        <a:xfrm>
          <a:off x="11774466" y="146134"/>
          <a:ext cx="793315" cy="7202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Rs. In Lakhs</a:t>
          </a:r>
        </a:p>
      </xdr:txBody>
    </xdr:sp>
    <xdr:clientData/>
  </xdr:twoCellAnchor>
  <xdr:twoCellAnchor>
    <xdr:from>
      <xdr:col>1</xdr:col>
      <xdr:colOff>57150</xdr:colOff>
      <xdr:row>40</xdr:row>
      <xdr:rowOff>47625</xdr:rowOff>
    </xdr:from>
    <xdr:to>
      <xdr:col>15</xdr:col>
      <xdr:colOff>682146</xdr:colOff>
      <xdr:row>55</xdr:row>
      <xdr:rowOff>13700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88067BE-112C-46F7-AC5B-8203940E9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104383</xdr:colOff>
      <xdr:row>21</xdr:row>
      <xdr:rowOff>104383</xdr:rowOff>
    </xdr:from>
    <xdr:to>
      <xdr:col>8</xdr:col>
      <xdr:colOff>83506</xdr:colOff>
      <xdr:row>34</xdr:row>
      <xdr:rowOff>62631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A21ED2B-7731-4D51-BDC3-4A3E393E0F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83504</xdr:colOff>
      <xdr:row>2</xdr:row>
      <xdr:rowOff>52190</xdr:rowOff>
    </xdr:from>
    <xdr:to>
      <xdr:col>15</xdr:col>
      <xdr:colOff>730685</xdr:colOff>
      <xdr:row>13</xdr:row>
      <xdr:rowOff>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D4F05D25-0C5A-08D1-A9E8-C84E7D05DA83}"/>
            </a:ext>
          </a:extLst>
        </xdr:cNvPr>
        <xdr:cNvGrpSpPr/>
      </xdr:nvGrpSpPr>
      <xdr:grpSpPr>
        <a:xfrm>
          <a:off x="8370254" y="995165"/>
          <a:ext cx="5019156" cy="2271911"/>
          <a:chOff x="7494737" y="1002080"/>
          <a:chExt cx="5010414" cy="2306879"/>
        </a:xfrm>
      </xdr:grpSpPr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98ECC1C6-88CC-4BFC-B181-4131E3C8CFD5}"/>
              </a:ext>
            </a:extLst>
          </xdr:cNvPr>
          <xdr:cNvGraphicFramePr>
            <a:graphicFrameLocks/>
          </xdr:cNvGraphicFramePr>
        </xdr:nvGraphicFramePr>
        <xdr:xfrm>
          <a:off x="9989507" y="1002080"/>
          <a:ext cx="2515644" cy="230687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3BFA0405-BCF2-4217-ADBE-41D00B9D344C}"/>
              </a:ext>
            </a:extLst>
          </xdr:cNvPr>
          <xdr:cNvGraphicFramePr>
            <a:graphicFrameLocks/>
          </xdr:cNvGraphicFramePr>
        </xdr:nvGraphicFramePr>
        <xdr:xfrm>
          <a:off x="7494737" y="1002081"/>
          <a:ext cx="2494770" cy="230687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553219</xdr:colOff>
      <xdr:row>8</xdr:row>
      <xdr:rowOff>174172</xdr:rowOff>
    </xdr:from>
    <xdr:to>
      <xdr:col>18</xdr:col>
      <xdr:colOff>463996</xdr:colOff>
      <xdr:row>22</xdr:row>
      <xdr:rowOff>141514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46D23C-5A90-075A-8946-A4BE3B1E8A7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0</v>
    <v>3</v>
  </rv>
  <rv s="1">
    <v>8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EFFB-9E04-4CFF-A42A-5ED5C0655053}">
  <dimension ref="A1:AA56"/>
  <sheetViews>
    <sheetView showGridLines="0" tabSelected="1" zoomScale="80" zoomScaleNormal="80" workbookViewId="0">
      <pane xSplit="1" ySplit="2" topLeftCell="B59" activePane="bottomRight" state="frozen"/>
      <selection pane="topRight" activeCell="B1" sqref="B1"/>
      <selection pane="bottomLeft" activeCell="A4" sqref="A4"/>
      <selection pane="bottomRight" activeCell="J19" sqref="J19"/>
    </sheetView>
  </sheetViews>
  <sheetFormatPr defaultColWidth="8" defaultRowHeight="14.4" x14ac:dyDescent="0.3"/>
  <cols>
    <col min="1" max="1" width="1.33203125" customWidth="1"/>
    <col min="2" max="2" width="1.44140625" customWidth="1"/>
    <col min="3" max="3" width="14.88671875" customWidth="1"/>
    <col min="4" max="4" width="15.33203125" bestFit="1" customWidth="1"/>
    <col min="5" max="5" width="10.21875" customWidth="1"/>
    <col min="6" max="6" width="16.44140625" bestFit="1" customWidth="1"/>
    <col min="7" max="7" width="10.5546875" customWidth="1"/>
    <col min="8" max="8" width="14.5546875" customWidth="1"/>
    <col min="9" max="9" width="11.21875" customWidth="1"/>
    <col min="10" max="10" width="13.6640625" bestFit="1" customWidth="1"/>
    <col min="11" max="11" width="11.21875" customWidth="1"/>
    <col min="12" max="12" width="11" bestFit="1" customWidth="1"/>
    <col min="13" max="13" width="18" bestFit="1" customWidth="1"/>
    <col min="14" max="14" width="16.6640625" customWidth="1"/>
    <col min="15" max="15" width="18" bestFit="1" customWidth="1"/>
    <col min="16" max="16" width="11.33203125" customWidth="1"/>
    <col min="17" max="17" width="0.88671875" customWidth="1"/>
    <col min="18" max="18" width="8" style="144"/>
    <col min="19" max="19" width="8.6640625" style="144" bestFit="1" customWidth="1"/>
    <col min="20" max="20" width="8" style="144"/>
    <col min="21" max="22" width="28.21875" style="257" customWidth="1"/>
    <col min="23" max="27" width="8" style="144"/>
  </cols>
  <sheetData>
    <row r="1" spans="1:27" s="161" customFormat="1" ht="7.8" customHeight="1" thickBot="1" x14ac:dyDescent="0.35">
      <c r="Q1" s="169"/>
      <c r="R1" s="175"/>
      <c r="S1" s="175"/>
      <c r="T1" s="175"/>
      <c r="U1" s="257"/>
      <c r="V1" s="257"/>
      <c r="W1" s="175"/>
      <c r="X1" s="175"/>
      <c r="Y1" s="175"/>
      <c r="Z1" s="175"/>
      <c r="AA1" s="175"/>
    </row>
    <row r="2" spans="1:27" s="161" customFormat="1" ht="66.599999999999994" customHeight="1" thickBot="1" x14ac:dyDescent="0.35">
      <c r="A2" s="209"/>
      <c r="B2" s="226"/>
      <c r="C2" s="227"/>
      <c r="D2" s="227"/>
      <c r="E2" s="227"/>
      <c r="F2" s="227"/>
      <c r="G2" s="227"/>
      <c r="H2" s="227"/>
      <c r="I2" s="227"/>
      <c r="J2" s="227"/>
      <c r="K2" s="227"/>
      <c r="L2" s="277" t="s">
        <v>69</v>
      </c>
      <c r="M2" s="278"/>
      <c r="N2" s="275" t="s">
        <v>10</v>
      </c>
      <c r="O2" s="275"/>
      <c r="P2" s="276"/>
      <c r="Q2" s="169"/>
      <c r="R2" s="175"/>
      <c r="S2" s="175"/>
      <c r="T2" s="175"/>
      <c r="U2" s="264"/>
      <c r="V2" s="258"/>
      <c r="W2" s="175"/>
      <c r="X2" s="175"/>
      <c r="Y2" s="175"/>
      <c r="Z2" s="175"/>
      <c r="AA2" s="175"/>
    </row>
    <row r="3" spans="1:27" s="161" customFormat="1" ht="4.8" customHeight="1" thickBot="1" x14ac:dyDescent="0.35">
      <c r="B3" s="228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6"/>
      <c r="Q3" s="169"/>
      <c r="R3" s="175"/>
      <c r="S3" s="175"/>
      <c r="T3" s="175"/>
      <c r="U3" s="257" t="s">
        <v>4</v>
      </c>
      <c r="V3" s="259" t="s">
        <v>119</v>
      </c>
      <c r="W3" s="175"/>
      <c r="X3" s="175"/>
      <c r="Y3" s="175"/>
      <c r="Z3" s="175"/>
      <c r="AA3" s="175"/>
    </row>
    <row r="4" spans="1:27" s="161" customFormat="1" ht="30" customHeight="1" thickTop="1" thickBot="1" x14ac:dyDescent="0.35">
      <c r="B4" s="228"/>
      <c r="C4" s="284" t="s">
        <v>117</v>
      </c>
      <c r="D4" s="279" t="s">
        <v>108</v>
      </c>
      <c r="E4" s="280"/>
      <c r="F4" s="280"/>
      <c r="G4" s="280"/>
      <c r="H4" s="281" t="s">
        <v>48</v>
      </c>
      <c r="I4" s="282"/>
      <c r="J4" s="282"/>
      <c r="K4" s="283"/>
      <c r="L4" s="229"/>
      <c r="M4" s="215"/>
      <c r="N4" s="215"/>
      <c r="O4" s="215"/>
      <c r="P4" s="216"/>
      <c r="Q4" s="169"/>
      <c r="R4" s="175"/>
      <c r="S4" s="175"/>
      <c r="T4" s="175"/>
      <c r="U4" s="259" t="s">
        <v>46</v>
      </c>
      <c r="V4" s="259" t="s">
        <v>68</v>
      </c>
      <c r="W4" s="175"/>
      <c r="X4" s="175"/>
      <c r="Y4" s="175"/>
      <c r="Z4" s="175"/>
      <c r="AA4" s="175"/>
    </row>
    <row r="5" spans="1:27" s="161" customFormat="1" ht="16.8" thickTop="1" thickBot="1" x14ac:dyDescent="0.35">
      <c r="B5" s="228"/>
      <c r="C5" s="285"/>
      <c r="D5" s="174" t="s">
        <v>110</v>
      </c>
      <c r="E5" s="174" t="s">
        <v>54</v>
      </c>
      <c r="F5" s="174" t="s">
        <v>111</v>
      </c>
      <c r="G5" s="174" t="s">
        <v>112</v>
      </c>
      <c r="H5" s="234" t="s">
        <v>110</v>
      </c>
      <c r="I5" s="234" t="s">
        <v>54</v>
      </c>
      <c r="J5" s="234" t="s">
        <v>111</v>
      </c>
      <c r="K5" s="235" t="s">
        <v>112</v>
      </c>
      <c r="L5" s="229"/>
      <c r="M5" s="229"/>
      <c r="N5" s="229"/>
      <c r="O5" s="229"/>
      <c r="P5" s="230"/>
      <c r="Q5" s="169"/>
      <c r="R5" s="175"/>
      <c r="S5" s="175"/>
      <c r="T5" s="175"/>
      <c r="U5" s="259" t="s">
        <v>26</v>
      </c>
      <c r="V5" s="259" t="s">
        <v>69</v>
      </c>
      <c r="W5" s="175"/>
      <c r="X5" s="175"/>
      <c r="Y5" s="175"/>
      <c r="Z5" s="175"/>
      <c r="AA5" s="175"/>
    </row>
    <row r="6" spans="1:27" s="161" customFormat="1" ht="16.8" thickTop="1" thickBot="1" x14ac:dyDescent="0.35">
      <c r="B6" s="228"/>
      <c r="C6" s="162" t="s">
        <v>109</v>
      </c>
      <c r="D6" s="236">
        <f>IF($N$2="Location",COUNTIF('FY23'!B:B, Dashboard!C6),COUNTIFS('FY23'!B:B, Dashboard!C6, 'FY23'!C:C, Dashboard!$N$2)
)</f>
        <v>0</v>
      </c>
      <c r="E6" s="165">
        <f>IF($N$2="Location",COUNTIF('FY24'!B:B,Dashboard!C6),COUNTIFS('FY24'!B:B,Dashboard!C6,'FY24'!C:C,Dashboard!$N$2))</f>
        <v>0</v>
      </c>
      <c r="F6" s="165">
        <f>IF($N$2="location",COUNTIF('Bud25'!B:B,Dashboard!C6),COUNTIFS('Bud25'!B:B,Dashboard!C6,'Bud25'!C:C,Dashboard!$N$2))</f>
        <v>0</v>
      </c>
      <c r="G6" s="206">
        <f>IF($N$2="location",COUNTIF('FY25'!B:B,Dashboard!C6),COUNTIFS('FY25'!C:C,Dashboard!$N$2,'FY25'!B:B,Dashboard!C6))</f>
        <v>0</v>
      </c>
      <c r="H6" s="262">
        <f>IF($N$2="location",SUMIF('FY23'!B:B,Dashboard!C6,'FY23'!AT:AT),SUMIFS('FY23'!AT:AT,'FY23'!C:C,Dashboard!$N$2,'FY23'!B:B,Dashboard!C6))/10^5</f>
        <v>0</v>
      </c>
      <c r="I6" s="262">
        <f>IF($N$2="location",SUMIF('FY24'!B:B,Dashboard!C6,'FY24'!AU:AU),SUMIFS('FY24'!AU:AU,'FY24'!C:C,Dashboard!$N$2,'FY24'!B:B,Dashboard!C6))</f>
        <v>0</v>
      </c>
      <c r="J6" s="262">
        <f>IF($N$2="location",SUMIF('Bud25'!B:B,Dashboard!C6,'Bud25'!AV:AV),SUMIFS('Bud25'!AV:AV,'Bud25'!B:B,Dashboard!C6,'Bud25'!C:C,Dashboard!$N$2))</f>
        <v>0</v>
      </c>
      <c r="K6" s="265">
        <f>IF($N$2="location",SUMIF('FY25'!B:B,Dashboard!C6,'FY25'!AW:AW),SUMIFS('FY25'!AW:AW,'FY25'!C:C,Dashboard!$N$2,'FY25'!B:B,Dashboard!C6))/10^5</f>
        <v>0</v>
      </c>
      <c r="L6" s="229"/>
      <c r="M6" s="229"/>
      <c r="N6" s="229"/>
      <c r="O6" s="229"/>
      <c r="P6" s="230"/>
      <c r="Q6" s="169"/>
      <c r="R6" s="175"/>
      <c r="S6" s="175"/>
      <c r="T6" s="175"/>
      <c r="U6" s="259" t="s">
        <v>35</v>
      </c>
      <c r="V6" s="259"/>
      <c r="W6" s="175"/>
      <c r="X6" s="175"/>
      <c r="Y6" s="175"/>
      <c r="Z6" s="175"/>
      <c r="AA6" s="175"/>
    </row>
    <row r="7" spans="1:27" s="161" customFormat="1" ht="16.8" thickTop="1" thickBot="1" x14ac:dyDescent="0.35">
      <c r="B7" s="228"/>
      <c r="C7" s="162" t="s">
        <v>50</v>
      </c>
      <c r="D7" s="236">
        <f>IF($N$2="Location",COUNTIF('FY23'!B:B, Dashboard!C7),COUNTIFS('FY23'!B:B, Dashboard!C7, 'FY23'!C:C, Dashboard!$N$2)
)</f>
        <v>0</v>
      </c>
      <c r="E7" s="165">
        <f>IF($N$2="Location",COUNTIF('FY24'!B:B,Dashboard!C7),COUNTIFS('FY24'!B:B,Dashboard!C7,'FY24'!C:C,Dashboard!$N$2))</f>
        <v>0</v>
      </c>
      <c r="F7" s="165">
        <f>IF($N$2="location",COUNTIF('Bud25'!B:B,Dashboard!C7),COUNTIFS('Bud25'!B:B,Dashboard!C7,'Bud25'!C:C,Dashboard!$N$2))</f>
        <v>0</v>
      </c>
      <c r="G7" s="206">
        <f>IF($N$2="location",COUNTIF('FY25'!B:B,Dashboard!C7),COUNTIFS('FY25'!C:C,Dashboard!$N$2,'FY25'!B:B,Dashboard!C7))</f>
        <v>0</v>
      </c>
      <c r="H7" s="262">
        <f>IF($N$2="location",SUMIF('FY23'!B:B,Dashboard!C7,'FY23'!AT:AT),SUMIFS('FY23'!AT:AT,'FY23'!C:C,Dashboard!$N$2,'FY23'!B:B,Dashboard!C7))/10^5</f>
        <v>0</v>
      </c>
      <c r="I7" s="262">
        <f>IF($N$2="location",SUMIF('FY24'!B:B,Dashboard!C7,'FY24'!AU:AU),SUMIFS('FY24'!AU:AU,'FY24'!C:C,Dashboard!$N$2,'FY24'!B:B,Dashboard!C7))</f>
        <v>0</v>
      </c>
      <c r="J7" s="262">
        <f>IF($N$2="location",SUMIF('Bud25'!B:B,Dashboard!C7,'Bud25'!AV:AV),SUMIFS('Bud25'!AV:AV,'Bud25'!B:B,Dashboard!C7,'Bud25'!C:C,Dashboard!$N$2))</f>
        <v>0</v>
      </c>
      <c r="K7" s="265">
        <f>IF($N$2="location",SUMIF('FY25'!B:B,Dashboard!C7,'FY25'!AW:AW),SUMIFS('FY25'!AW:AW,'FY25'!C:C,Dashboard!$N$2,'FY25'!B:B,Dashboard!C7))/10^5</f>
        <v>0</v>
      </c>
      <c r="L7" s="229"/>
      <c r="M7" s="229"/>
      <c r="N7" s="229"/>
      <c r="O7" s="229"/>
      <c r="P7" s="230"/>
      <c r="Q7" s="169"/>
      <c r="R7" s="175"/>
      <c r="S7" s="175"/>
      <c r="T7" s="175"/>
      <c r="U7" s="259" t="s">
        <v>17</v>
      </c>
      <c r="V7" s="259"/>
      <c r="W7" s="175"/>
      <c r="X7" s="175"/>
      <c r="Y7" s="175"/>
      <c r="Z7" s="175"/>
      <c r="AA7" s="175"/>
    </row>
    <row r="8" spans="1:27" s="161" customFormat="1" ht="16.8" thickTop="1" thickBot="1" x14ac:dyDescent="0.35">
      <c r="B8" s="228"/>
      <c r="C8" s="162" t="s">
        <v>113</v>
      </c>
      <c r="D8" s="236">
        <f>IF($N$2="Location",COUNTIF('FY23'!B:B, Dashboard!C8),COUNTIFS('FY23'!B:B, Dashboard!C8, 'FY23'!C:C, Dashboard!$N$2)
)</f>
        <v>0</v>
      </c>
      <c r="E8" s="165">
        <f>IF($N$2="Location",COUNTIF('FY24'!B:B,Dashboard!C8),COUNTIFS('FY24'!B:B,Dashboard!C8,'FY24'!C:C,Dashboard!$N$2))</f>
        <v>0</v>
      </c>
      <c r="F8" s="165">
        <f>IF($N$2="location",COUNTIF('Bud25'!B:B,Dashboard!C8),COUNTIFS('Bud25'!B:B,Dashboard!C8,'Bud25'!C:C,Dashboard!$N$2))</f>
        <v>0</v>
      </c>
      <c r="G8" s="206">
        <f>IF($N$2="location",COUNTIF('FY25'!B:B,Dashboard!C8),COUNTIFS('FY25'!C:C,Dashboard!$N$2,'FY25'!B:B,Dashboard!C8))</f>
        <v>0</v>
      </c>
      <c r="H8" s="262">
        <f>IF($N$2="location",SUMIF('FY23'!B:B,Dashboard!C8,'FY23'!AT:AT),SUMIFS('FY23'!AT:AT,'FY23'!C:C,Dashboard!$N$2,'FY23'!B:B,Dashboard!C8))/10^5</f>
        <v>0</v>
      </c>
      <c r="I8" s="262">
        <f>IF($N$2="location",SUMIF('FY24'!B:B,Dashboard!C8,'FY24'!AU:AU),SUMIFS('FY24'!AU:AU,'FY24'!C:C,Dashboard!$N$2,'FY24'!B:B,Dashboard!C8))</f>
        <v>0</v>
      </c>
      <c r="J8" s="262">
        <f>IF($N$2="location",SUMIF('Bud25'!B:B,Dashboard!C8,'Bud25'!AV:AV),SUMIFS('Bud25'!AV:AV,'Bud25'!B:B,Dashboard!C8,'Bud25'!C:C,Dashboard!$N$2))</f>
        <v>0</v>
      </c>
      <c r="K8" s="265">
        <f>IF($N$2="location",SUMIF('FY25'!B:B,Dashboard!C8,'FY25'!AW:AW),SUMIFS('FY25'!AW:AW,'FY25'!C:C,Dashboard!$N$2,'FY25'!B:B,Dashboard!C8))/10^5</f>
        <v>0</v>
      </c>
      <c r="L8" s="229"/>
      <c r="M8" s="229"/>
      <c r="N8" s="229"/>
      <c r="O8" s="229"/>
      <c r="P8" s="230"/>
      <c r="Q8" s="169"/>
      <c r="R8" s="175"/>
      <c r="S8" s="175"/>
      <c r="T8" s="175"/>
      <c r="U8" s="259" t="s">
        <v>55</v>
      </c>
      <c r="V8" s="259"/>
      <c r="W8" s="175"/>
      <c r="X8" s="175"/>
      <c r="Y8" s="175"/>
      <c r="Z8" s="175"/>
      <c r="AA8" s="175"/>
    </row>
    <row r="9" spans="1:27" s="161" customFormat="1" ht="16.8" thickTop="1" thickBot="1" x14ac:dyDescent="0.35">
      <c r="B9" s="228"/>
      <c r="C9" s="162" t="s">
        <v>56</v>
      </c>
      <c r="D9" s="236">
        <f>IF($N$2="Location",COUNTIF('FY23'!B:B, Dashboard!C9),COUNTIFS('FY23'!B:B, Dashboard!C9, 'FY23'!C:C, Dashboard!$N$2)
)</f>
        <v>1</v>
      </c>
      <c r="E9" s="165">
        <f>IF($N$2="Location",COUNTIF('FY24'!B:B,Dashboard!C9),COUNTIFS('FY24'!B:B,Dashboard!C9,'FY24'!C:C,Dashboard!$N$2))</f>
        <v>1</v>
      </c>
      <c r="F9" s="165">
        <f>IF($N$2="location",COUNTIF('Bud25'!B:B,Dashboard!C9),COUNTIFS('Bud25'!B:B,Dashboard!C9,'Bud25'!C:C,Dashboard!$N$2))</f>
        <v>1</v>
      </c>
      <c r="G9" s="206">
        <f>IF($N$2="location",COUNTIF('FY25'!B:B,Dashboard!C9),COUNTIFS('FY25'!C:C,Dashboard!$N$2,'FY25'!B:B,Dashboard!C9))</f>
        <v>1</v>
      </c>
      <c r="H9" s="262">
        <f>IF($N$2="location",SUMIF('FY23'!B:B,Dashboard!C9,'FY23'!AT:AT),SUMIFS('FY23'!AT:AT,'FY23'!C:C,Dashboard!$N$2,'FY23'!B:B,Dashboard!C9))/10^5</f>
        <v>3.4954999999999998</v>
      </c>
      <c r="I9" s="262">
        <f>IF($N$2="location",SUMIF('FY24'!B:B,Dashboard!C9,'FY24'!AU:AU),SUMIFS('FY24'!AU:AU,'FY24'!C:C,Dashboard!$N$2,'FY24'!B:B,Dashboard!C9))</f>
        <v>36.838950000000004</v>
      </c>
      <c r="J9" s="262">
        <f>IF($N$2="location",SUMIF('Bud25'!B:B,Dashboard!C9,'Bud25'!AV:AV),SUMIFS('Bud25'!AV:AV,'Bud25'!B:B,Dashboard!C9,'Bud25'!C:C,Dashboard!$N$2))</f>
        <v>53.128423263224995</v>
      </c>
      <c r="K9" s="265">
        <f>IF($N$2="location",SUMIF('FY25'!B:B,Dashboard!C9,'FY25'!AW:AW),SUMIFS('FY25'!AW:AW,'FY25'!C:C,Dashboard!$N$2,'FY25'!B:B,Dashboard!C9))/10^5</f>
        <v>18.86525</v>
      </c>
      <c r="L9" s="229"/>
      <c r="M9" s="229"/>
      <c r="N9" s="229"/>
      <c r="O9" s="229"/>
      <c r="P9" s="230"/>
      <c r="Q9" s="169"/>
      <c r="R9" s="175"/>
      <c r="S9" s="175"/>
      <c r="T9" s="175"/>
      <c r="U9" s="259" t="s">
        <v>34</v>
      </c>
      <c r="V9" s="259"/>
      <c r="W9" s="175"/>
      <c r="X9" s="175"/>
      <c r="Y9" s="175"/>
      <c r="Z9" s="175"/>
      <c r="AA9" s="175"/>
    </row>
    <row r="10" spans="1:27" s="161" customFormat="1" ht="16.8" thickTop="1" thickBot="1" x14ac:dyDescent="0.35">
      <c r="B10" s="228"/>
      <c r="C10" s="162" t="s">
        <v>59</v>
      </c>
      <c r="D10" s="236">
        <f>IF($N$2="Location",COUNTIF('FY23'!B:B, Dashboard!C10),COUNTIFS('FY23'!B:B, Dashboard!C10, 'FY23'!C:C, Dashboard!$N$2)
)</f>
        <v>0</v>
      </c>
      <c r="E10" s="214">
        <f>IF($N$2="Location",COUNTIF('FY24'!B:B,Dashboard!C10),COUNTIFS('FY24'!B:B,Dashboard!C10,'FY24'!C:C,Dashboard!$N$2))</f>
        <v>0</v>
      </c>
      <c r="F10" s="165">
        <f>IF($N$2="location",COUNTIF('Bud25'!B:B,Dashboard!C10),COUNTIFS('Bud25'!B:B,Dashboard!C10,'Bud25'!C:C,Dashboard!$N$2))</f>
        <v>0</v>
      </c>
      <c r="G10" s="206">
        <f>IF($N$2="location",COUNTIF('FY25'!B:B,Dashboard!C10),COUNTIFS('FY25'!C:C,Dashboard!$N$2,'FY25'!B:B,Dashboard!C10))</f>
        <v>0</v>
      </c>
      <c r="H10" s="262">
        <f>IF($N$2="location",SUMIF('FY23'!B:B,Dashboard!C10,'FY23'!AT:AT),SUMIFS('FY23'!AT:AT,'FY23'!C:C,Dashboard!$N$2,'FY23'!B:B,Dashboard!C10))/10^5</f>
        <v>0</v>
      </c>
      <c r="I10" s="262">
        <f>IF($N$2="location",SUMIF('FY24'!B:B,Dashboard!C10,'FY24'!AU:AU),SUMIFS('FY24'!AU:AU,'FY24'!C:C,Dashboard!$N$2,'FY24'!B:B,Dashboard!C10))</f>
        <v>0</v>
      </c>
      <c r="J10" s="262">
        <f>IF($N$2="location",SUMIF('Bud25'!B:B,Dashboard!C10,'Bud25'!AV:AV),SUMIFS('Bud25'!AV:AV,'Bud25'!B:B,Dashboard!C10,'Bud25'!C:C,Dashboard!$N$2))</f>
        <v>0</v>
      </c>
      <c r="K10" s="265">
        <f>IF($N$2="location",SUMIF('FY25'!B:B,Dashboard!C10,'FY25'!AW:AW),SUMIFS('FY25'!AW:AW,'FY25'!C:C,Dashboard!$N$2,'FY25'!B:B,Dashboard!C10))/10^5</f>
        <v>0</v>
      </c>
      <c r="L10" s="229"/>
      <c r="M10" s="229"/>
      <c r="N10" s="229"/>
      <c r="O10" s="229"/>
      <c r="P10" s="230"/>
      <c r="Q10" s="169"/>
      <c r="R10" s="175"/>
      <c r="S10" s="175"/>
      <c r="T10" s="175"/>
      <c r="U10" s="259" t="s">
        <v>33</v>
      </c>
      <c r="V10" s="260"/>
      <c r="W10" s="175"/>
      <c r="X10" s="175"/>
      <c r="Y10" s="175"/>
      <c r="Z10" s="175"/>
      <c r="AA10" s="175"/>
    </row>
    <row r="11" spans="1:27" s="161" customFormat="1" ht="16.8" thickTop="1" thickBot="1" x14ac:dyDescent="0.35">
      <c r="B11" s="228"/>
      <c r="C11" s="162" t="s">
        <v>20</v>
      </c>
      <c r="D11" s="236">
        <f>IF($N$2="Location",COUNTIF('FY23'!B:B, Dashboard!C11),COUNTIFS('FY23'!B:B, Dashboard!C11, 'FY23'!C:C, Dashboard!$N$2)
)</f>
        <v>0</v>
      </c>
      <c r="E11" s="165">
        <f>IF($N$2="Location",COUNTIF('FY24'!B:B,Dashboard!C11),COUNTIFS('FY24'!B:B,Dashboard!C11,'FY24'!C:C,Dashboard!$N$2))</f>
        <v>0</v>
      </c>
      <c r="F11" s="165">
        <f>IF($N$2="location",COUNTIF('Bud25'!B:B,Dashboard!C11),COUNTIFS('Bud25'!B:B,Dashboard!C11,'Bud25'!C:C,Dashboard!$N$2))</f>
        <v>0</v>
      </c>
      <c r="G11" s="206">
        <f>IF($N$2="location",COUNTIF('FY25'!B:B,Dashboard!C11),COUNTIFS('FY25'!C:C,Dashboard!$N$2,'FY25'!B:B,Dashboard!C11))</f>
        <v>0</v>
      </c>
      <c r="H11" s="262">
        <f>IF($N$2="location",SUMIF('FY23'!B:B,Dashboard!C11,'FY23'!AT:AT),SUMIFS('FY23'!AT:AT,'FY23'!C:C,Dashboard!$N$2,'FY23'!B:B,Dashboard!C11))/10^5</f>
        <v>0</v>
      </c>
      <c r="I11" s="262">
        <f>IF($N$2="location",SUMIF('FY24'!B:B,Dashboard!C11,'FY24'!AU:AU),SUMIFS('FY24'!AU:AU,'FY24'!C:C,Dashboard!$N$2,'FY24'!B:B,Dashboard!C11))</f>
        <v>0</v>
      </c>
      <c r="J11" s="262">
        <f>IF($N$2="location",SUMIF('Bud25'!B:B,Dashboard!C11,'Bud25'!AV:AV),SUMIFS('Bud25'!AV:AV,'Bud25'!B:B,Dashboard!C11,'Bud25'!C:C,Dashboard!$N$2))</f>
        <v>0</v>
      </c>
      <c r="K11" s="265">
        <f>IF($N$2="location",SUMIF('FY25'!B:B,Dashboard!C11,'FY25'!AW:AW),SUMIFS('FY25'!AW:AW,'FY25'!C:C,Dashboard!$N$2,'FY25'!B:B,Dashboard!C11))/10^5</f>
        <v>0</v>
      </c>
      <c r="L11" s="229"/>
      <c r="M11" s="229"/>
      <c r="N11" s="229"/>
      <c r="O11" s="229"/>
      <c r="P11" s="230"/>
      <c r="Q11" s="169"/>
      <c r="R11" s="175"/>
      <c r="S11" s="175"/>
      <c r="T11" s="175"/>
      <c r="U11" s="259" t="s">
        <v>9</v>
      </c>
      <c r="V11" s="257"/>
      <c r="W11" s="175"/>
      <c r="X11" s="175"/>
      <c r="Y11" s="175"/>
      <c r="Z11" s="175"/>
      <c r="AA11" s="175"/>
    </row>
    <row r="12" spans="1:27" s="161" customFormat="1" ht="16.8" thickTop="1" thickBot="1" x14ac:dyDescent="0.35">
      <c r="B12" s="228"/>
      <c r="C12" s="162" t="s">
        <v>61</v>
      </c>
      <c r="D12" s="236">
        <f>IF($N$2="Location",COUNTIF('FY23'!B:B, Dashboard!C12),COUNTIFS('FY23'!B:B, Dashboard!C12, 'FY23'!C:C, Dashboard!$N$2)
)</f>
        <v>0</v>
      </c>
      <c r="E12" s="165">
        <f>IF($N$2="Location",COUNTIF('FY24'!B:B,Dashboard!C12),COUNTIFS('FY24'!B:B,Dashboard!C12,'FY24'!C:C,Dashboard!$N$2))</f>
        <v>0</v>
      </c>
      <c r="F12" s="165">
        <f>IF($N$2="location",COUNTIF('Bud25'!B:B,Dashboard!C12),COUNTIFS('Bud25'!B:B,Dashboard!C12,'Bud25'!C:C,Dashboard!$N$2))</f>
        <v>0</v>
      </c>
      <c r="G12" s="206">
        <f>IF($N$2="location",COUNTIF('FY25'!B:B,Dashboard!C12),COUNTIFS('FY25'!C:C,Dashboard!$N$2,'FY25'!B:B,Dashboard!C12))</f>
        <v>0</v>
      </c>
      <c r="H12" s="262">
        <f>IF($N$2="location",SUMIF('FY23'!B:B,Dashboard!C12,'FY23'!AT:AT),SUMIFS('FY23'!AT:AT,'FY23'!C:C,Dashboard!$N$2,'FY23'!B:B,Dashboard!C12))/10^5</f>
        <v>0</v>
      </c>
      <c r="I12" s="262">
        <f>IF($N$2="location",SUMIF('FY24'!B:B,Dashboard!C12,'FY24'!AU:AU),SUMIFS('FY24'!AU:AU,'FY24'!C:C,Dashboard!$N$2,'FY24'!B:B,Dashboard!C12))</f>
        <v>0</v>
      </c>
      <c r="J12" s="262">
        <f>IF($N$2="location",SUMIF('Bud25'!B:B,Dashboard!C12,'Bud25'!AV:AV),SUMIFS('Bud25'!AV:AV,'Bud25'!B:B,Dashboard!C12,'Bud25'!C:C,Dashboard!$N$2))</f>
        <v>0</v>
      </c>
      <c r="K12" s="265">
        <f>IF($N$2="location",SUMIF('FY25'!B:B,Dashboard!C12,'FY25'!AW:AW),SUMIFS('FY25'!AW:AW,'FY25'!C:C,Dashboard!$N$2,'FY25'!B:B,Dashboard!C12))/10^5</f>
        <v>0</v>
      </c>
      <c r="L12" s="229"/>
      <c r="M12" s="229"/>
      <c r="N12" s="229"/>
      <c r="O12" s="229"/>
      <c r="P12" s="230"/>
      <c r="Q12" s="169"/>
      <c r="R12" s="175"/>
      <c r="S12" s="175"/>
      <c r="T12" s="175"/>
      <c r="U12" s="259" t="s">
        <v>31</v>
      </c>
      <c r="V12" s="257"/>
      <c r="W12" s="175"/>
      <c r="X12" s="175"/>
      <c r="Y12" s="175"/>
      <c r="Z12" s="175"/>
      <c r="AA12" s="175"/>
    </row>
    <row r="13" spans="1:27" s="161" customFormat="1" ht="16.8" thickTop="1" thickBot="1" x14ac:dyDescent="0.35">
      <c r="B13" s="228"/>
      <c r="C13" s="207" t="s">
        <v>3</v>
      </c>
      <c r="D13" s="237">
        <f t="shared" ref="D13:K13" si="0">SUM(D6:D12)</f>
        <v>1</v>
      </c>
      <c r="E13" s="208">
        <f t="shared" si="0"/>
        <v>1</v>
      </c>
      <c r="F13" s="208">
        <f t="shared" si="0"/>
        <v>1</v>
      </c>
      <c r="G13" s="208">
        <f t="shared" si="0"/>
        <v>1</v>
      </c>
      <c r="H13" s="262">
        <f t="shared" si="0"/>
        <v>3.4954999999999998</v>
      </c>
      <c r="I13" s="262">
        <f t="shared" si="0"/>
        <v>36.838950000000004</v>
      </c>
      <c r="J13" s="262">
        <f t="shared" si="0"/>
        <v>53.128423263224995</v>
      </c>
      <c r="K13" s="265">
        <f t="shared" si="0"/>
        <v>18.86525</v>
      </c>
      <c r="L13" s="229"/>
      <c r="M13" s="229"/>
      <c r="N13" s="229"/>
      <c r="O13" s="229"/>
      <c r="P13" s="230"/>
      <c r="Q13" s="169"/>
      <c r="R13" s="175"/>
      <c r="S13" s="175"/>
      <c r="T13" s="175"/>
      <c r="U13" s="259" t="s">
        <v>8</v>
      </c>
      <c r="V13" s="257"/>
      <c r="W13" s="175"/>
      <c r="X13" s="175"/>
      <c r="Y13" s="175"/>
      <c r="Z13" s="175"/>
      <c r="AA13" s="175"/>
    </row>
    <row r="14" spans="1:27" s="161" customFormat="1" ht="6.6" customHeight="1" thickTop="1" x14ac:dyDescent="0.3">
      <c r="B14" s="228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30"/>
      <c r="Q14" s="169"/>
      <c r="R14" s="175"/>
      <c r="S14" s="175"/>
      <c r="T14" s="175"/>
      <c r="U14" s="259" t="s">
        <v>18</v>
      </c>
      <c r="V14" s="259"/>
      <c r="W14" s="175"/>
      <c r="X14" s="175"/>
      <c r="Y14" s="175"/>
      <c r="Z14" s="175"/>
      <c r="AA14" s="175"/>
    </row>
    <row r="15" spans="1:27" s="161" customFormat="1" ht="16.2" thickBot="1" x14ac:dyDescent="0.35">
      <c r="B15" s="228"/>
      <c r="C15" s="210" t="s">
        <v>78</v>
      </c>
      <c r="D15" s="211" t="s">
        <v>48</v>
      </c>
      <c r="E15" s="210" t="s">
        <v>79</v>
      </c>
      <c r="F15" s="212" t="s">
        <v>48</v>
      </c>
      <c r="G15" s="213" t="s">
        <v>69</v>
      </c>
      <c r="H15" s="211" t="s">
        <v>48</v>
      </c>
      <c r="I15" s="210" t="s">
        <v>56</v>
      </c>
      <c r="J15" s="211" t="s">
        <v>48</v>
      </c>
      <c r="K15" s="210" t="s">
        <v>59</v>
      </c>
      <c r="L15" s="211" t="s">
        <v>48</v>
      </c>
      <c r="M15" s="210" t="s">
        <v>20</v>
      </c>
      <c r="N15" s="211" t="s">
        <v>48</v>
      </c>
      <c r="O15" s="210" t="s">
        <v>61</v>
      </c>
      <c r="P15" s="217" t="s">
        <v>48</v>
      </c>
      <c r="Q15" s="169"/>
      <c r="R15" s="175"/>
      <c r="S15" s="175"/>
      <c r="T15" s="175"/>
      <c r="U15" s="259" t="s">
        <v>36</v>
      </c>
      <c r="V15" s="260"/>
      <c r="W15" s="175"/>
      <c r="X15" s="175"/>
      <c r="Y15" s="175"/>
      <c r="Z15" s="175"/>
      <c r="AA15" s="175"/>
    </row>
    <row r="16" spans="1:27" s="161" customFormat="1" ht="15.6" x14ac:dyDescent="0.3">
      <c r="B16" s="228"/>
      <c r="C16" s="163" t="s">
        <v>118</v>
      </c>
      <c r="D16" s="164">
        <f ca="1">IF($N$2="location",SUM('FY23'!AU:AU),SUMIFS('FY23'!AU:AU,'FY23'!C:C,Dashboard!$N$2))</f>
        <v>0</v>
      </c>
      <c r="E16" s="163" t="s">
        <v>118</v>
      </c>
      <c r="F16" s="170">
        <f>IF($N$2="location",SUM('FY23'!Q:Q),SUMIFS('FY23'!Q:Q,'FY23'!C:C,Dashboard!$N$2))</f>
        <v>0</v>
      </c>
      <c r="G16" s="218" t="s">
        <v>118</v>
      </c>
      <c r="H16" s="164">
        <f>IF($N$2="location",SUM('FY23'!AF:AF),SUMIFS('FY23'!AF:AF,'FY23'!$C:$C,Dashboard!$N$2))</f>
        <v>0</v>
      </c>
      <c r="I16" s="163" t="s">
        <v>118</v>
      </c>
      <c r="J16" s="164">
        <f ca="1">IF($N$2="location",SUMIF('FY23'!$B:$B,Dashboard!$I$15,'FY23'!AU:AU),SUMIFS('FY23'!AU:AU,'FY23'!$B:$B,Dashboard!$I$15,'FY23'!$C:$C,Dashboard!$N$2))</f>
        <v>0</v>
      </c>
      <c r="K16" s="163" t="s">
        <v>118</v>
      </c>
      <c r="L16" s="164"/>
      <c r="M16" s="163" t="s">
        <v>118</v>
      </c>
      <c r="N16" s="164"/>
      <c r="O16" s="163" t="s">
        <v>118</v>
      </c>
      <c r="P16" s="219"/>
      <c r="Q16" s="169"/>
      <c r="R16" s="175"/>
      <c r="S16" s="175"/>
      <c r="T16" s="175"/>
      <c r="U16" s="259" t="s">
        <v>28</v>
      </c>
      <c r="V16" s="260"/>
      <c r="W16" s="175"/>
      <c r="X16" s="175"/>
      <c r="Y16" s="175"/>
      <c r="Z16" s="175"/>
      <c r="AA16" s="175"/>
    </row>
    <row r="17" spans="2:27" s="161" customFormat="1" ht="15.6" x14ac:dyDescent="0.3">
      <c r="B17" s="228"/>
      <c r="C17" s="163" t="s">
        <v>114</v>
      </c>
      <c r="D17" s="164">
        <f>IF($N$2="location",SUM('FY24'!AV:AV),SUMIFS('FY24'!AV:AV,'FY24'!C:C,Dashboard!$N$2))</f>
        <v>12.810499999999999</v>
      </c>
      <c r="E17" s="163" t="s">
        <v>114</v>
      </c>
      <c r="F17" s="170">
        <f>IF($N$2="location",SUM('FY24'!Q:Q),SUMIFS('FY24'!Q:Q,'FY24'!C:C,Dashboard!$N$2))</f>
        <v>12.810499999999999</v>
      </c>
      <c r="G17" s="218" t="s">
        <v>114</v>
      </c>
      <c r="H17" s="164">
        <f>IF($N$2="location",SUM('FY24'!AG:AG),SUMIFS('FY24'!AG:AG,'FY24'!$C:$C,Dashboard!$N$2))</f>
        <v>0</v>
      </c>
      <c r="I17" s="163" t="s">
        <v>114</v>
      </c>
      <c r="J17" s="164">
        <f>IF($N$2="location",SUMIF('FY24'!$B:$B,Dashboard!$I$15,'FY24'!AV:AV),SUMIFS('FY24'!AV:AV,'FY24'!$B:$B,Dashboard!$I$15,'FY24'!$C:$C,Dashboard!$N$2))</f>
        <v>12.810499999999999</v>
      </c>
      <c r="K17" s="163" t="s">
        <v>114</v>
      </c>
      <c r="L17" s="164"/>
      <c r="M17" s="163" t="s">
        <v>114</v>
      </c>
      <c r="N17" s="164"/>
      <c r="O17" s="163" t="s">
        <v>114</v>
      </c>
      <c r="P17" s="219"/>
      <c r="Q17" s="169"/>
      <c r="R17" s="175"/>
      <c r="S17" s="175"/>
      <c r="T17" s="175"/>
      <c r="U17" s="259" t="s">
        <v>25</v>
      </c>
      <c r="V17" s="259"/>
      <c r="W17" s="175"/>
      <c r="X17" s="175"/>
      <c r="Y17" s="175"/>
      <c r="Z17" s="175"/>
      <c r="AA17" s="175"/>
    </row>
    <row r="18" spans="2:27" s="161" customFormat="1" ht="15.6" x14ac:dyDescent="0.3">
      <c r="B18" s="228"/>
      <c r="C18" s="163" t="s">
        <v>111</v>
      </c>
      <c r="D18" s="164">
        <f>IF($N$2="location",SUM('Bud25'!AW:AW),SUMIFS('Bud25'!AW:AW,'Bud25'!C:C,Dashboard!$N$2))</f>
        <v>17.686731077119184</v>
      </c>
      <c r="E18" s="163" t="s">
        <v>111</v>
      </c>
      <c r="F18" s="170">
        <f>IF($N$2="location",SUM('Bud25'!Q:Q),SUMIFS('Bud25'!Q:Q,'Bud25'!C:C,Dashboard!$N$2))</f>
        <v>17.686731077119184</v>
      </c>
      <c r="G18" s="218" t="s">
        <v>111</v>
      </c>
      <c r="H18" s="164">
        <f>IF($N$2="location",SUM('Bud25'!AG:AG),SUMIFS('Bud25'!AG:AG,'Bud25'!$C:$C,Dashboard!$N$2))</f>
        <v>0</v>
      </c>
      <c r="I18" s="163" t="s">
        <v>111</v>
      </c>
      <c r="J18" s="164">
        <f>IF(N2="location",SUMIF('Bud25'!B:B,Dashboard!I15,'Bud25'!AW:AW),SUMIFS('Bud25'!AW:AW,'Bud25'!C:C,Dashboard!N2,'Bud25'!B:B,Dashboard!I15))</f>
        <v>17.686731077119184</v>
      </c>
      <c r="K18" s="163" t="s">
        <v>111</v>
      </c>
      <c r="L18" s="164"/>
      <c r="M18" s="163" t="s">
        <v>111</v>
      </c>
      <c r="N18" s="164"/>
      <c r="O18" s="163" t="s">
        <v>111</v>
      </c>
      <c r="P18" s="219"/>
      <c r="Q18" s="169"/>
      <c r="R18" s="175"/>
      <c r="S18" s="175"/>
      <c r="T18" s="175"/>
      <c r="U18" s="259" t="s">
        <v>27</v>
      </c>
      <c r="V18" s="260"/>
      <c r="W18" s="175"/>
      <c r="X18" s="175"/>
      <c r="Y18" s="175"/>
      <c r="Z18" s="175"/>
      <c r="AA18" s="175"/>
    </row>
    <row r="19" spans="2:27" s="161" customFormat="1" ht="16.2" thickBot="1" x14ac:dyDescent="0.35">
      <c r="B19" s="228"/>
      <c r="C19" s="163" t="s">
        <v>112</v>
      </c>
      <c r="D19" s="164">
        <f>IF($N$2="location",SUM('FY25'!AW:AW),SUMIFS('FY25'!AW:AW,'FY25'!C:C,Dashboard!$N$2))/10^5</f>
        <v>18.86525</v>
      </c>
      <c r="E19" s="163" t="s">
        <v>112</v>
      </c>
      <c r="F19" s="170">
        <f>IF(N2="location",SUM('FY25'!Q:Q),SUMIFS('FY25'!Q:Q,'FY25'!C:C,Dashboard!N2))/10^5</f>
        <v>18.84525</v>
      </c>
      <c r="G19" s="218" t="s">
        <v>112</v>
      </c>
      <c r="H19" s="164">
        <f>IF($N$2="location",SUM('FY25'!AG:AG),SUMIFS('FY25'!AG:AG,'FY25'!$C:$C,Dashboard!$N$2))/10^5</f>
        <v>0.02</v>
      </c>
      <c r="I19" s="163" t="s">
        <v>112</v>
      </c>
      <c r="J19" s="164">
        <f>IF(N2="location",SUMIF('FY25'!B:B,Dashboard!I15,'FY25'!AW:AW),SUMIFS('FY25'!AW:AW,'FY25'!C:C,Dashboard!N2,'FY25'!B:B,Dashboard!I15))/10^5</f>
        <v>18.86525</v>
      </c>
      <c r="K19" s="163" t="s">
        <v>112</v>
      </c>
      <c r="L19" s="164"/>
      <c r="M19" s="163" t="s">
        <v>112</v>
      </c>
      <c r="N19" s="164"/>
      <c r="O19" s="163" t="s">
        <v>112</v>
      </c>
      <c r="P19" s="219"/>
      <c r="Q19" s="169"/>
      <c r="R19" s="175"/>
      <c r="S19" s="175"/>
      <c r="T19" s="175"/>
      <c r="U19" s="259" t="s">
        <v>10</v>
      </c>
      <c r="V19" s="260"/>
      <c r="W19" s="175"/>
      <c r="X19" s="175"/>
      <c r="Y19" s="175"/>
      <c r="Z19" s="175"/>
      <c r="AA19" s="175"/>
    </row>
    <row r="20" spans="2:27" s="161" customFormat="1" ht="15.6" x14ac:dyDescent="0.3">
      <c r="B20" s="228"/>
      <c r="C20" s="165" t="s">
        <v>115</v>
      </c>
      <c r="D20" s="166">
        <f ca="1">IFERROR(D19/D16,0)</f>
        <v>0</v>
      </c>
      <c r="E20" s="165" t="s">
        <v>80</v>
      </c>
      <c r="F20" s="171">
        <f>IFERROR(F19/F16,0)</f>
        <v>0</v>
      </c>
      <c r="G20" s="165" t="s">
        <v>80</v>
      </c>
      <c r="H20" s="166">
        <f>IFERROR(H19/H16,0)</f>
        <v>0</v>
      </c>
      <c r="I20" s="165" t="s">
        <v>80</v>
      </c>
      <c r="J20" s="166">
        <f ca="1">IFERROR(J19/J16,0)</f>
        <v>0</v>
      </c>
      <c r="K20" s="165" t="s">
        <v>80</v>
      </c>
      <c r="L20" s="166">
        <f>IFERROR(L19/L16,0)</f>
        <v>0</v>
      </c>
      <c r="M20" s="165" t="s">
        <v>80</v>
      </c>
      <c r="N20" s="166" t="e">
        <f>N19/N16</f>
        <v>#DIV/0!</v>
      </c>
      <c r="O20" s="165" t="s">
        <v>80</v>
      </c>
      <c r="P20" s="220" t="e">
        <f>P19/P16</f>
        <v>#DIV/0!</v>
      </c>
      <c r="Q20" s="169"/>
      <c r="R20" s="175"/>
      <c r="S20" s="175"/>
      <c r="T20" s="175"/>
      <c r="U20" s="259" t="s">
        <v>24</v>
      </c>
      <c r="V20" s="260"/>
      <c r="W20" s="175"/>
      <c r="X20" s="175"/>
      <c r="Y20" s="175"/>
      <c r="Z20" s="175"/>
      <c r="AA20" s="175"/>
    </row>
    <row r="21" spans="2:27" s="161" customFormat="1" ht="16.2" thickBot="1" x14ac:dyDescent="0.35">
      <c r="B21" s="228"/>
      <c r="C21" s="167" t="s">
        <v>116</v>
      </c>
      <c r="D21" s="168">
        <f>IFERROR(D19/D18,0)</f>
        <v>1.0666329418218741</v>
      </c>
      <c r="E21" s="167" t="s">
        <v>91</v>
      </c>
      <c r="F21" s="172">
        <f>IFERROR(F19/F18,0)</f>
        <v>1.0655021506138893</v>
      </c>
      <c r="G21" s="167" t="s">
        <v>91</v>
      </c>
      <c r="H21" s="168">
        <f>IFERROR(H19/H18,0)</f>
        <v>0</v>
      </c>
      <c r="I21" s="167" t="s">
        <v>91</v>
      </c>
      <c r="J21" s="168">
        <f>IFERROR(J19/J18,0)</f>
        <v>1.0666329418218741</v>
      </c>
      <c r="K21" s="167" t="s">
        <v>91</v>
      </c>
      <c r="L21" s="168">
        <f>IFERROR(L19/L18,0)</f>
        <v>0</v>
      </c>
      <c r="M21" s="167" t="s">
        <v>91</v>
      </c>
      <c r="N21" s="168" t="e">
        <f>N19/N18</f>
        <v>#DIV/0!</v>
      </c>
      <c r="O21" s="167" t="s">
        <v>91</v>
      </c>
      <c r="P21" s="221" t="e">
        <f>P19/P18</f>
        <v>#DIV/0!</v>
      </c>
      <c r="Q21" s="169"/>
      <c r="R21" s="175"/>
      <c r="S21" s="175"/>
      <c r="T21" s="175"/>
      <c r="U21" s="259" t="s">
        <v>12</v>
      </c>
      <c r="V21" s="260"/>
      <c r="W21" s="175"/>
      <c r="X21" s="175"/>
      <c r="Y21" s="175"/>
      <c r="Z21" s="175"/>
      <c r="AA21" s="175"/>
    </row>
    <row r="22" spans="2:27" s="161" customFormat="1" ht="15" thickTop="1" x14ac:dyDescent="0.3">
      <c r="B22" s="228"/>
      <c r="C22" s="229"/>
      <c r="D22" s="229"/>
      <c r="E22" s="229"/>
      <c r="F22" s="229"/>
      <c r="G22" s="229"/>
      <c r="H22" s="229"/>
      <c r="I22" s="229"/>
      <c r="J22" s="229"/>
      <c r="K22" s="229"/>
      <c r="L22" s="229"/>
      <c r="M22" s="229"/>
      <c r="N22" s="229"/>
      <c r="O22" s="229"/>
      <c r="P22" s="230"/>
      <c r="Q22" s="169"/>
      <c r="R22" s="175"/>
      <c r="S22" s="175"/>
      <c r="T22" s="175"/>
      <c r="U22" s="259" t="s">
        <v>37</v>
      </c>
      <c r="V22" s="259"/>
      <c r="W22" s="175"/>
      <c r="X22" s="175"/>
      <c r="Y22" s="175"/>
      <c r="Z22" s="175"/>
      <c r="AA22" s="175"/>
    </row>
    <row r="23" spans="2:27" s="161" customFormat="1" x14ac:dyDescent="0.3">
      <c r="B23" s="228"/>
      <c r="C23" s="229"/>
      <c r="D23" s="229"/>
      <c r="E23" s="229"/>
      <c r="F23" s="229"/>
      <c r="G23" s="229"/>
      <c r="H23" s="229"/>
      <c r="I23" s="229"/>
      <c r="J23" s="229"/>
      <c r="K23" s="229"/>
      <c r="L23" s="229"/>
      <c r="M23" s="229"/>
      <c r="N23" s="229"/>
      <c r="O23" s="229"/>
      <c r="P23" s="230"/>
      <c r="Q23" s="169"/>
      <c r="R23" s="175"/>
      <c r="S23" s="175"/>
      <c r="T23" s="175"/>
      <c r="U23" s="259" t="s">
        <v>45</v>
      </c>
      <c r="V23" s="259"/>
      <c r="W23" s="175"/>
      <c r="X23" s="175"/>
      <c r="Y23" s="175"/>
      <c r="Z23" s="175"/>
      <c r="AA23" s="175"/>
    </row>
    <row r="24" spans="2:27" s="161" customFormat="1" x14ac:dyDescent="0.3">
      <c r="B24" s="228"/>
      <c r="C24" s="229"/>
      <c r="D24" s="229"/>
      <c r="E24" s="229"/>
      <c r="F24" s="229"/>
      <c r="G24" s="229"/>
      <c r="H24" s="229"/>
      <c r="I24" s="229"/>
      <c r="J24" s="229"/>
      <c r="K24" s="229"/>
      <c r="L24" s="229"/>
      <c r="M24" s="229"/>
      <c r="N24" s="229"/>
      <c r="O24" s="229"/>
      <c r="P24" s="230"/>
      <c r="Q24" s="169"/>
      <c r="R24" s="175"/>
      <c r="S24" s="175"/>
      <c r="T24" s="175"/>
      <c r="U24" s="259" t="s">
        <v>14</v>
      </c>
      <c r="V24" s="259"/>
      <c r="W24" s="175"/>
      <c r="X24" s="175"/>
      <c r="Y24" s="175"/>
      <c r="Z24" s="175"/>
      <c r="AA24" s="175"/>
    </row>
    <row r="25" spans="2:27" s="161" customFormat="1" x14ac:dyDescent="0.3">
      <c r="B25" s="228"/>
      <c r="C25" s="229"/>
      <c r="D25" s="229"/>
      <c r="E25" s="229"/>
      <c r="F25" s="229"/>
      <c r="G25" s="229"/>
      <c r="H25" s="229"/>
      <c r="I25" s="229"/>
      <c r="J25" s="229"/>
      <c r="K25" s="229"/>
      <c r="L25" s="229"/>
      <c r="M25" s="229"/>
      <c r="N25" s="229"/>
      <c r="O25" s="229"/>
      <c r="P25" s="230"/>
      <c r="Q25" s="169"/>
      <c r="R25" s="175"/>
      <c r="S25" s="175"/>
      <c r="T25" s="175"/>
      <c r="U25" s="259" t="s">
        <v>15</v>
      </c>
      <c r="V25" s="259"/>
      <c r="W25" s="175"/>
      <c r="X25" s="175"/>
      <c r="Y25" s="175"/>
      <c r="Z25" s="175"/>
      <c r="AA25" s="175"/>
    </row>
    <row r="26" spans="2:27" s="161" customFormat="1" x14ac:dyDescent="0.3">
      <c r="B26" s="228"/>
      <c r="C26" s="229"/>
      <c r="D26" s="229"/>
      <c r="E26" s="229"/>
      <c r="F26" s="229"/>
      <c r="G26" s="229"/>
      <c r="H26" s="229"/>
      <c r="I26" s="229"/>
      <c r="J26" s="229"/>
      <c r="K26" s="229"/>
      <c r="L26" s="229"/>
      <c r="M26" s="229"/>
      <c r="N26" s="229"/>
      <c r="O26" s="229"/>
      <c r="P26" s="230"/>
      <c r="Q26" s="169"/>
      <c r="R26" s="175"/>
      <c r="S26" s="175"/>
      <c r="T26" s="175"/>
      <c r="U26" s="259" t="s">
        <v>16</v>
      </c>
      <c r="V26" s="259"/>
      <c r="W26" s="175"/>
      <c r="X26" s="175"/>
      <c r="Y26" s="175"/>
      <c r="Z26" s="175"/>
      <c r="AA26" s="175"/>
    </row>
    <row r="27" spans="2:27" s="161" customFormat="1" x14ac:dyDescent="0.3">
      <c r="B27" s="228"/>
      <c r="C27" s="229"/>
      <c r="D27" s="229"/>
      <c r="E27" s="229"/>
      <c r="F27" s="229"/>
      <c r="G27" s="229"/>
      <c r="H27" s="229"/>
      <c r="I27" s="229"/>
      <c r="J27" s="229"/>
      <c r="K27" s="229"/>
      <c r="L27" s="229"/>
      <c r="M27" s="229"/>
      <c r="N27" s="229"/>
      <c r="O27" s="229"/>
      <c r="P27" s="230"/>
      <c r="Q27" s="169"/>
      <c r="R27" s="175"/>
      <c r="S27" s="175"/>
      <c r="T27" s="175"/>
      <c r="U27" s="259" t="s">
        <v>38</v>
      </c>
      <c r="V27" s="259"/>
      <c r="W27" s="175"/>
      <c r="X27" s="175"/>
      <c r="Y27" s="175"/>
      <c r="Z27" s="175"/>
      <c r="AA27" s="175"/>
    </row>
    <row r="28" spans="2:27" s="161" customFormat="1" x14ac:dyDescent="0.3">
      <c r="B28" s="228"/>
      <c r="C28" s="229"/>
      <c r="D28" s="229"/>
      <c r="E28" s="229"/>
      <c r="F28" s="229"/>
      <c r="G28" s="229"/>
      <c r="H28" s="229"/>
      <c r="I28" s="229"/>
      <c r="J28" s="229"/>
      <c r="K28" s="229"/>
      <c r="L28" s="229"/>
      <c r="M28" s="229"/>
      <c r="N28" s="229"/>
      <c r="O28" s="229"/>
      <c r="P28" s="230"/>
      <c r="Q28" s="169"/>
      <c r="R28" s="175"/>
      <c r="S28" s="175"/>
      <c r="T28" s="175"/>
      <c r="U28" s="259" t="s">
        <v>39</v>
      </c>
      <c r="V28" s="259"/>
      <c r="W28" s="175"/>
      <c r="X28" s="175"/>
      <c r="Y28" s="175"/>
      <c r="Z28" s="175"/>
      <c r="AA28" s="175"/>
    </row>
    <row r="29" spans="2:27" s="161" customFormat="1" x14ac:dyDescent="0.3">
      <c r="B29" s="228"/>
      <c r="C29" s="229"/>
      <c r="D29" s="229"/>
      <c r="E29" s="229"/>
      <c r="F29" s="229"/>
      <c r="G29" s="229"/>
      <c r="H29" s="229"/>
      <c r="I29" s="229"/>
      <c r="J29" s="229"/>
      <c r="K29" s="229"/>
      <c r="L29" s="229"/>
      <c r="M29" s="229"/>
      <c r="N29" s="229"/>
      <c r="O29" s="229"/>
      <c r="P29" s="230"/>
      <c r="Q29" s="169"/>
      <c r="R29" s="175"/>
      <c r="S29" s="175"/>
      <c r="T29" s="175"/>
      <c r="U29" s="259" t="s">
        <v>40</v>
      </c>
      <c r="V29" s="259"/>
      <c r="W29" s="175"/>
      <c r="X29" s="175"/>
      <c r="Y29" s="175"/>
      <c r="Z29" s="175"/>
      <c r="AA29" s="175"/>
    </row>
    <row r="30" spans="2:27" s="161" customFormat="1" x14ac:dyDescent="0.3">
      <c r="B30" s="228"/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30"/>
      <c r="Q30" s="169"/>
      <c r="R30" s="175"/>
      <c r="S30" s="175"/>
      <c r="T30" s="175"/>
      <c r="U30" s="259" t="s">
        <v>42</v>
      </c>
      <c r="V30" s="259"/>
      <c r="W30" s="175"/>
      <c r="X30" s="175"/>
      <c r="Y30" s="175"/>
      <c r="Z30" s="175"/>
      <c r="AA30" s="175"/>
    </row>
    <row r="31" spans="2:27" s="161" customFormat="1" x14ac:dyDescent="0.3">
      <c r="B31" s="228"/>
      <c r="C31" s="229"/>
      <c r="D31" s="229"/>
      <c r="E31" s="229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30"/>
      <c r="Q31" s="169"/>
      <c r="R31" s="175"/>
      <c r="S31" s="175"/>
      <c r="T31" s="175"/>
      <c r="U31" s="259" t="s">
        <v>41</v>
      </c>
      <c r="V31" s="259"/>
      <c r="W31" s="175"/>
      <c r="X31" s="175"/>
      <c r="Y31" s="175"/>
      <c r="Z31" s="175"/>
      <c r="AA31" s="175"/>
    </row>
    <row r="32" spans="2:27" s="161" customFormat="1" x14ac:dyDescent="0.3">
      <c r="B32" s="228"/>
      <c r="C32" s="229"/>
      <c r="D32" s="229"/>
      <c r="E32" s="229"/>
      <c r="F32" s="229"/>
      <c r="G32" s="229"/>
      <c r="H32" s="229"/>
      <c r="I32" s="229"/>
      <c r="J32" s="229"/>
      <c r="K32" s="229"/>
      <c r="L32" s="229"/>
      <c r="M32" s="229"/>
      <c r="N32" s="229"/>
      <c r="O32" s="229"/>
      <c r="P32" s="230"/>
      <c r="Q32" s="169"/>
      <c r="R32" s="175"/>
      <c r="S32" s="175"/>
      <c r="T32" s="175"/>
      <c r="U32" s="259" t="s">
        <v>43</v>
      </c>
      <c r="V32" s="259"/>
      <c r="W32" s="175"/>
      <c r="X32" s="175"/>
      <c r="Y32" s="175"/>
      <c r="Z32" s="175"/>
      <c r="AA32" s="175"/>
    </row>
    <row r="33" spans="2:27" s="161" customFormat="1" x14ac:dyDescent="0.3">
      <c r="B33" s="228"/>
      <c r="C33" s="229"/>
      <c r="D33" s="229"/>
      <c r="E33" s="229"/>
      <c r="F33" s="229"/>
      <c r="G33" s="229"/>
      <c r="H33" s="229"/>
      <c r="I33" s="229"/>
      <c r="J33" s="229"/>
      <c r="K33" s="229"/>
      <c r="L33" s="229"/>
      <c r="M33" s="229"/>
      <c r="N33" s="229"/>
      <c r="O33" s="229"/>
      <c r="P33" s="230"/>
      <c r="Q33" s="169"/>
      <c r="R33" s="175"/>
      <c r="S33" s="175"/>
      <c r="T33" s="175"/>
      <c r="U33" s="259" t="s">
        <v>44</v>
      </c>
      <c r="V33" s="259"/>
      <c r="W33" s="175"/>
      <c r="X33" s="175"/>
      <c r="Y33" s="175"/>
      <c r="Z33" s="175"/>
      <c r="AA33" s="175"/>
    </row>
    <row r="34" spans="2:27" s="161" customFormat="1" x14ac:dyDescent="0.3">
      <c r="B34" s="228"/>
      <c r="C34" s="229"/>
      <c r="D34" s="229"/>
      <c r="E34" s="229"/>
      <c r="F34" s="229"/>
      <c r="G34" s="229"/>
      <c r="H34" s="229"/>
      <c r="I34" s="229"/>
      <c r="J34" s="229"/>
      <c r="K34" s="229"/>
      <c r="L34" s="229"/>
      <c r="M34" s="229"/>
      <c r="N34" s="229"/>
      <c r="O34" s="229"/>
      <c r="P34" s="230"/>
      <c r="Q34" s="169"/>
      <c r="R34" s="175"/>
      <c r="S34" s="175"/>
      <c r="T34" s="175"/>
      <c r="U34" s="259" t="s">
        <v>20</v>
      </c>
      <c r="V34" s="259"/>
      <c r="W34" s="175"/>
      <c r="X34" s="175"/>
      <c r="Y34" s="175"/>
      <c r="Z34" s="175"/>
      <c r="AA34" s="175"/>
    </row>
    <row r="35" spans="2:27" s="161" customFormat="1" ht="15" thickBot="1" x14ac:dyDescent="0.35">
      <c r="B35" s="228"/>
      <c r="C35" s="229"/>
      <c r="D35" s="229"/>
      <c r="E35" s="229"/>
      <c r="F35" s="229"/>
      <c r="G35" s="229"/>
      <c r="H35" s="229"/>
      <c r="I35" s="229"/>
      <c r="J35" s="229"/>
      <c r="K35" s="229"/>
      <c r="L35" s="229"/>
      <c r="M35" s="229"/>
      <c r="N35" s="229"/>
      <c r="O35" s="229"/>
      <c r="P35" s="230"/>
      <c r="Q35" s="169"/>
      <c r="R35" s="175"/>
      <c r="S35" s="175"/>
      <c r="T35" s="175"/>
      <c r="U35" s="259" t="s">
        <v>62</v>
      </c>
      <c r="V35" s="259"/>
      <c r="W35" s="175"/>
      <c r="X35" s="175"/>
      <c r="Y35" s="175"/>
      <c r="Z35" s="175"/>
      <c r="AA35" s="175"/>
    </row>
    <row r="36" spans="2:27" s="161" customFormat="1" ht="16.8" thickTop="1" thickBot="1" x14ac:dyDescent="0.35">
      <c r="B36" s="228"/>
      <c r="C36" s="162" t="s">
        <v>81</v>
      </c>
      <c r="D36" s="174" t="s">
        <v>73</v>
      </c>
      <c r="E36" s="174" t="s">
        <v>74</v>
      </c>
      <c r="F36" s="174" t="s">
        <v>75</v>
      </c>
      <c r="G36" s="174" t="s">
        <v>82</v>
      </c>
      <c r="H36" s="174" t="s">
        <v>83</v>
      </c>
      <c r="I36" s="174" t="s">
        <v>84</v>
      </c>
      <c r="J36" s="174" t="s">
        <v>85</v>
      </c>
      <c r="K36" s="174" t="s">
        <v>86</v>
      </c>
      <c r="L36" s="174" t="s">
        <v>87</v>
      </c>
      <c r="M36" s="174" t="s">
        <v>88</v>
      </c>
      <c r="N36" s="174" t="s">
        <v>89</v>
      </c>
      <c r="O36" s="174" t="s">
        <v>90</v>
      </c>
      <c r="P36" s="222" t="s">
        <v>3</v>
      </c>
      <c r="Q36" s="169"/>
      <c r="R36" s="175"/>
      <c r="S36" s="175"/>
      <c r="T36" s="175"/>
      <c r="U36" s="259" t="s">
        <v>61</v>
      </c>
      <c r="V36" s="259"/>
      <c r="W36" s="175"/>
      <c r="X36" s="175"/>
      <c r="Y36" s="175"/>
      <c r="Z36" s="175"/>
      <c r="AA36" s="175"/>
    </row>
    <row r="37" spans="2:27" s="161" customFormat="1" ht="15.6" x14ac:dyDescent="0.3">
      <c r="B37" s="228"/>
      <c r="C37" s="163" t="s">
        <v>93</v>
      </c>
      <c r="D37" s="205" t="e" cm="1" vm="1">
        <f t="array" aca="1" ref="D37" ca="1">IF($N$2="location",SUMIF('FY23'!$AH$3:$AS$3,Dashboard!D$36,'FY23'!AH4:AS4),SUMIFS('FY23'!AH4:AS4,'FY23'!$AH$3:$AS$3,Dashboard!D$36,'FY23'!AH:AH,'FY23'!$C:$C,Dashboard!$N$2,0)/10^5
)</f>
        <v>#VALUE!</v>
      </c>
      <c r="E37" s="205" t="e">
        <f>IF($N$2="location",SUMIF('FY23'!$AH$3:$AS$3,Dashboard!E$36,'FY23'!AI4:AT4),SUMIFS('FY23'!AI4:AT4,'FY23'!$AH$3:$AS$3,Dashboard!E36,'FY23'!D4:D40,Dashboard!$N$2)/10^5)</f>
        <v>#VALUE!</v>
      </c>
      <c r="F37" s="205"/>
      <c r="G37" s="205"/>
      <c r="H37" s="205"/>
      <c r="I37" s="205"/>
      <c r="J37" s="205"/>
      <c r="K37" s="205"/>
      <c r="L37" s="205"/>
      <c r="M37" s="205"/>
      <c r="N37" s="205"/>
      <c r="O37" s="205"/>
      <c r="P37" s="223" t="e" vm="2">
        <f ca="1">SUM(D37:O37)</f>
        <v>#VALUE!</v>
      </c>
      <c r="Q37" s="169"/>
      <c r="R37" s="175"/>
      <c r="S37" s="175"/>
      <c r="T37" s="175"/>
      <c r="U37" s="259" t="s">
        <v>23</v>
      </c>
      <c r="V37" s="259"/>
      <c r="W37" s="175"/>
      <c r="X37" s="175"/>
      <c r="Y37" s="175"/>
      <c r="Z37" s="175"/>
      <c r="AA37" s="175"/>
    </row>
    <row r="38" spans="2:27" s="161" customFormat="1" ht="15.6" x14ac:dyDescent="0.3">
      <c r="B38" s="228"/>
      <c r="C38" s="163" t="s">
        <v>49</v>
      </c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224">
        <f>SUM(D38:O38)</f>
        <v>0</v>
      </c>
      <c r="Q38" s="169"/>
      <c r="R38" s="175"/>
      <c r="S38" s="175"/>
      <c r="T38" s="175"/>
      <c r="U38" s="259" t="s">
        <v>30</v>
      </c>
      <c r="V38" s="259"/>
      <c r="W38" s="175"/>
      <c r="X38" s="175"/>
      <c r="Y38" s="175"/>
      <c r="Z38" s="175"/>
      <c r="AA38" s="175"/>
    </row>
    <row r="39" spans="2:27" s="161" customFormat="1" ht="15.6" x14ac:dyDescent="0.3">
      <c r="B39" s="228"/>
      <c r="C39" s="163" t="s">
        <v>94</v>
      </c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224">
        <f>SUM(D39:O39)</f>
        <v>0</v>
      </c>
      <c r="Q39" s="169"/>
      <c r="R39" s="175"/>
      <c r="S39" s="175"/>
      <c r="T39" s="175"/>
      <c r="U39" s="259" t="s">
        <v>29</v>
      </c>
      <c r="V39" s="259"/>
      <c r="W39" s="175"/>
      <c r="X39" s="175"/>
      <c r="Y39" s="175"/>
      <c r="Z39" s="175"/>
      <c r="AA39" s="175"/>
    </row>
    <row r="40" spans="2:27" s="161" customFormat="1" ht="16.2" thickBot="1" x14ac:dyDescent="0.35">
      <c r="B40" s="228"/>
      <c r="C40" s="173" t="s">
        <v>92</v>
      </c>
      <c r="D40" s="173"/>
      <c r="E40" s="173"/>
      <c r="F40" s="173"/>
      <c r="G40" s="173"/>
      <c r="H40" s="173"/>
      <c r="I40" s="173"/>
      <c r="J40" s="173"/>
      <c r="K40" s="173"/>
      <c r="L40" s="173"/>
      <c r="M40" s="173"/>
      <c r="N40" s="173"/>
      <c r="O40" s="173"/>
      <c r="P40" s="225">
        <f>SUM(D40:O40)</f>
        <v>0</v>
      </c>
      <c r="Q40" s="169"/>
      <c r="R40" s="175"/>
      <c r="S40" s="175"/>
      <c r="T40" s="175"/>
      <c r="U40" s="260"/>
      <c r="V40" s="259"/>
      <c r="W40" s="175"/>
      <c r="X40" s="175"/>
      <c r="Y40" s="175"/>
      <c r="Z40" s="175"/>
      <c r="AA40" s="175"/>
    </row>
    <row r="41" spans="2:27" s="161" customFormat="1" ht="15" thickTop="1" x14ac:dyDescent="0.3">
      <c r="B41" s="228"/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30"/>
      <c r="Q41" s="169"/>
      <c r="R41" s="175"/>
      <c r="S41" s="175"/>
      <c r="T41" s="175"/>
      <c r="U41" s="260"/>
      <c r="V41" s="259"/>
      <c r="W41" s="175"/>
      <c r="X41" s="175"/>
      <c r="Y41" s="175"/>
      <c r="Z41" s="175"/>
      <c r="AA41" s="175"/>
    </row>
    <row r="42" spans="2:27" s="161" customFormat="1" x14ac:dyDescent="0.3">
      <c r="B42" s="228"/>
      <c r="C42" s="229"/>
      <c r="D42" s="229"/>
      <c r="E42" s="229"/>
      <c r="F42" s="229"/>
      <c r="G42" s="229"/>
      <c r="H42" s="229"/>
      <c r="I42" s="229"/>
      <c r="J42" s="229"/>
      <c r="K42" s="229"/>
      <c r="L42" s="229"/>
      <c r="M42" s="229"/>
      <c r="N42" s="229"/>
      <c r="O42" s="229"/>
      <c r="P42" s="230"/>
      <c r="Q42" s="169"/>
      <c r="R42" s="175"/>
      <c r="S42" s="175"/>
      <c r="T42" s="175"/>
      <c r="U42" s="260"/>
      <c r="V42" s="259"/>
      <c r="W42" s="175"/>
      <c r="X42" s="175"/>
      <c r="Y42" s="175"/>
      <c r="Z42" s="175"/>
      <c r="AA42" s="175"/>
    </row>
    <row r="43" spans="2:27" s="161" customFormat="1" x14ac:dyDescent="0.3">
      <c r="B43" s="228"/>
      <c r="C43" s="229"/>
      <c r="D43" s="229"/>
      <c r="E43" s="229"/>
      <c r="F43" s="229"/>
      <c r="G43" s="229"/>
      <c r="H43" s="229"/>
      <c r="I43" s="229"/>
      <c r="J43" s="229"/>
      <c r="K43" s="229"/>
      <c r="L43" s="229"/>
      <c r="M43" s="229"/>
      <c r="N43" s="229"/>
      <c r="O43" s="229"/>
      <c r="P43" s="230"/>
      <c r="Q43" s="169"/>
      <c r="R43" s="175"/>
      <c r="S43" s="175"/>
      <c r="T43" s="175"/>
      <c r="U43" s="260"/>
      <c r="V43" s="259"/>
      <c r="W43" s="175"/>
      <c r="X43" s="175"/>
      <c r="Y43" s="175"/>
      <c r="Z43" s="175"/>
      <c r="AA43" s="175"/>
    </row>
    <row r="44" spans="2:27" s="161" customFormat="1" x14ac:dyDescent="0.3">
      <c r="B44" s="228"/>
      <c r="C44" s="229"/>
      <c r="D44" s="229"/>
      <c r="E44" s="229"/>
      <c r="F44" s="229"/>
      <c r="G44" s="229"/>
      <c r="H44" s="229"/>
      <c r="I44" s="229"/>
      <c r="J44" s="229"/>
      <c r="K44" s="229"/>
      <c r="L44" s="229"/>
      <c r="M44" s="229"/>
      <c r="N44" s="229"/>
      <c r="O44" s="229"/>
      <c r="P44" s="230"/>
      <c r="Q44" s="169"/>
      <c r="R44" s="175"/>
      <c r="S44" s="175"/>
      <c r="T44" s="175"/>
      <c r="U44" s="260"/>
      <c r="V44" s="259"/>
      <c r="W44" s="175"/>
      <c r="X44" s="175"/>
      <c r="Y44" s="175"/>
      <c r="Z44" s="175"/>
      <c r="AA44" s="175"/>
    </row>
    <row r="45" spans="2:27" s="161" customFormat="1" x14ac:dyDescent="0.3">
      <c r="B45" s="228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30"/>
      <c r="Q45" s="169"/>
      <c r="R45" s="175"/>
      <c r="S45" s="175"/>
      <c r="T45" s="175"/>
      <c r="U45" s="260"/>
      <c r="V45" s="259"/>
      <c r="W45" s="175"/>
      <c r="X45" s="175"/>
      <c r="Y45" s="175"/>
      <c r="Z45" s="175"/>
      <c r="AA45" s="175"/>
    </row>
    <row r="46" spans="2:27" s="161" customFormat="1" x14ac:dyDescent="0.3">
      <c r="B46" s="228"/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30"/>
      <c r="Q46" s="169"/>
      <c r="R46" s="175"/>
      <c r="S46" s="175"/>
      <c r="T46" s="175"/>
      <c r="U46" s="260"/>
      <c r="V46" s="259"/>
      <c r="W46" s="175"/>
      <c r="X46" s="175"/>
      <c r="Y46" s="175"/>
      <c r="Z46" s="175"/>
      <c r="AA46" s="175"/>
    </row>
    <row r="47" spans="2:27" s="161" customFormat="1" x14ac:dyDescent="0.3">
      <c r="B47" s="228"/>
      <c r="C47" s="229"/>
      <c r="D47" s="229"/>
      <c r="E47" s="229"/>
      <c r="F47" s="229"/>
      <c r="G47" s="229"/>
      <c r="H47" s="229"/>
      <c r="I47" s="229"/>
      <c r="J47" s="229"/>
      <c r="K47" s="229"/>
      <c r="L47" s="229"/>
      <c r="M47" s="229"/>
      <c r="N47" s="229"/>
      <c r="O47" s="229"/>
      <c r="P47" s="230"/>
      <c r="Q47" s="169"/>
      <c r="R47" s="175"/>
      <c r="S47" s="175"/>
      <c r="T47" s="175"/>
      <c r="U47" s="260"/>
      <c r="V47" s="259"/>
      <c r="W47" s="175"/>
      <c r="X47" s="175"/>
      <c r="Y47" s="175"/>
      <c r="Z47" s="175"/>
      <c r="AA47" s="175"/>
    </row>
    <row r="48" spans="2:27" s="161" customFormat="1" x14ac:dyDescent="0.3">
      <c r="B48" s="228"/>
      <c r="C48" s="229"/>
      <c r="D48" s="229"/>
      <c r="E48" s="229"/>
      <c r="F48" s="229"/>
      <c r="G48" s="229"/>
      <c r="H48" s="229"/>
      <c r="I48" s="229"/>
      <c r="J48" s="229"/>
      <c r="K48" s="229"/>
      <c r="L48" s="229"/>
      <c r="M48" s="229"/>
      <c r="N48" s="229"/>
      <c r="O48" s="229"/>
      <c r="P48" s="230"/>
      <c r="Q48" s="169"/>
      <c r="R48" s="175"/>
      <c r="S48" s="175"/>
      <c r="T48" s="175"/>
      <c r="U48" s="257"/>
      <c r="V48" s="259"/>
      <c r="W48" s="175"/>
      <c r="X48" s="175"/>
      <c r="Y48" s="175"/>
      <c r="Z48" s="175"/>
      <c r="AA48" s="175"/>
    </row>
    <row r="49" spans="2:27" s="161" customFormat="1" x14ac:dyDescent="0.3">
      <c r="B49" s="228"/>
      <c r="C49" s="229"/>
      <c r="D49" s="229"/>
      <c r="E49" s="229"/>
      <c r="F49" s="229"/>
      <c r="G49" s="229"/>
      <c r="H49" s="229"/>
      <c r="I49" s="229"/>
      <c r="J49" s="229"/>
      <c r="K49" s="229"/>
      <c r="L49" s="229"/>
      <c r="M49" s="229"/>
      <c r="N49" s="229"/>
      <c r="O49" s="229"/>
      <c r="P49" s="230"/>
      <c r="Q49" s="169"/>
      <c r="R49" s="175"/>
      <c r="S49" s="175"/>
      <c r="T49" s="175"/>
      <c r="U49" s="257"/>
      <c r="V49" s="259"/>
      <c r="W49" s="175"/>
      <c r="X49" s="175"/>
      <c r="Y49" s="175"/>
      <c r="Z49" s="175"/>
      <c r="AA49" s="175"/>
    </row>
    <row r="50" spans="2:27" s="161" customFormat="1" x14ac:dyDescent="0.3">
      <c r="B50" s="228"/>
      <c r="C50" s="229"/>
      <c r="D50" s="229"/>
      <c r="E50" s="229"/>
      <c r="F50" s="229"/>
      <c r="G50" s="229"/>
      <c r="H50" s="229"/>
      <c r="I50" s="229"/>
      <c r="J50" s="229"/>
      <c r="K50" s="229"/>
      <c r="L50" s="229"/>
      <c r="M50" s="229"/>
      <c r="N50" s="229"/>
      <c r="O50" s="229"/>
      <c r="P50" s="230"/>
      <c r="Q50" s="169"/>
      <c r="R50" s="175"/>
      <c r="S50" s="175"/>
      <c r="T50" s="175"/>
      <c r="U50" s="257"/>
      <c r="V50" s="257"/>
      <c r="W50" s="175"/>
      <c r="X50" s="175"/>
      <c r="Y50" s="175"/>
      <c r="Z50" s="175"/>
      <c r="AA50" s="175"/>
    </row>
    <row r="51" spans="2:27" s="161" customFormat="1" x14ac:dyDescent="0.3">
      <c r="B51" s="228"/>
      <c r="C51" s="229"/>
      <c r="D51" s="229"/>
      <c r="E51" s="229"/>
      <c r="F51" s="229"/>
      <c r="G51" s="229"/>
      <c r="H51" s="229"/>
      <c r="I51" s="229"/>
      <c r="J51" s="229"/>
      <c r="K51" s="229"/>
      <c r="L51" s="229"/>
      <c r="M51" s="229"/>
      <c r="N51" s="229"/>
      <c r="O51" s="229"/>
      <c r="P51" s="230"/>
      <c r="Q51" s="169"/>
      <c r="R51" s="175"/>
      <c r="S51" s="175"/>
      <c r="T51" s="175"/>
      <c r="U51" s="257"/>
      <c r="V51" s="257"/>
      <c r="W51" s="175"/>
      <c r="X51" s="175"/>
      <c r="Y51" s="175"/>
      <c r="Z51" s="175"/>
      <c r="AA51" s="175"/>
    </row>
    <row r="52" spans="2:27" s="161" customFormat="1" x14ac:dyDescent="0.3">
      <c r="B52" s="228"/>
      <c r="C52" s="229"/>
      <c r="D52" s="229"/>
      <c r="E52" s="229"/>
      <c r="F52" s="229"/>
      <c r="G52" s="229"/>
      <c r="H52" s="229"/>
      <c r="I52" s="229"/>
      <c r="J52" s="229"/>
      <c r="K52" s="229"/>
      <c r="L52" s="229"/>
      <c r="M52" s="229"/>
      <c r="N52" s="229"/>
      <c r="O52" s="229"/>
      <c r="P52" s="230"/>
      <c r="Q52" s="169"/>
      <c r="R52" s="175"/>
      <c r="S52" s="175"/>
      <c r="T52" s="175"/>
      <c r="U52" s="257"/>
      <c r="V52" s="257"/>
      <c r="W52" s="175"/>
      <c r="X52" s="175"/>
      <c r="Y52" s="175"/>
      <c r="Z52" s="175"/>
      <c r="AA52" s="175"/>
    </row>
    <row r="53" spans="2:27" s="161" customFormat="1" x14ac:dyDescent="0.3">
      <c r="B53" s="228"/>
      <c r="C53" s="229"/>
      <c r="D53" s="229"/>
      <c r="E53" s="229"/>
      <c r="F53" s="229"/>
      <c r="G53" s="229"/>
      <c r="H53" s="229"/>
      <c r="I53" s="229"/>
      <c r="J53" s="229"/>
      <c r="K53" s="229"/>
      <c r="L53" s="229"/>
      <c r="M53" s="229"/>
      <c r="N53" s="229"/>
      <c r="O53" s="229"/>
      <c r="P53" s="230"/>
      <c r="Q53" s="169"/>
      <c r="R53" s="175"/>
      <c r="S53" s="175"/>
      <c r="T53" s="175"/>
      <c r="U53" s="257"/>
      <c r="V53" s="257"/>
      <c r="W53" s="175"/>
      <c r="X53" s="175"/>
      <c r="Y53" s="175"/>
      <c r="Z53" s="175"/>
      <c r="AA53" s="175"/>
    </row>
    <row r="54" spans="2:27" s="161" customFormat="1" x14ac:dyDescent="0.3">
      <c r="B54" s="228"/>
      <c r="C54" s="229"/>
      <c r="D54" s="229"/>
      <c r="E54" s="229"/>
      <c r="F54" s="229"/>
      <c r="G54" s="229"/>
      <c r="H54" s="229"/>
      <c r="I54" s="229"/>
      <c r="J54" s="229"/>
      <c r="K54" s="229"/>
      <c r="L54" s="229"/>
      <c r="M54" s="229"/>
      <c r="N54" s="229"/>
      <c r="O54" s="229"/>
      <c r="P54" s="230"/>
      <c r="Q54" s="169"/>
      <c r="R54" s="175"/>
      <c r="S54" s="175"/>
      <c r="T54" s="175"/>
      <c r="U54" s="261"/>
      <c r="V54" s="261"/>
      <c r="W54" s="175"/>
      <c r="X54" s="175"/>
      <c r="Y54" s="175"/>
      <c r="Z54" s="175"/>
      <c r="AA54" s="175"/>
    </row>
    <row r="55" spans="2:27" s="161" customFormat="1" x14ac:dyDescent="0.3">
      <c r="B55" s="228"/>
      <c r="C55" s="229"/>
      <c r="D55" s="229"/>
      <c r="E55" s="229"/>
      <c r="F55" s="229"/>
      <c r="G55" s="229"/>
      <c r="H55" s="229"/>
      <c r="I55" s="229"/>
      <c r="J55" s="229"/>
      <c r="K55" s="229"/>
      <c r="L55" s="229"/>
      <c r="M55" s="229"/>
      <c r="N55" s="229"/>
      <c r="O55" s="229"/>
      <c r="P55" s="230"/>
      <c r="Q55" s="169"/>
      <c r="R55" s="175"/>
      <c r="S55" s="175"/>
      <c r="T55" s="175"/>
      <c r="U55" s="259"/>
      <c r="V55" s="259"/>
      <c r="W55" s="175"/>
      <c r="X55" s="175"/>
      <c r="Y55" s="175"/>
      <c r="Z55" s="175"/>
      <c r="AA55" s="175"/>
    </row>
    <row r="56" spans="2:27" s="161" customFormat="1" ht="15" thickBot="1" x14ac:dyDescent="0.35">
      <c r="B56" s="231"/>
      <c r="C56" s="232"/>
      <c r="D56" s="232"/>
      <c r="E56" s="232"/>
      <c r="F56" s="232"/>
      <c r="G56" s="232"/>
      <c r="H56" s="232"/>
      <c r="I56" s="232"/>
      <c r="J56" s="232"/>
      <c r="K56" s="232"/>
      <c r="L56" s="232"/>
      <c r="M56" s="232"/>
      <c r="N56" s="232"/>
      <c r="O56" s="232"/>
      <c r="P56" s="233"/>
      <c r="Q56" s="169"/>
      <c r="R56" s="175"/>
      <c r="S56" s="175"/>
      <c r="T56" s="175"/>
      <c r="U56" s="261"/>
      <c r="V56" s="261"/>
      <c r="W56" s="175"/>
      <c r="X56" s="175"/>
      <c r="Y56" s="175"/>
      <c r="Z56" s="175"/>
      <c r="AA56" s="175"/>
    </row>
  </sheetData>
  <mergeCells count="5">
    <mergeCell ref="N2:P2"/>
    <mergeCell ref="L2:M2"/>
    <mergeCell ref="D4:G4"/>
    <mergeCell ref="H4:K4"/>
    <mergeCell ref="C4:C5"/>
  </mergeCells>
  <dataValidations count="2">
    <dataValidation type="list" allowBlank="1" showInputMessage="1" showErrorMessage="1" sqref="N2" xr:uid="{5064E079-CDD8-4569-9ED9-A276295CBEE1}">
      <formula1>$U$3:$U$36</formula1>
    </dataValidation>
    <dataValidation type="list" allowBlank="1" showInputMessage="1" showErrorMessage="1" sqref="L2:M2" xr:uid="{3BF48C68-3EB8-4E46-87FA-4CDE142E4481}">
      <formula1>$V$3:$V$5</formula1>
    </dataValidation>
  </dataValidations>
  <pageMargins left="0.7" right="0.7" top="0.75" bottom="0.75" header="0.3" footer="0.3"/>
  <ignoredErrors>
    <ignoredError sqref="P37:P40 D7:D12 D6:E6 E7:E12 H6:H12 I6:I12 F6:F12 J6:J12 G6:G12 D16:D19 K6:K12 L20:L21 J16:J19 H16:H19 F16:F19" emptyCellReferenc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749C-138E-4FBD-99C7-2F3E4E19E22C}">
  <dimension ref="H2:I3"/>
  <sheetViews>
    <sheetView workbookViewId="0">
      <selection activeCell="K13" sqref="K13"/>
    </sheetView>
  </sheetViews>
  <sheetFormatPr defaultRowHeight="14.4" x14ac:dyDescent="0.3"/>
  <sheetData>
    <row r="2" spans="8:9" x14ac:dyDescent="0.3">
      <c r="I2" t="s">
        <v>151</v>
      </c>
    </row>
    <row r="3" spans="8:9" x14ac:dyDescent="0.3">
      <c r="H3" t="s">
        <v>149</v>
      </c>
      <c r="I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E61-4260-479C-BEE4-82F72FB87E62}">
  <dimension ref="A3:G22"/>
  <sheetViews>
    <sheetView showGridLines="0" zoomScale="70" zoomScaleNormal="70" workbookViewId="0">
      <selection activeCell="A4" sqref="A4:A10"/>
    </sheetView>
  </sheetViews>
  <sheetFormatPr defaultColWidth="8.88671875" defaultRowHeight="21" x14ac:dyDescent="0.4"/>
  <cols>
    <col min="1" max="1" width="13.88671875" style="137" bestFit="1" customWidth="1"/>
    <col min="2" max="2" width="14.21875" style="137" customWidth="1"/>
    <col min="3" max="3" width="11.44140625" style="137" bestFit="1" customWidth="1"/>
    <col min="4" max="4" width="14.21875" style="137" bestFit="1" customWidth="1"/>
    <col min="5" max="5" width="13.77734375" style="137" bestFit="1" customWidth="1"/>
    <col min="6" max="6" width="8.88671875" style="137"/>
    <col min="7" max="7" width="12.33203125" style="137" bestFit="1" customWidth="1"/>
    <col min="8" max="16384" width="8.88671875" style="137"/>
  </cols>
  <sheetData>
    <row r="3" spans="1:4" s="149" customFormat="1" x14ac:dyDescent="0.4">
      <c r="A3" s="148" t="s">
        <v>72</v>
      </c>
      <c r="B3" s="148" t="s">
        <v>65</v>
      </c>
      <c r="C3" s="148" t="s">
        <v>5</v>
      </c>
      <c r="D3" s="148" t="s">
        <v>71</v>
      </c>
    </row>
    <row r="4" spans="1:4" x14ac:dyDescent="0.4">
      <c r="A4" s="146" t="s">
        <v>68</v>
      </c>
      <c r="B4" s="157">
        <f>Lab!B12+Lab!B20+Lab!B25+Lab!B51</f>
        <v>0</v>
      </c>
      <c r="C4" s="157">
        <f>Lab!J12+Lab!J20+Lab!J25</f>
        <v>820.11645862916521</v>
      </c>
      <c r="D4" s="157">
        <f>+Lab!K12+Lab!K20+Lab!K25</f>
        <v>734.44499130000008</v>
      </c>
    </row>
    <row r="5" spans="1:4" x14ac:dyDescent="0.4">
      <c r="A5" s="146" t="s">
        <v>69</v>
      </c>
      <c r="B5" s="157">
        <f>Radio!B12+Radio!B20+Radio!B25</f>
        <v>0</v>
      </c>
      <c r="C5" s="157">
        <f>Radio!J12+Radio!J20+Radio!J25</f>
        <v>846.51248831813143</v>
      </c>
      <c r="D5" s="157">
        <f>Radio!K12+Radio!K20+Radio!K25</f>
        <v>657.80148559999975</v>
      </c>
    </row>
    <row r="6" spans="1:4" x14ac:dyDescent="0.4">
      <c r="A6" s="146" t="s">
        <v>56</v>
      </c>
      <c r="B6" s="157">
        <f>Lab!B36+Radio!B36</f>
        <v>0</v>
      </c>
      <c r="C6" s="157">
        <f>Lab!J36+Radio!J36</f>
        <v>218.64208020511373</v>
      </c>
      <c r="D6" s="157">
        <f>Lab!K36+Radio!K36</f>
        <v>205.50955010000001</v>
      </c>
    </row>
    <row r="7" spans="1:4" x14ac:dyDescent="0.4">
      <c r="A7" s="146" t="s">
        <v>59</v>
      </c>
      <c r="B7" s="157">
        <f>Lab!B46+Radio!B46</f>
        <v>0</v>
      </c>
      <c r="C7" s="157">
        <f>Lab!J46+Radio!J46</f>
        <v>134.55193081991149</v>
      </c>
      <c r="D7" s="157">
        <f>Lab!K46+Radio!K46</f>
        <v>105.9007604</v>
      </c>
    </row>
    <row r="8" spans="1:4" x14ac:dyDescent="0.4">
      <c r="A8" s="147" t="s">
        <v>3</v>
      </c>
      <c r="B8" s="158">
        <f>SUM(B4:B7)</f>
        <v>0</v>
      </c>
      <c r="C8" s="158">
        <f>SUM(C4:C7)</f>
        <v>2019.822957972322</v>
      </c>
      <c r="D8" s="158">
        <f>SUM(D4:D7)</f>
        <v>1703.6567874</v>
      </c>
    </row>
    <row r="9" spans="1:4" x14ac:dyDescent="0.4">
      <c r="A9" s="146" t="s">
        <v>20</v>
      </c>
      <c r="B9" s="157">
        <f>Lab!B50</f>
        <v>0</v>
      </c>
      <c r="C9" s="157">
        <f>Lab!J50</f>
        <v>557.89099999999996</v>
      </c>
      <c r="D9" s="157">
        <f>Lab!K50</f>
        <v>502.75498632881357</v>
      </c>
    </row>
    <row r="10" spans="1:4" x14ac:dyDescent="0.4">
      <c r="A10" s="146" t="s">
        <v>61</v>
      </c>
      <c r="B10" s="157">
        <v>71.03</v>
      </c>
      <c r="C10" s="157">
        <f>23.56*3</f>
        <v>70.679999999999993</v>
      </c>
      <c r="D10" s="157">
        <f>23.56*3</f>
        <v>70.679999999999993</v>
      </c>
    </row>
    <row r="11" spans="1:4" x14ac:dyDescent="0.4">
      <c r="A11" s="147" t="s">
        <v>3</v>
      </c>
      <c r="B11" s="158">
        <f>SUM(B9:B10)</f>
        <v>71.03</v>
      </c>
      <c r="C11" s="158">
        <f>SUM(C9:C10)</f>
        <v>628.57099999999991</v>
      </c>
      <c r="D11" s="158">
        <f>SUM(D9:D10)</f>
        <v>573.43498632881358</v>
      </c>
    </row>
    <row r="12" spans="1:4" x14ac:dyDescent="0.4">
      <c r="A12" s="142"/>
      <c r="B12" s="159"/>
      <c r="C12" s="159"/>
      <c r="D12" s="159"/>
    </row>
    <row r="13" spans="1:4" x14ac:dyDescent="0.4">
      <c r="A13" s="147" t="s">
        <v>70</v>
      </c>
      <c r="B13" s="158">
        <f>+B11+B8</f>
        <v>71.03</v>
      </c>
      <c r="C13" s="158">
        <f>+C11+C8</f>
        <v>2648.3939579723219</v>
      </c>
      <c r="D13" s="158">
        <f>+D11+D8</f>
        <v>2277.0917737288137</v>
      </c>
    </row>
    <row r="18" spans="1:7" x14ac:dyDescent="0.4">
      <c r="B18" s="150" t="s">
        <v>74</v>
      </c>
      <c r="C18" s="150" t="s">
        <v>73</v>
      </c>
      <c r="D18" s="150" t="s">
        <v>75</v>
      </c>
    </row>
    <row r="19" spans="1:7" x14ac:dyDescent="0.4">
      <c r="A19" s="136" t="s">
        <v>5</v>
      </c>
      <c r="B19" s="62">
        <f>'May24'!K48</f>
        <v>910.2669673525221</v>
      </c>
      <c r="C19" s="62">
        <f>'Apr24'!K48</f>
        <v>801.88015415693303</v>
      </c>
      <c r="D19" s="62">
        <f>'Jun24'!K53</f>
        <v>936.24683646286655</v>
      </c>
      <c r="E19" s="62">
        <f>SUM(C19:D19)</f>
        <v>1738.1269906197995</v>
      </c>
      <c r="G19" s="62">
        <f>+E19-C13</f>
        <v>-910.26696735252244</v>
      </c>
    </row>
    <row r="20" spans="1:7" x14ac:dyDescent="0.4">
      <c r="A20" s="136" t="s">
        <v>76</v>
      </c>
      <c r="B20" s="62">
        <f>'May24'!L48</f>
        <v>838.81612622881323</v>
      </c>
      <c r="C20" s="62">
        <f>'Apr24'!L48</f>
        <v>751.3171984999999</v>
      </c>
      <c r="D20" s="62">
        <f>'Jun24'!L53</f>
        <v>686.95844899999986</v>
      </c>
      <c r="E20" s="62">
        <f>SUM(C20:D20)</f>
        <v>1438.2756474999996</v>
      </c>
      <c r="G20" s="62">
        <f>+E20-D13</f>
        <v>-838.81612622881403</v>
      </c>
    </row>
    <row r="21" spans="1:7" x14ac:dyDescent="0.4">
      <c r="A21" s="136" t="s">
        <v>77</v>
      </c>
      <c r="B21" s="62">
        <f>'FY24'!AJ48</f>
        <v>715.00176799999986</v>
      </c>
      <c r="C21" s="62">
        <f>'FY24'!AI48</f>
        <v>670.04317769999989</v>
      </c>
      <c r="D21" s="62">
        <f>'FY24'!AK48</f>
        <v>685.79746080000007</v>
      </c>
      <c r="E21" s="62">
        <f>SUM(C21:D21)</f>
        <v>1355.8406384999998</v>
      </c>
      <c r="G21" s="160">
        <f>+E21-B13</f>
        <v>1284.8106384999999</v>
      </c>
    </row>
    <row r="22" spans="1:7" x14ac:dyDescent="0.4">
      <c r="E22" s="62"/>
    </row>
  </sheetData>
  <pageMargins left="0.7" right="0.7" top="0.75" bottom="0.75" header="0.3" footer="0.3"/>
  <ignoredErrors>
    <ignoredError sqref="D11" emptyCellReference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0006-0BC4-452C-94EE-8781C88E0842}">
  <dimension ref="B1:L54"/>
  <sheetViews>
    <sheetView showGridLines="0" zoomScale="70" zoomScaleNormal="70" workbookViewId="0">
      <pane xSplit="1" ySplit="2" topLeftCell="B3" activePane="bottomRight" state="frozen"/>
      <selection activeCell="A4" sqref="A4:A10"/>
      <selection pane="topRight" activeCell="A4" sqref="A4:A10"/>
      <selection pane="bottomLeft" activeCell="A4" sqref="A4:A10"/>
      <selection pane="bottomRight" activeCell="A4" sqref="A4:A10"/>
    </sheetView>
  </sheetViews>
  <sheetFormatPr defaultColWidth="8.88671875" defaultRowHeight="15.6" x14ac:dyDescent="0.3"/>
  <cols>
    <col min="1" max="1" width="8.88671875" style="37"/>
    <col min="2" max="2" width="15.6640625" style="53" bestFit="1" customWidth="1"/>
    <col min="3" max="3" width="28.21875" style="37" customWidth="1"/>
    <col min="4" max="11" width="13.88671875" style="37" customWidth="1"/>
    <col min="12" max="12" width="15.77734375" style="58" customWidth="1"/>
    <col min="13" max="16384" width="8.88671875" style="37"/>
  </cols>
  <sheetData>
    <row r="1" spans="2:12" ht="21.6" thickBot="1" x14ac:dyDescent="0.45">
      <c r="B1" s="286" t="s">
        <v>65</v>
      </c>
      <c r="C1" s="59"/>
      <c r="D1" s="288">
        <v>45383</v>
      </c>
      <c r="E1" s="289"/>
      <c r="F1" s="288">
        <v>45413</v>
      </c>
      <c r="G1" s="289"/>
      <c r="H1" s="288">
        <v>45444</v>
      </c>
      <c r="I1" s="289"/>
      <c r="J1" s="288" t="s">
        <v>66</v>
      </c>
      <c r="K1" s="289"/>
      <c r="L1" s="286" t="s">
        <v>67</v>
      </c>
    </row>
    <row r="2" spans="2:12" ht="16.2" thickBot="1" x14ac:dyDescent="0.35">
      <c r="B2" s="287"/>
      <c r="C2" s="60" t="s">
        <v>4</v>
      </c>
      <c r="D2" s="47" t="s">
        <v>5</v>
      </c>
      <c r="E2" s="48" t="s">
        <v>6</v>
      </c>
      <c r="F2" s="47" t="s">
        <v>5</v>
      </c>
      <c r="G2" s="48" t="s">
        <v>6</v>
      </c>
      <c r="H2" s="47" t="s">
        <v>5</v>
      </c>
      <c r="I2" s="48" t="s">
        <v>6</v>
      </c>
      <c r="J2" s="47" t="s">
        <v>5</v>
      </c>
      <c r="K2" s="61" t="s">
        <v>6</v>
      </c>
      <c r="L2" s="287"/>
    </row>
    <row r="3" spans="2:12" x14ac:dyDescent="0.3">
      <c r="B3" s="54"/>
      <c r="C3" s="41"/>
      <c r="D3" s="49"/>
      <c r="E3" s="50"/>
      <c r="F3" s="49"/>
      <c r="G3" s="50"/>
      <c r="H3" s="49"/>
      <c r="I3" s="50"/>
      <c r="J3" s="49"/>
      <c r="K3" s="50"/>
      <c r="L3" s="55"/>
    </row>
    <row r="4" spans="2:12" x14ac:dyDescent="0.3">
      <c r="B4" s="54">
        <v>165.2311538000001</v>
      </c>
      <c r="C4" s="41" t="s">
        <v>8</v>
      </c>
      <c r="D4" s="51">
        <v>62.375588462870468</v>
      </c>
      <c r="E4" s="52">
        <v>68.484286400000002</v>
      </c>
      <c r="F4" s="51">
        <v>71.748726397373687</v>
      </c>
      <c r="G4" s="52">
        <v>61.591667199999776</v>
      </c>
      <c r="H4" s="51">
        <v>63.932960994609658</v>
      </c>
      <c r="I4" s="52">
        <v>61.297670199999999</v>
      </c>
      <c r="J4" s="51">
        <f>D4+F4+H4</f>
        <v>198.05727585485383</v>
      </c>
      <c r="K4" s="52">
        <f>E4+G4+I4</f>
        <v>191.37362379999976</v>
      </c>
      <c r="L4" s="55">
        <f>+K4-B4</f>
        <v>26.142469999999662</v>
      </c>
    </row>
    <row r="5" spans="2:12" x14ac:dyDescent="0.3">
      <c r="B5" s="54">
        <v>430.47735709999995</v>
      </c>
      <c r="C5" s="41" t="s">
        <v>30</v>
      </c>
      <c r="D5" s="51">
        <v>161.60515002331579</v>
      </c>
      <c r="E5" s="52">
        <v>129.92498000000001</v>
      </c>
      <c r="F5" s="51">
        <v>179.2575467664665</v>
      </c>
      <c r="G5" s="52">
        <v>143.66280410000002</v>
      </c>
      <c r="H5" s="51">
        <v>159.73056523466582</v>
      </c>
      <c r="I5" s="52">
        <v>110.73645929999999</v>
      </c>
      <c r="J5" s="51">
        <f t="shared" ref="J5:J11" si="0">D5+F5+H5</f>
        <v>500.59326202444811</v>
      </c>
      <c r="K5" s="52">
        <f t="shared" ref="K5:K11" si="1">E5+G5+I5</f>
        <v>384.3242434</v>
      </c>
      <c r="L5" s="55">
        <f t="shared" ref="L5:L53" si="2">+K5-B5</f>
        <v>-46.153113699999949</v>
      </c>
    </row>
    <row r="6" spans="2:12" x14ac:dyDescent="0.3">
      <c r="B6" s="54">
        <v>71.675359999999998</v>
      </c>
      <c r="C6" s="41" t="s">
        <v>29</v>
      </c>
      <c r="D6" s="51">
        <v>22.095123399999999</v>
      </c>
      <c r="E6" s="52">
        <v>21.397539999999999</v>
      </c>
      <c r="F6" s="51">
        <v>22.084653077759999</v>
      </c>
      <c r="G6" s="52">
        <v>22.19502</v>
      </c>
      <c r="H6" s="51">
        <v>22.084653077759999</v>
      </c>
      <c r="I6" s="52">
        <v>19.581289999999999</v>
      </c>
      <c r="J6" s="51">
        <f t="shared" si="0"/>
        <v>66.264429555519996</v>
      </c>
      <c r="K6" s="52">
        <f t="shared" si="1"/>
        <v>63.173850000000002</v>
      </c>
      <c r="L6" s="55">
        <f t="shared" si="2"/>
        <v>-8.5015099999999961</v>
      </c>
    </row>
    <row r="7" spans="2:12" x14ac:dyDescent="0.3">
      <c r="B7" s="54">
        <v>30.766360000000002</v>
      </c>
      <c r="C7" s="41" t="s">
        <v>18</v>
      </c>
      <c r="D7" s="51">
        <v>16.470781900805008</v>
      </c>
      <c r="E7" s="52">
        <v>18.8527232</v>
      </c>
      <c r="F7" s="51">
        <v>19.764937212405535</v>
      </c>
      <c r="G7" s="52">
        <v>18.1317971</v>
      </c>
      <c r="H7" s="51">
        <v>23.059093414473121</v>
      </c>
      <c r="I7" s="52">
        <v>18.535436600000004</v>
      </c>
      <c r="J7" s="51">
        <f t="shared" si="0"/>
        <v>59.294812527683661</v>
      </c>
      <c r="K7" s="52">
        <f t="shared" si="1"/>
        <v>55.519956900000004</v>
      </c>
      <c r="L7" s="55">
        <f t="shared" si="2"/>
        <v>24.753596900000002</v>
      </c>
    </row>
    <row r="8" spans="2:12" x14ac:dyDescent="0.3">
      <c r="B8" s="54">
        <v>2.2378899999999997</v>
      </c>
      <c r="C8" s="41" t="s">
        <v>36</v>
      </c>
      <c r="D8" s="51">
        <v>14.835724099999997</v>
      </c>
      <c r="E8" s="52">
        <v>14.511330000000001</v>
      </c>
      <c r="F8" s="51">
        <v>25.009208172975299</v>
      </c>
      <c r="G8" s="52">
        <v>14.186904999999999</v>
      </c>
      <c r="H8" s="51">
        <v>30.872990216219101</v>
      </c>
      <c r="I8" s="52">
        <v>13.11767</v>
      </c>
      <c r="J8" s="51">
        <f t="shared" si="0"/>
        <v>70.717922489194393</v>
      </c>
      <c r="K8" s="52">
        <f t="shared" si="1"/>
        <v>41.815905000000001</v>
      </c>
      <c r="L8" s="55">
        <f t="shared" si="2"/>
        <v>39.578015000000001</v>
      </c>
    </row>
    <row r="9" spans="2:12" x14ac:dyDescent="0.3">
      <c r="B9" s="54">
        <v>140.11174</v>
      </c>
      <c r="C9" s="41" t="s">
        <v>28</v>
      </c>
      <c r="D9" s="51">
        <v>52.405414773066937</v>
      </c>
      <c r="E9" s="52">
        <v>43.85765</v>
      </c>
      <c r="F9" s="51">
        <v>58.622410471307077</v>
      </c>
      <c r="G9" s="52">
        <v>41.813594600000002</v>
      </c>
      <c r="H9" s="51">
        <v>54.965200071195085</v>
      </c>
      <c r="I9" s="52">
        <v>39.903213899999997</v>
      </c>
      <c r="J9" s="51">
        <f t="shared" si="0"/>
        <v>165.9930253155691</v>
      </c>
      <c r="K9" s="52">
        <f t="shared" si="1"/>
        <v>125.57445849999999</v>
      </c>
      <c r="L9" s="55">
        <f t="shared" si="2"/>
        <v>-14.537281500000006</v>
      </c>
    </row>
    <row r="10" spans="2:12" x14ac:dyDescent="0.3">
      <c r="B10" s="54">
        <v>75.407510000000002</v>
      </c>
      <c r="C10" s="41" t="s">
        <v>23</v>
      </c>
      <c r="D10" s="51">
        <v>27.152436675959297</v>
      </c>
      <c r="E10" s="52">
        <v>29.701889999999999</v>
      </c>
      <c r="F10" s="51">
        <v>38.786358000000007</v>
      </c>
      <c r="G10" s="52">
        <v>42.84798</v>
      </c>
      <c r="H10" s="51">
        <v>51.715148799999994</v>
      </c>
      <c r="I10" s="52">
        <v>47.865110000000001</v>
      </c>
      <c r="J10" s="51">
        <f t="shared" si="0"/>
        <v>117.6539434759593</v>
      </c>
      <c r="K10" s="52">
        <f t="shared" si="1"/>
        <v>120.41498</v>
      </c>
      <c r="L10" s="55">
        <f t="shared" si="2"/>
        <v>45.007469999999998</v>
      </c>
    </row>
    <row r="11" spans="2:12" x14ac:dyDescent="0.3">
      <c r="B11" s="54">
        <v>0</v>
      </c>
      <c r="C11" s="41" t="s">
        <v>46</v>
      </c>
      <c r="D11" s="51">
        <v>0</v>
      </c>
      <c r="E11" s="52">
        <v>0</v>
      </c>
      <c r="F11" s="51">
        <v>0</v>
      </c>
      <c r="G11" s="52">
        <v>0</v>
      </c>
      <c r="H11" s="51">
        <v>53.675675675675691</v>
      </c>
      <c r="I11" s="52">
        <v>0</v>
      </c>
      <c r="J11" s="51">
        <f t="shared" si="0"/>
        <v>53.675675675675691</v>
      </c>
      <c r="K11" s="52">
        <f t="shared" si="1"/>
        <v>0</v>
      </c>
      <c r="L11" s="55">
        <f t="shared" si="2"/>
        <v>0</v>
      </c>
    </row>
    <row r="12" spans="2:12" x14ac:dyDescent="0.3">
      <c r="B12" s="43">
        <f>SUM(B4:B11)</f>
        <v>915.90737089999993</v>
      </c>
      <c r="C12" s="43" t="s">
        <v>3</v>
      </c>
      <c r="D12" s="43">
        <f>SUM(D4:D11)</f>
        <v>356.94021933601744</v>
      </c>
      <c r="E12" s="43">
        <f t="shared" ref="E12:H12" si="3">SUM(E4:E11)</f>
        <v>326.73039959999994</v>
      </c>
      <c r="F12" s="43">
        <f t="shared" si="3"/>
        <v>415.27384009828813</v>
      </c>
      <c r="G12" s="43">
        <f t="shared" si="3"/>
        <v>344.4297679999998</v>
      </c>
      <c r="H12" s="43">
        <f t="shared" si="3"/>
        <v>460.03628748459846</v>
      </c>
      <c r="I12" s="43">
        <f t="shared" ref="I12" si="4">SUM(I4:I11)</f>
        <v>311.03685000000002</v>
      </c>
      <c r="J12" s="43">
        <f t="shared" ref="J12" si="5">SUM(J4:J11)</f>
        <v>1232.2503469189041</v>
      </c>
      <c r="K12" s="43">
        <f t="shared" ref="K12" si="6">SUM(K4:K11)</f>
        <v>982.19701759999987</v>
      </c>
      <c r="L12" s="56">
        <f t="shared" si="2"/>
        <v>66.289646699999935</v>
      </c>
    </row>
    <row r="13" spans="2:12" x14ac:dyDescent="0.3">
      <c r="B13" s="54"/>
      <c r="C13" s="41"/>
      <c r="D13" s="49"/>
      <c r="E13" s="50"/>
      <c r="F13" s="49"/>
      <c r="G13" s="50"/>
      <c r="H13" s="49"/>
      <c r="I13" s="50"/>
      <c r="J13" s="49"/>
      <c r="K13" s="50"/>
      <c r="L13" s="55"/>
    </row>
    <row r="14" spans="2:12" x14ac:dyDescent="0.3">
      <c r="B14" s="54">
        <v>257.00617</v>
      </c>
      <c r="C14" s="41" t="s">
        <v>26</v>
      </c>
      <c r="D14" s="51">
        <v>91.834966170613015</v>
      </c>
      <c r="E14" s="52">
        <v>94.975135000000009</v>
      </c>
      <c r="F14" s="51">
        <v>101.86624</v>
      </c>
      <c r="G14" s="52">
        <v>95.951554999999999</v>
      </c>
      <c r="H14" s="51">
        <v>90.769700406309738</v>
      </c>
      <c r="I14" s="52">
        <v>84.692369799999994</v>
      </c>
      <c r="J14" s="51">
        <f t="shared" ref="J14:J19" si="7">D14+F14+H14</f>
        <v>284.47090657692274</v>
      </c>
      <c r="K14" s="52">
        <f t="shared" ref="K14:K19" si="8">E14+G14+I14</f>
        <v>275.6190598</v>
      </c>
      <c r="L14" s="55">
        <f t="shared" si="2"/>
        <v>18.612889800000005</v>
      </c>
    </row>
    <row r="15" spans="2:12" x14ac:dyDescent="0.3">
      <c r="B15" s="54">
        <v>26.664407499999999</v>
      </c>
      <c r="C15" s="41" t="s">
        <v>35</v>
      </c>
      <c r="D15" s="51">
        <v>11.488863238304194</v>
      </c>
      <c r="E15" s="52">
        <v>12.066419999999999</v>
      </c>
      <c r="F15" s="51">
        <v>12.74381</v>
      </c>
      <c r="G15" s="52">
        <v>13.606645699999994</v>
      </c>
      <c r="H15" s="51">
        <v>11.355598908540472</v>
      </c>
      <c r="I15" s="52">
        <v>11.792299999999997</v>
      </c>
      <c r="J15" s="51">
        <f t="shared" si="7"/>
        <v>35.588272146844666</v>
      </c>
      <c r="K15" s="52">
        <f t="shared" si="8"/>
        <v>37.465365699999992</v>
      </c>
      <c r="L15" s="55">
        <f t="shared" si="2"/>
        <v>10.800958199999993</v>
      </c>
    </row>
    <row r="16" spans="2:12" x14ac:dyDescent="0.3">
      <c r="B16" s="54">
        <v>17.084780000000002</v>
      </c>
      <c r="C16" s="41" t="s">
        <v>17</v>
      </c>
      <c r="D16" s="51">
        <v>8.8200009813154168</v>
      </c>
      <c r="E16" s="52">
        <v>5.9547999999999996</v>
      </c>
      <c r="F16" s="51">
        <v>10.08</v>
      </c>
      <c r="G16" s="52">
        <v>9.9560400000000016</v>
      </c>
      <c r="H16" s="51">
        <v>11.34</v>
      </c>
      <c r="I16" s="52">
        <v>9.5897700999999955</v>
      </c>
      <c r="J16" s="51">
        <f t="shared" si="7"/>
        <v>30.240000981315415</v>
      </c>
      <c r="K16" s="52">
        <f t="shared" si="8"/>
        <v>25.500610099999996</v>
      </c>
      <c r="L16" s="55">
        <f t="shared" si="2"/>
        <v>8.4158300999999938</v>
      </c>
    </row>
    <row r="17" spans="2:12" x14ac:dyDescent="0.3">
      <c r="B17" s="54">
        <v>2.1732300000000002</v>
      </c>
      <c r="C17" s="41" t="s">
        <v>55</v>
      </c>
      <c r="D17" s="51">
        <v>0</v>
      </c>
      <c r="E17" s="52">
        <v>0</v>
      </c>
      <c r="F17" s="51">
        <v>0</v>
      </c>
      <c r="G17" s="52">
        <v>0</v>
      </c>
      <c r="H17" s="51">
        <v>0</v>
      </c>
      <c r="I17" s="52">
        <v>0</v>
      </c>
      <c r="J17" s="51">
        <f t="shared" si="7"/>
        <v>0</v>
      </c>
      <c r="K17" s="52">
        <f t="shared" si="8"/>
        <v>0</v>
      </c>
      <c r="L17" s="55">
        <f t="shared" si="2"/>
        <v>-2.1732300000000002</v>
      </c>
    </row>
    <row r="18" spans="2:12" x14ac:dyDescent="0.3">
      <c r="B18" s="54">
        <v>52.681859999999993</v>
      </c>
      <c r="C18" s="41" t="s">
        <v>34</v>
      </c>
      <c r="D18" s="51">
        <v>0</v>
      </c>
      <c r="E18" s="52">
        <v>0</v>
      </c>
      <c r="F18" s="51">
        <v>0</v>
      </c>
      <c r="G18" s="52">
        <v>0</v>
      </c>
      <c r="H18" s="51">
        <v>0</v>
      </c>
      <c r="I18" s="52">
        <v>0</v>
      </c>
      <c r="J18" s="51">
        <f t="shared" si="7"/>
        <v>0</v>
      </c>
      <c r="K18" s="52">
        <f t="shared" si="8"/>
        <v>0</v>
      </c>
      <c r="L18" s="55">
        <f t="shared" si="2"/>
        <v>-52.681859999999993</v>
      </c>
    </row>
    <row r="19" spans="2:12" x14ac:dyDescent="0.3">
      <c r="B19" s="54">
        <v>10.12875</v>
      </c>
      <c r="C19" s="41" t="s">
        <v>33</v>
      </c>
      <c r="D19" s="51">
        <v>5.3322826232500002</v>
      </c>
      <c r="E19" s="52">
        <v>4.2686799999999998</v>
      </c>
      <c r="F19" s="51">
        <v>6.3287299999999993</v>
      </c>
      <c r="G19" s="52">
        <v>5.4100416999999998</v>
      </c>
      <c r="H19" s="51">
        <v>7.3251882199999994</v>
      </c>
      <c r="I19" s="52">
        <v>5.1386699</v>
      </c>
      <c r="J19" s="51">
        <f t="shared" si="7"/>
        <v>18.986200843249996</v>
      </c>
      <c r="K19" s="52">
        <f t="shared" si="8"/>
        <v>14.817391600000001</v>
      </c>
      <c r="L19" s="55">
        <f t="shared" si="2"/>
        <v>4.6886416000000004</v>
      </c>
    </row>
    <row r="20" spans="2:12" x14ac:dyDescent="0.3">
      <c r="B20" s="43">
        <f>SUM(B14:B19)</f>
        <v>365.73919749999999</v>
      </c>
      <c r="C20" s="43" t="s">
        <v>3</v>
      </c>
      <c r="D20" s="43">
        <f>SUM(D14:D19)</f>
        <v>117.47611301348262</v>
      </c>
      <c r="E20" s="43">
        <f>SUM(E14:E19)</f>
        <v>117.26503500000001</v>
      </c>
      <c r="F20" s="43">
        <f>SUM(F14:F19)</f>
        <v>131.01877999999999</v>
      </c>
      <c r="G20" s="43">
        <f>SUM(G14:G19)</f>
        <v>124.92428239999998</v>
      </c>
      <c r="H20" s="43">
        <f>SUM(H14:H19)</f>
        <v>120.79048753485021</v>
      </c>
      <c r="I20" s="43">
        <f t="shared" ref="I20:K20" si="9">SUM(I14:I19)</f>
        <v>111.21310979999998</v>
      </c>
      <c r="J20" s="43">
        <f t="shared" si="9"/>
        <v>369.2853805483328</v>
      </c>
      <c r="K20" s="43">
        <f t="shared" si="9"/>
        <v>353.40242720000003</v>
      </c>
      <c r="L20" s="56">
        <f t="shared" si="2"/>
        <v>-12.336770299999955</v>
      </c>
    </row>
    <row r="21" spans="2:12" x14ac:dyDescent="0.3">
      <c r="B21" s="54"/>
      <c r="C21" s="41"/>
      <c r="D21" s="49"/>
      <c r="E21" s="50"/>
      <c r="F21" s="49"/>
      <c r="G21" s="50"/>
      <c r="H21" s="49"/>
      <c r="I21" s="50"/>
      <c r="J21" s="49"/>
      <c r="K21" s="50"/>
      <c r="L21" s="55"/>
    </row>
    <row r="22" spans="2:12" x14ac:dyDescent="0.3">
      <c r="B22" s="54">
        <v>31.270826</v>
      </c>
      <c r="C22" s="41" t="s">
        <v>9</v>
      </c>
      <c r="D22" s="51">
        <v>9.3508669791347998</v>
      </c>
      <c r="E22" s="52">
        <v>7.3953799999999994</v>
      </c>
      <c r="F22" s="51">
        <v>8.9082196929956012</v>
      </c>
      <c r="G22" s="52">
        <v>8.2510719999999989</v>
      </c>
      <c r="H22" s="51">
        <v>9.2423987056908814</v>
      </c>
      <c r="I22" s="52">
        <v>6.7347600000000005</v>
      </c>
      <c r="J22" s="51">
        <f t="shared" ref="J22:J24" si="10">D22+F22+H22</f>
        <v>27.501485377821282</v>
      </c>
      <c r="K22" s="52">
        <f t="shared" ref="K22:K24" si="11">E22+G22+I22</f>
        <v>22.381211999999998</v>
      </c>
      <c r="L22" s="55">
        <f t="shared" si="2"/>
        <v>-8.8896140000000017</v>
      </c>
    </row>
    <row r="23" spans="2:12" x14ac:dyDescent="0.3">
      <c r="B23" s="54">
        <v>19.967820000000003</v>
      </c>
      <c r="C23" s="41" t="s">
        <v>31</v>
      </c>
      <c r="D23" s="51">
        <v>6.5859200000000016</v>
      </c>
      <c r="E23" s="52">
        <v>8.4058700000000002</v>
      </c>
      <c r="F23" s="51">
        <v>6.9975399999999999</v>
      </c>
      <c r="G23" s="52">
        <v>8.6113300000000006</v>
      </c>
      <c r="H23" s="51">
        <v>6.9975400000000008</v>
      </c>
      <c r="I23" s="52">
        <v>9.5404101000000026</v>
      </c>
      <c r="J23" s="51">
        <f t="shared" si="10"/>
        <v>20.581000000000003</v>
      </c>
      <c r="K23" s="52">
        <f t="shared" si="11"/>
        <v>26.557610100000005</v>
      </c>
      <c r="L23" s="55">
        <f t="shared" si="2"/>
        <v>6.5897901000000019</v>
      </c>
    </row>
    <row r="24" spans="2:12" x14ac:dyDescent="0.3">
      <c r="B24" s="54">
        <v>14.594951399999999</v>
      </c>
      <c r="C24" s="41" t="s">
        <v>22</v>
      </c>
      <c r="D24" s="51">
        <v>5.5660948999999995</v>
      </c>
      <c r="E24" s="52">
        <v>2.2199999999999998</v>
      </c>
      <c r="F24" s="51">
        <v>5.0833879224464944</v>
      </c>
      <c r="G24" s="52">
        <v>2.7496999999999998</v>
      </c>
      <c r="H24" s="51">
        <v>6.3612512797920662</v>
      </c>
      <c r="I24" s="52">
        <v>2.7385099999999998</v>
      </c>
      <c r="J24" s="51">
        <f t="shared" si="10"/>
        <v>17.010734102238558</v>
      </c>
      <c r="K24" s="52">
        <f t="shared" si="11"/>
        <v>7.7082099999999993</v>
      </c>
      <c r="L24" s="55">
        <f t="shared" si="2"/>
        <v>-6.8867414</v>
      </c>
    </row>
    <row r="25" spans="2:12" x14ac:dyDescent="0.3">
      <c r="B25" s="43">
        <f>SUM(B22:B24)</f>
        <v>65.833597400000002</v>
      </c>
      <c r="C25" s="43" t="s">
        <v>3</v>
      </c>
      <c r="D25" s="43">
        <f>SUM(D22:D24)</f>
        <v>21.502881879134801</v>
      </c>
      <c r="E25" s="43">
        <f>SUM(E22:E24)</f>
        <v>18.021249999999998</v>
      </c>
      <c r="F25" s="43">
        <f>SUM(F22:F24)</f>
        <v>20.989147615442096</v>
      </c>
      <c r="G25" s="43">
        <f>SUM(G22:G24)</f>
        <v>19.612102</v>
      </c>
      <c r="H25" s="43">
        <f>SUM(H22:H24)</f>
        <v>22.601189985482947</v>
      </c>
      <c r="I25" s="43">
        <f t="shared" ref="I25:K25" si="12">SUM(I22:I24)</f>
        <v>19.013680100000002</v>
      </c>
      <c r="J25" s="43">
        <f t="shared" si="12"/>
        <v>65.093219480059844</v>
      </c>
      <c r="K25" s="43">
        <f t="shared" si="12"/>
        <v>56.647032100000004</v>
      </c>
      <c r="L25" s="56">
        <f t="shared" si="2"/>
        <v>-9.186565299999998</v>
      </c>
    </row>
    <row r="26" spans="2:12" x14ac:dyDescent="0.3">
      <c r="B26" s="54"/>
      <c r="C26" s="41"/>
      <c r="D26" s="49"/>
      <c r="E26" s="50"/>
      <c r="F26" s="49"/>
      <c r="G26" s="50"/>
      <c r="H26" s="49"/>
      <c r="I26" s="50"/>
      <c r="J26" s="49"/>
      <c r="K26" s="50"/>
      <c r="L26" s="55"/>
    </row>
    <row r="27" spans="2:12" x14ac:dyDescent="0.3">
      <c r="B27" s="54">
        <v>26.801180000000002</v>
      </c>
      <c r="C27" s="41" t="s">
        <v>25</v>
      </c>
      <c r="D27" s="51">
        <v>11.659439999999998</v>
      </c>
      <c r="E27" s="52">
        <v>10.23983</v>
      </c>
      <c r="F27" s="51">
        <v>15.77879110014187</v>
      </c>
      <c r="G27" s="52">
        <v>10.554160100000001</v>
      </c>
      <c r="H27" s="51">
        <v>13.116869999999997</v>
      </c>
      <c r="I27" s="52">
        <v>10.582850000000001</v>
      </c>
      <c r="J27" s="51">
        <f t="shared" ref="J27:J35" si="13">D27+F27+H27</f>
        <v>40.555101100141869</v>
      </c>
      <c r="K27" s="52">
        <f t="shared" ref="K27:K35" si="14">E27+G27+I27</f>
        <v>31.376840100000003</v>
      </c>
      <c r="L27" s="55">
        <f t="shared" si="2"/>
        <v>4.5756601000000003</v>
      </c>
    </row>
    <row r="28" spans="2:12" x14ac:dyDescent="0.3">
      <c r="B28" s="54">
        <v>21.943390000000001</v>
      </c>
      <c r="C28" s="41" t="s">
        <v>27</v>
      </c>
      <c r="D28" s="51">
        <v>8.8351179094964944</v>
      </c>
      <c r="E28" s="52">
        <v>7.1534500000000003</v>
      </c>
      <c r="F28" s="51">
        <v>9.8001900000000006</v>
      </c>
      <c r="G28" s="52">
        <v>9.0205900000000003</v>
      </c>
      <c r="H28" s="51">
        <v>8.7326322498406626</v>
      </c>
      <c r="I28" s="52">
        <v>6.3539700000000003</v>
      </c>
      <c r="J28" s="51">
        <f t="shared" si="13"/>
        <v>27.367940159337159</v>
      </c>
      <c r="K28" s="52">
        <f t="shared" si="14"/>
        <v>22.528010000000002</v>
      </c>
      <c r="L28" s="55">
        <f t="shared" si="2"/>
        <v>0.58462000000000103</v>
      </c>
    </row>
    <row r="29" spans="2:12" x14ac:dyDescent="0.3">
      <c r="B29" s="54">
        <v>11.0412</v>
      </c>
      <c r="C29" s="41" t="s">
        <v>10</v>
      </c>
      <c r="D29" s="51">
        <v>4.2502400000000007</v>
      </c>
      <c r="E29" s="52">
        <v>3.3348499999999999</v>
      </c>
      <c r="F29" s="51">
        <v>7.1803334291386545</v>
      </c>
      <c r="G29" s="52">
        <v>5.0465999999999998</v>
      </c>
      <c r="H29" s="51">
        <v>4.3278664754620779</v>
      </c>
      <c r="I29" s="52">
        <v>4.8650500000000001</v>
      </c>
      <c r="J29" s="51">
        <f t="shared" si="13"/>
        <v>15.758439904600731</v>
      </c>
      <c r="K29" s="52">
        <f t="shared" si="14"/>
        <v>13.246499999999999</v>
      </c>
      <c r="L29" s="55">
        <f t="shared" si="2"/>
        <v>2.2052999999999994</v>
      </c>
    </row>
    <row r="30" spans="2:12" x14ac:dyDescent="0.3">
      <c r="B30" s="54">
        <v>33.774069999999995</v>
      </c>
      <c r="C30" s="41" t="s">
        <v>24</v>
      </c>
      <c r="D30" s="51">
        <v>13.436159999999999</v>
      </c>
      <c r="E30" s="52">
        <v>15.75135</v>
      </c>
      <c r="F30" s="51">
        <v>18.016041100141873</v>
      </c>
      <c r="G30" s="52">
        <v>17.106919999999999</v>
      </c>
      <c r="H30" s="51">
        <v>13.681558317399618</v>
      </c>
      <c r="I30" s="52">
        <v>17.120200000000001</v>
      </c>
      <c r="J30" s="51">
        <f t="shared" si="13"/>
        <v>45.133759417541491</v>
      </c>
      <c r="K30" s="52">
        <f t="shared" si="14"/>
        <v>49.978470000000002</v>
      </c>
      <c r="L30" s="55">
        <f t="shared" si="2"/>
        <v>16.204400000000007</v>
      </c>
    </row>
    <row r="31" spans="2:12" x14ac:dyDescent="0.3">
      <c r="B31" s="54">
        <v>2.95655</v>
      </c>
      <c r="C31" s="41" t="s">
        <v>12</v>
      </c>
      <c r="D31" s="51">
        <v>4.6789999999999976</v>
      </c>
      <c r="E31" s="52">
        <v>3.0905100000000001</v>
      </c>
      <c r="F31" s="51">
        <v>4.7588333333333317</v>
      </c>
      <c r="G31" s="52">
        <v>4.3051500000000003</v>
      </c>
      <c r="H31" s="51">
        <v>5.5988333333333316</v>
      </c>
      <c r="I31" s="52">
        <v>3.9479299999999999</v>
      </c>
      <c r="J31" s="51">
        <f t="shared" si="13"/>
        <v>15.036666666666662</v>
      </c>
      <c r="K31" s="52">
        <f t="shared" si="14"/>
        <v>11.343590000000001</v>
      </c>
      <c r="L31" s="55">
        <f t="shared" si="2"/>
        <v>8.3870400000000007</v>
      </c>
    </row>
    <row r="32" spans="2:12" x14ac:dyDescent="0.3">
      <c r="B32" s="54">
        <v>0</v>
      </c>
      <c r="C32" s="41" t="s">
        <v>37</v>
      </c>
      <c r="D32" s="51">
        <v>4.3632</v>
      </c>
      <c r="E32" s="52">
        <v>1.59931</v>
      </c>
      <c r="F32" s="51">
        <v>7.4137879224464953</v>
      </c>
      <c r="G32" s="52">
        <v>3.5031099999999999</v>
      </c>
      <c r="H32" s="51">
        <v>5.0904000000000007</v>
      </c>
      <c r="I32" s="52">
        <v>3.6261000000000001</v>
      </c>
      <c r="J32" s="51">
        <f t="shared" si="13"/>
        <v>16.867387922446497</v>
      </c>
      <c r="K32" s="52">
        <f t="shared" si="14"/>
        <v>8.7285199999999996</v>
      </c>
      <c r="L32" s="55">
        <f t="shared" si="2"/>
        <v>8.7285199999999996</v>
      </c>
    </row>
    <row r="33" spans="2:12" x14ac:dyDescent="0.3">
      <c r="B33" s="54">
        <v>0</v>
      </c>
      <c r="C33" s="41" t="s">
        <v>45</v>
      </c>
      <c r="D33" s="51">
        <v>0</v>
      </c>
      <c r="E33" s="52">
        <v>0</v>
      </c>
      <c r="F33" s="51">
        <v>5.3019211001418718</v>
      </c>
      <c r="G33" s="52">
        <v>10.453099999999999</v>
      </c>
      <c r="H33" s="51">
        <v>3.96</v>
      </c>
      <c r="I33" s="52">
        <v>8.6871500000000008</v>
      </c>
      <c r="J33" s="51">
        <f t="shared" si="13"/>
        <v>9.2619211001418726</v>
      </c>
      <c r="K33" s="52">
        <f t="shared" si="14"/>
        <v>19.140250000000002</v>
      </c>
      <c r="L33" s="55">
        <f t="shared" si="2"/>
        <v>19.140250000000002</v>
      </c>
    </row>
    <row r="34" spans="2:12" x14ac:dyDescent="0.3">
      <c r="B34" s="54">
        <v>11.023810000000001</v>
      </c>
      <c r="C34" s="41" t="s">
        <v>14</v>
      </c>
      <c r="D34" s="51">
        <v>13.043123032186106</v>
      </c>
      <c r="E34" s="52">
        <v>7.7183999999999999</v>
      </c>
      <c r="F34" s="51">
        <v>10.058671247609942</v>
      </c>
      <c r="G34" s="52">
        <v>12.133759999999999</v>
      </c>
      <c r="H34" s="51">
        <v>12.891825326641172</v>
      </c>
      <c r="I34" s="52">
        <v>14.631549999999999</v>
      </c>
      <c r="J34" s="51">
        <f t="shared" si="13"/>
        <v>35.993619606437221</v>
      </c>
      <c r="K34" s="52">
        <f t="shared" si="14"/>
        <v>34.483709999999995</v>
      </c>
      <c r="L34" s="55">
        <f t="shared" si="2"/>
        <v>23.459899999999994</v>
      </c>
    </row>
    <row r="35" spans="2:12" x14ac:dyDescent="0.3">
      <c r="B35" s="54">
        <v>6.1422699999999999</v>
      </c>
      <c r="C35" s="41" t="s">
        <v>15</v>
      </c>
      <c r="D35" s="51">
        <v>3.3392789674952201</v>
      </c>
      <c r="E35" s="52">
        <v>2.4207399999999999</v>
      </c>
      <c r="F35" s="51">
        <v>6.0274213832495542</v>
      </c>
      <c r="G35" s="52">
        <v>6.35947</v>
      </c>
      <c r="H35" s="51">
        <v>3.3005439770554497</v>
      </c>
      <c r="I35" s="52">
        <v>5.9034500000000003</v>
      </c>
      <c r="J35" s="51">
        <f t="shared" si="13"/>
        <v>12.667244327800224</v>
      </c>
      <c r="K35" s="52">
        <f t="shared" si="14"/>
        <v>14.68366</v>
      </c>
      <c r="L35" s="55">
        <f t="shared" si="2"/>
        <v>8.5413899999999998</v>
      </c>
    </row>
    <row r="36" spans="2:12" x14ac:dyDescent="0.3">
      <c r="B36" s="43">
        <f>SUM(B27:B35)</f>
        <v>113.68247</v>
      </c>
      <c r="C36" s="43" t="s">
        <v>3</v>
      </c>
      <c r="D36" s="43">
        <f>SUM(D27:D35)</f>
        <v>63.605559909177813</v>
      </c>
      <c r="E36" s="43">
        <f>SUM(E27:E35)</f>
        <v>51.308440000000012</v>
      </c>
      <c r="F36" s="43">
        <f>SUM(F27:F35)</f>
        <v>84.335990616203588</v>
      </c>
      <c r="G36" s="43">
        <f>SUM(G27:G35)</f>
        <v>78.482860099999996</v>
      </c>
      <c r="H36" s="43">
        <f>SUM(H27:H35)</f>
        <v>70.700529679732313</v>
      </c>
      <c r="I36" s="43">
        <f t="shared" ref="I36:K36" si="15">SUM(I27:I35)</f>
        <v>75.718250000000012</v>
      </c>
      <c r="J36" s="43">
        <f t="shared" si="15"/>
        <v>218.64208020511376</v>
      </c>
      <c r="K36" s="43">
        <f t="shared" si="15"/>
        <v>205.50955010000001</v>
      </c>
      <c r="L36" s="56">
        <f t="shared" si="2"/>
        <v>91.827080100000018</v>
      </c>
    </row>
    <row r="37" spans="2:12" x14ac:dyDescent="0.3">
      <c r="B37" s="54"/>
      <c r="C37" s="41"/>
      <c r="D37" s="49"/>
      <c r="E37" s="50"/>
      <c r="F37" s="49"/>
      <c r="G37" s="50"/>
      <c r="H37" s="49"/>
      <c r="I37" s="50"/>
      <c r="J37" s="49"/>
      <c r="K37" s="50"/>
      <c r="L37" s="55"/>
    </row>
    <row r="38" spans="2:12" x14ac:dyDescent="0.3">
      <c r="B38" s="54">
        <v>21.38777</v>
      </c>
      <c r="C38" s="41" t="s">
        <v>16</v>
      </c>
      <c r="D38" s="51">
        <v>9.6428059273422573</v>
      </c>
      <c r="E38" s="52">
        <v>9.1954600000000006</v>
      </c>
      <c r="F38" s="51">
        <v>13.358021100141872</v>
      </c>
      <c r="G38" s="52">
        <v>12.157360000000001</v>
      </c>
      <c r="H38" s="51">
        <v>9.5309512428298273</v>
      </c>
      <c r="I38" s="52">
        <v>10.848990000000001</v>
      </c>
      <c r="J38" s="51">
        <f t="shared" ref="J38:J45" si="16">D38+F38+H38</f>
        <v>32.531778270313957</v>
      </c>
      <c r="K38" s="52">
        <f t="shared" ref="K38:K45" si="17">E38+G38+I38</f>
        <v>32.201810000000002</v>
      </c>
      <c r="L38" s="55">
        <f t="shared" si="2"/>
        <v>10.814040000000002</v>
      </c>
    </row>
    <row r="39" spans="2:12" x14ac:dyDescent="0.3">
      <c r="B39" s="54">
        <v>0</v>
      </c>
      <c r="C39" s="41" t="s">
        <v>38</v>
      </c>
      <c r="D39" s="51">
        <v>11.912574091778202</v>
      </c>
      <c r="E39" s="52">
        <v>9.98827</v>
      </c>
      <c r="F39" s="51">
        <v>13.213800000000001</v>
      </c>
      <c r="G39" s="52">
        <v>10.769019999999999</v>
      </c>
      <c r="H39" s="51">
        <v>11.77439053537285</v>
      </c>
      <c r="I39" s="52">
        <v>9.0852199999999996</v>
      </c>
      <c r="J39" s="51">
        <f t="shared" si="16"/>
        <v>36.900764627151055</v>
      </c>
      <c r="K39" s="52">
        <f t="shared" si="17"/>
        <v>29.842509999999997</v>
      </c>
      <c r="L39" s="55">
        <f t="shared" si="2"/>
        <v>29.842509999999997</v>
      </c>
    </row>
    <row r="40" spans="2:12" x14ac:dyDescent="0.3">
      <c r="B40" s="54">
        <v>0</v>
      </c>
      <c r="C40" s="41" t="s">
        <v>39</v>
      </c>
      <c r="D40" s="51">
        <v>4.68</v>
      </c>
      <c r="E40" s="52">
        <v>2.48719</v>
      </c>
      <c r="F40" s="51">
        <v>7.9393879224464943</v>
      </c>
      <c r="G40" s="52">
        <v>4.3030299999999997</v>
      </c>
      <c r="H40" s="51">
        <v>6.5519999999999996</v>
      </c>
      <c r="I40" s="52">
        <v>4.2163399999999998</v>
      </c>
      <c r="J40" s="51">
        <f t="shared" si="16"/>
        <v>19.171387922446492</v>
      </c>
      <c r="K40" s="52">
        <f t="shared" si="17"/>
        <v>11.00656</v>
      </c>
      <c r="L40" s="55">
        <f t="shared" si="2"/>
        <v>11.00656</v>
      </c>
    </row>
    <row r="41" spans="2:12" x14ac:dyDescent="0.3">
      <c r="B41" s="54">
        <v>0</v>
      </c>
      <c r="C41" s="41" t="s">
        <v>40</v>
      </c>
      <c r="D41" s="51">
        <v>2.88</v>
      </c>
      <c r="E41" s="52">
        <v>5.1333900000000003</v>
      </c>
      <c r="F41" s="51">
        <v>4.32</v>
      </c>
      <c r="G41" s="52">
        <v>6.59795</v>
      </c>
      <c r="H41" s="51">
        <v>5.0400000000000009</v>
      </c>
      <c r="I41" s="52">
        <v>5.2948798999999998</v>
      </c>
      <c r="J41" s="51">
        <f t="shared" si="16"/>
        <v>12.240000000000002</v>
      </c>
      <c r="K41" s="52">
        <f t="shared" si="17"/>
        <v>17.026219900000001</v>
      </c>
      <c r="L41" s="55">
        <f t="shared" si="2"/>
        <v>17.026219900000001</v>
      </c>
    </row>
    <row r="42" spans="2:12" x14ac:dyDescent="0.3">
      <c r="B42" s="54">
        <v>0</v>
      </c>
      <c r="C42" s="41" t="s">
        <v>42</v>
      </c>
      <c r="D42" s="51">
        <v>0</v>
      </c>
      <c r="E42" s="52">
        <v>0</v>
      </c>
      <c r="F42" s="51">
        <v>2.34</v>
      </c>
      <c r="G42" s="52">
        <v>1.87415</v>
      </c>
      <c r="H42" s="51">
        <v>4.68</v>
      </c>
      <c r="I42" s="52">
        <v>3.4041005000000015</v>
      </c>
      <c r="J42" s="51">
        <f t="shared" si="16"/>
        <v>7.02</v>
      </c>
      <c r="K42" s="52">
        <f t="shared" si="17"/>
        <v>5.2782505000000013</v>
      </c>
      <c r="L42" s="55">
        <f t="shared" si="2"/>
        <v>5.2782505000000013</v>
      </c>
    </row>
    <row r="43" spans="2:12" x14ac:dyDescent="0.3">
      <c r="B43" s="54">
        <v>0</v>
      </c>
      <c r="C43" s="41" t="s">
        <v>41</v>
      </c>
      <c r="D43" s="51">
        <v>4.68</v>
      </c>
      <c r="E43" s="52">
        <v>3.5136799999999999</v>
      </c>
      <c r="F43" s="51">
        <v>5.6159999999999997</v>
      </c>
      <c r="G43" s="52">
        <v>3.72689</v>
      </c>
      <c r="H43" s="51">
        <v>6.5520000000000014</v>
      </c>
      <c r="I43" s="52">
        <v>3.1012900000000001</v>
      </c>
      <c r="J43" s="51">
        <f t="shared" si="16"/>
        <v>16.847999999999999</v>
      </c>
      <c r="K43" s="52">
        <f t="shared" si="17"/>
        <v>10.34186</v>
      </c>
      <c r="L43" s="55">
        <f t="shared" si="2"/>
        <v>10.34186</v>
      </c>
    </row>
    <row r="44" spans="2:12" x14ac:dyDescent="0.3">
      <c r="B44" s="54">
        <v>0</v>
      </c>
      <c r="C44" s="41" t="s">
        <v>43</v>
      </c>
      <c r="D44" s="51">
        <v>0</v>
      </c>
      <c r="E44" s="52">
        <v>0</v>
      </c>
      <c r="F44" s="51">
        <v>2.34</v>
      </c>
      <c r="G44" s="52">
        <v>1.8700000000000001E-2</v>
      </c>
      <c r="H44" s="51">
        <v>3.9000000000000008</v>
      </c>
      <c r="I44" s="52">
        <v>0</v>
      </c>
      <c r="J44" s="51">
        <f t="shared" si="16"/>
        <v>6.24</v>
      </c>
      <c r="K44" s="52">
        <f t="shared" si="17"/>
        <v>1.8700000000000001E-2</v>
      </c>
      <c r="L44" s="55">
        <f t="shared" si="2"/>
        <v>1.8700000000000001E-2</v>
      </c>
    </row>
    <row r="45" spans="2:12" x14ac:dyDescent="0.3">
      <c r="B45" s="54">
        <v>0</v>
      </c>
      <c r="C45" s="41" t="s">
        <v>44</v>
      </c>
      <c r="D45" s="51">
        <v>0</v>
      </c>
      <c r="E45" s="52">
        <v>0</v>
      </c>
      <c r="F45" s="51">
        <v>0</v>
      </c>
      <c r="G45" s="52">
        <v>0</v>
      </c>
      <c r="H45" s="51">
        <v>3.6</v>
      </c>
      <c r="I45" s="52">
        <v>0.18484999999999999</v>
      </c>
      <c r="J45" s="51">
        <f t="shared" si="16"/>
        <v>3.6</v>
      </c>
      <c r="K45" s="52">
        <f t="shared" si="17"/>
        <v>0.18484999999999999</v>
      </c>
      <c r="L45" s="55">
        <f t="shared" si="2"/>
        <v>0.18484999999999999</v>
      </c>
    </row>
    <row r="46" spans="2:12" x14ac:dyDescent="0.3">
      <c r="B46" s="43">
        <f>SUM(B38:B45)</f>
        <v>21.38777</v>
      </c>
      <c r="C46" s="43" t="s">
        <v>3</v>
      </c>
      <c r="D46" s="43">
        <f>SUM(D38:D45)</f>
        <v>33.795380019120458</v>
      </c>
      <c r="E46" s="43">
        <f t="shared" ref="E46:I46" si="18">SUM(E38:E45)</f>
        <v>30.317990000000002</v>
      </c>
      <c r="F46" s="43">
        <f t="shared" si="18"/>
        <v>49.127209022588374</v>
      </c>
      <c r="G46" s="43">
        <f t="shared" si="18"/>
        <v>39.447099999999999</v>
      </c>
      <c r="H46" s="43">
        <f t="shared" si="18"/>
        <v>51.629341778202679</v>
      </c>
      <c r="I46" s="43">
        <f t="shared" si="18"/>
        <v>36.135670399999995</v>
      </c>
      <c r="J46" s="43">
        <f t="shared" ref="J46" si="19">SUM(J38:J45)</f>
        <v>134.55193081991152</v>
      </c>
      <c r="K46" s="43">
        <f t="shared" ref="K46" si="20">SUM(K38:K45)</f>
        <v>105.9007604</v>
      </c>
      <c r="L46" s="56">
        <f t="shared" si="2"/>
        <v>84.512990399999993</v>
      </c>
    </row>
    <row r="47" spans="2:12" x14ac:dyDescent="0.3">
      <c r="B47" s="54"/>
      <c r="C47" s="44"/>
      <c r="D47" s="49"/>
      <c r="E47" s="50"/>
      <c r="F47" s="49"/>
      <c r="G47" s="50"/>
      <c r="H47" s="49"/>
      <c r="I47" s="50"/>
      <c r="J47" s="49"/>
      <c r="K47" s="50"/>
      <c r="L47" s="55"/>
    </row>
    <row r="48" spans="2:12" x14ac:dyDescent="0.3">
      <c r="B48" s="43">
        <f>+B46+B36+B25+B20+B12</f>
        <v>1482.5504057999999</v>
      </c>
      <c r="C48" s="43" t="s">
        <v>19</v>
      </c>
      <c r="D48" s="43">
        <f t="shared" ref="D48:K48" si="21">+D46+D36+D25+D20+D12</f>
        <v>593.32015415693309</v>
      </c>
      <c r="E48" s="43">
        <f t="shared" si="21"/>
        <v>543.64311459999999</v>
      </c>
      <c r="F48" s="43">
        <f t="shared" si="21"/>
        <v>700.74496735252217</v>
      </c>
      <c r="G48" s="43">
        <f t="shared" si="21"/>
        <v>606.89611249999984</v>
      </c>
      <c r="H48" s="43">
        <f t="shared" si="21"/>
        <v>725.75783646286663</v>
      </c>
      <c r="I48" s="43">
        <f t="shared" si="21"/>
        <v>553.11756030000004</v>
      </c>
      <c r="J48" s="43">
        <f t="shared" si="21"/>
        <v>2019.822957972322</v>
      </c>
      <c r="K48" s="43">
        <f t="shared" si="21"/>
        <v>1703.6567873999998</v>
      </c>
      <c r="L48" s="56">
        <f t="shared" si="2"/>
        <v>221.10638159999985</v>
      </c>
    </row>
    <row r="49" spans="2:12" x14ac:dyDescent="0.3">
      <c r="B49" s="54"/>
      <c r="C49" s="41"/>
      <c r="D49" s="49"/>
      <c r="E49" s="50"/>
      <c r="F49" s="49"/>
      <c r="G49" s="50"/>
      <c r="H49" s="49"/>
      <c r="I49" s="50"/>
      <c r="J49" s="49"/>
      <c r="K49" s="50"/>
      <c r="L49" s="55"/>
    </row>
    <row r="50" spans="2:12" x14ac:dyDescent="0.3">
      <c r="B50" s="54">
        <v>502.71008810000001</v>
      </c>
      <c r="C50" s="41" t="s">
        <v>20</v>
      </c>
      <c r="D50" s="51">
        <v>184.99999999999997</v>
      </c>
      <c r="E50" s="52">
        <v>184.11408389999997</v>
      </c>
      <c r="F50" s="51">
        <v>185.96199999999999</v>
      </c>
      <c r="G50" s="52">
        <v>208.36001372881356</v>
      </c>
      <c r="H50" s="51">
        <v>186.929</v>
      </c>
      <c r="I50" s="52">
        <v>110.28088870000003</v>
      </c>
      <c r="J50" s="51">
        <f t="shared" ref="J50:J52" si="22">D50+F50+H50</f>
        <v>557.89099999999996</v>
      </c>
      <c r="K50" s="52">
        <f t="shared" ref="K50:K52" si="23">E50+G50+I50</f>
        <v>502.75498632881357</v>
      </c>
      <c r="L50" s="55">
        <f t="shared" si="2"/>
        <v>4.4898228813565311E-2</v>
      </c>
    </row>
    <row r="51" spans="2:12" x14ac:dyDescent="0.3">
      <c r="B51" s="54">
        <v>14.554801999999999</v>
      </c>
      <c r="C51" s="41" t="s">
        <v>62</v>
      </c>
      <c r="D51" s="51">
        <v>0</v>
      </c>
      <c r="E51" s="52">
        <v>0</v>
      </c>
      <c r="F51" s="51">
        <v>0</v>
      </c>
      <c r="G51" s="52">
        <v>0</v>
      </c>
      <c r="H51" s="51">
        <v>0</v>
      </c>
      <c r="I51" s="52">
        <v>0</v>
      </c>
      <c r="J51" s="51">
        <f t="shared" si="22"/>
        <v>0</v>
      </c>
      <c r="K51" s="52">
        <f t="shared" si="23"/>
        <v>0</v>
      </c>
      <c r="L51" s="55">
        <f t="shared" si="2"/>
        <v>-14.554801999999999</v>
      </c>
    </row>
    <row r="52" spans="2:12" x14ac:dyDescent="0.3">
      <c r="B52" s="54">
        <v>71.0271106</v>
      </c>
      <c r="C52" s="41" t="s">
        <v>61</v>
      </c>
      <c r="D52" s="51">
        <v>23.56</v>
      </c>
      <c r="E52" s="52">
        <v>23.56</v>
      </c>
      <c r="F52" s="51">
        <v>23.56</v>
      </c>
      <c r="G52" s="52">
        <v>23.56</v>
      </c>
      <c r="H52" s="51">
        <v>23.56</v>
      </c>
      <c r="I52" s="52">
        <v>23.56</v>
      </c>
      <c r="J52" s="51">
        <f t="shared" si="22"/>
        <v>70.679999999999993</v>
      </c>
      <c r="K52" s="52">
        <f t="shared" si="23"/>
        <v>70.679999999999993</v>
      </c>
      <c r="L52" s="55">
        <f t="shared" si="2"/>
        <v>-0.34711060000000771</v>
      </c>
    </row>
    <row r="53" spans="2:12" ht="16.2" thickBot="1" x14ac:dyDescent="0.35">
      <c r="B53" s="46">
        <f>+B48+B50+B51+B52</f>
        <v>2070.8424064999999</v>
      </c>
      <c r="C53" s="46" t="s">
        <v>21</v>
      </c>
      <c r="D53" s="46">
        <f>+D48+D50+D51+D52</f>
        <v>801.88015415693303</v>
      </c>
      <c r="E53" s="46">
        <f>+E48+E50+E51+E52</f>
        <v>751.3171984999999</v>
      </c>
      <c r="F53" s="46">
        <f t="shared" ref="F53:G53" si="24">+F48+F50+F51+F52</f>
        <v>910.2669673525221</v>
      </c>
      <c r="G53" s="46">
        <f t="shared" si="24"/>
        <v>838.81612622881335</v>
      </c>
      <c r="H53" s="46">
        <f t="shared" ref="H53" si="25">+H48+H50+H51+H52</f>
        <v>936.24683646286655</v>
      </c>
      <c r="I53" s="46">
        <f t="shared" ref="I53:K53" si="26">+I48+I50+I51+I52</f>
        <v>686.95844899999997</v>
      </c>
      <c r="J53" s="46">
        <f t="shared" si="26"/>
        <v>2648.3939579723219</v>
      </c>
      <c r="K53" s="46">
        <f t="shared" si="26"/>
        <v>2277.0917737288132</v>
      </c>
      <c r="L53" s="57">
        <f t="shared" si="2"/>
        <v>206.2493672288133</v>
      </c>
    </row>
    <row r="54" spans="2:12" x14ac:dyDescent="0.3">
      <c r="B54" s="53">
        <f>B53-Summay!E21</f>
        <v>715.00176800000008</v>
      </c>
      <c r="J54" s="42">
        <f>J53-Summay!E19</f>
        <v>910.26696735252244</v>
      </c>
      <c r="K54" s="42">
        <f>K53-Summay!E20</f>
        <v>838.81612622881357</v>
      </c>
    </row>
  </sheetData>
  <mergeCells count="6">
    <mergeCell ref="L1:L2"/>
    <mergeCell ref="B1:B2"/>
    <mergeCell ref="D1:E1"/>
    <mergeCell ref="F1:G1"/>
    <mergeCell ref="H1:I1"/>
    <mergeCell ref="J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4E7C-DB9B-4303-82BA-BEC6E67D70BF}">
  <dimension ref="B1:L53"/>
  <sheetViews>
    <sheetView zoomScale="80" zoomScaleNormal="80" workbookViewId="0">
      <pane xSplit="1" ySplit="2" topLeftCell="B9" activePane="bottomRight" state="frozen"/>
      <selection activeCell="A4" sqref="A4:A10"/>
      <selection pane="topRight" activeCell="A4" sqref="A4:A10"/>
      <selection pane="bottomLeft" activeCell="A4" sqref="A4:A10"/>
      <selection pane="bottomRight" activeCell="A4" sqref="A4:A10"/>
    </sheetView>
  </sheetViews>
  <sheetFormatPr defaultColWidth="8.88671875" defaultRowHeight="15.6" x14ac:dyDescent="0.3"/>
  <cols>
    <col min="1" max="1" width="8.88671875" style="37"/>
    <col min="2" max="2" width="15.6640625" style="53" bestFit="1" customWidth="1"/>
    <col min="3" max="3" width="28.21875" style="37" customWidth="1"/>
    <col min="4" max="11" width="13.88671875" style="37" customWidth="1"/>
    <col min="12" max="12" width="15.77734375" style="58" customWidth="1"/>
    <col min="13" max="16384" width="8.88671875" style="37"/>
  </cols>
  <sheetData>
    <row r="1" spans="2:12" ht="21.6" thickBot="1" x14ac:dyDescent="0.45">
      <c r="B1" s="286" t="s">
        <v>65</v>
      </c>
      <c r="C1" s="59"/>
      <c r="D1" s="288">
        <v>45383</v>
      </c>
      <c r="E1" s="289"/>
      <c r="F1" s="288">
        <v>45413</v>
      </c>
      <c r="G1" s="289"/>
      <c r="H1" s="288">
        <v>45444</v>
      </c>
      <c r="I1" s="289"/>
      <c r="J1" s="288" t="s">
        <v>66</v>
      </c>
      <c r="K1" s="289"/>
      <c r="L1" s="286" t="s">
        <v>67</v>
      </c>
    </row>
    <row r="2" spans="2:12" ht="16.2" thickBot="1" x14ac:dyDescent="0.35">
      <c r="B2" s="287"/>
      <c r="C2" s="60" t="s">
        <v>4</v>
      </c>
      <c r="D2" s="47" t="s">
        <v>5</v>
      </c>
      <c r="E2" s="48" t="s">
        <v>6</v>
      </c>
      <c r="F2" s="47" t="s">
        <v>5</v>
      </c>
      <c r="G2" s="48" t="s">
        <v>6</v>
      </c>
      <c r="H2" s="47" t="s">
        <v>5</v>
      </c>
      <c r="I2" s="48" t="s">
        <v>6</v>
      </c>
      <c r="J2" s="47" t="s">
        <v>5</v>
      </c>
      <c r="K2" s="61" t="s">
        <v>6</v>
      </c>
      <c r="L2" s="287"/>
    </row>
    <row r="3" spans="2:12" x14ac:dyDescent="0.3">
      <c r="B3" s="54"/>
      <c r="C3" s="41"/>
      <c r="D3" s="49"/>
      <c r="E3" s="50"/>
      <c r="F3" s="49"/>
      <c r="G3" s="50"/>
      <c r="H3" s="49"/>
      <c r="I3" s="50"/>
      <c r="J3" s="49"/>
      <c r="K3" s="50"/>
      <c r="L3" s="55"/>
    </row>
    <row r="4" spans="2:12" x14ac:dyDescent="0.3">
      <c r="B4" s="54">
        <f>IFERROR(_xlfn.XLOOKUP(C4,'FY24'!C:C,'FY24'!S:S),0)</f>
        <v>0</v>
      </c>
      <c r="C4" s="41" t="s">
        <v>8</v>
      </c>
      <c r="D4" s="51">
        <f t="array" ref="D4:E4">IFERROR(VLOOKUP(C4,'Apr24'!A:C,{2,3},0),0)</f>
        <v>21.292542362870464</v>
      </c>
      <c r="E4" s="52">
        <v>25.805143300000001</v>
      </c>
      <c r="F4" s="51">
        <f t="array" ref="F4:G4">IFERROR(VLOOKUP(C4,'May24'!A:C,{2,3},0),0)</f>
        <v>26.178121503047329</v>
      </c>
      <c r="G4" s="52">
        <v>22.693023000000007</v>
      </c>
      <c r="H4" s="51">
        <f t="array" ref="H4:I4">IFERROR(VLOOKUP(C4,'Jun24'!A:C,{2,3},0),0)</f>
        <v>23.326474280493148</v>
      </c>
      <c r="I4" s="52">
        <v>22.020458400000006</v>
      </c>
      <c r="J4" s="51">
        <f>D4+F4+H4</f>
        <v>70.797138146410944</v>
      </c>
      <c r="K4" s="52">
        <f>E4+G4+I4</f>
        <v>70.518624700000018</v>
      </c>
      <c r="L4" s="55">
        <f>+K4-B4</f>
        <v>70.518624700000018</v>
      </c>
    </row>
    <row r="5" spans="2:12" x14ac:dyDescent="0.3">
      <c r="B5" s="54">
        <f>IFERROR(_xlfn.XLOOKUP(C5,'FY24'!C:C,'FY24'!S:S),0)</f>
        <v>0</v>
      </c>
      <c r="C5" s="41" t="s">
        <v>30</v>
      </c>
      <c r="D5" s="51">
        <f t="array" ref="D5:E5">IFERROR(VLOOKUP(C5,'Apr24'!A:C,{2,3},0),0)</f>
        <v>76.413050607225628</v>
      </c>
      <c r="E5" s="52">
        <v>60.781149999999997</v>
      </c>
      <c r="F5" s="51">
        <f t="array" ref="F5:G5">IFERROR(VLOOKUP(C5,'May24'!A:C,{2,3},0),0)</f>
        <v>84.759785500000007</v>
      </c>
      <c r="G5" s="52">
        <v>66.809653000000012</v>
      </c>
      <c r="H5" s="51">
        <f t="array" ref="H5:I5">IFERROR(VLOOKUP(C5,'Jun24'!A:C,{2,3},0),0)</f>
        <v>75.526677744502877</v>
      </c>
      <c r="I5" s="52">
        <v>51.830187499999994</v>
      </c>
      <c r="J5" s="51">
        <f t="shared" ref="J5:K11" si="0">D5+F5+H5</f>
        <v>236.69951385172851</v>
      </c>
      <c r="K5" s="52">
        <f t="shared" si="0"/>
        <v>179.42099050000002</v>
      </c>
      <c r="L5" s="55">
        <f t="shared" ref="L5:L53" si="1">+K5-B5</f>
        <v>179.42099050000002</v>
      </c>
    </row>
    <row r="6" spans="2:12" x14ac:dyDescent="0.3">
      <c r="B6" s="54">
        <f>IFERROR(_xlfn.XLOOKUP(C6,'FY24'!C:C,'FY24'!S:S),0)</f>
        <v>0</v>
      </c>
      <c r="C6" s="41" t="s">
        <v>29</v>
      </c>
      <c r="D6" s="51">
        <f t="array" ref="D6:E6">IFERROR(VLOOKUP(C6,'Apr24'!A:C,{2,3},0),0)</f>
        <v>0</v>
      </c>
      <c r="E6" s="52">
        <v>1.50319</v>
      </c>
      <c r="F6" s="51">
        <f t="array" ref="F6:G6">IFERROR(VLOOKUP(C6,'May24'!A:C,{2,3},0),0)</f>
        <v>0</v>
      </c>
      <c r="G6" s="52">
        <v>1.68832</v>
      </c>
      <c r="H6" s="51">
        <f t="array" ref="H6:I6">IFERROR(VLOOKUP(C6,'Jun24'!A:C,{2,3},0),0)</f>
        <v>0</v>
      </c>
      <c r="I6" s="52">
        <v>1.6121300000000001</v>
      </c>
      <c r="J6" s="51">
        <f t="shared" si="0"/>
        <v>0</v>
      </c>
      <c r="K6" s="52">
        <f t="shared" si="0"/>
        <v>4.8036399999999997</v>
      </c>
      <c r="L6" s="55">
        <f t="shared" si="1"/>
        <v>4.8036399999999997</v>
      </c>
    </row>
    <row r="7" spans="2:12" x14ac:dyDescent="0.3">
      <c r="B7" s="54">
        <f>IFERROR(_xlfn.XLOOKUP(C7,'FY24'!C:C,'FY24'!S:S),0)</f>
        <v>0</v>
      </c>
      <c r="C7" s="41" t="s">
        <v>18</v>
      </c>
      <c r="D7" s="51">
        <f t="array" ref="D7:E7">IFERROR(VLOOKUP(C7,'Apr24'!A:C,{2,3},0),0)</f>
        <v>4.8000035704878679</v>
      </c>
      <c r="E7" s="52">
        <v>6.5590200000000003</v>
      </c>
      <c r="F7" s="51">
        <f t="array" ref="F7:G7">IFERROR(VLOOKUP(C7,'May24'!A:C,{2,3},0),0)</f>
        <v>5.76</v>
      </c>
      <c r="G7" s="52">
        <v>4.2430678999999998</v>
      </c>
      <c r="H7" s="51">
        <f t="array" ref="H7:I7">IFERROR(VLOOKUP(C7,'Jun24'!A:C,{2,3},0),0)</f>
        <v>6.72</v>
      </c>
      <c r="I7" s="52">
        <v>4.6482953</v>
      </c>
      <c r="J7" s="51">
        <f t="shared" si="0"/>
        <v>17.280003570487867</v>
      </c>
      <c r="K7" s="52">
        <f t="shared" si="0"/>
        <v>15.450383200000001</v>
      </c>
      <c r="L7" s="55">
        <f t="shared" si="1"/>
        <v>15.450383200000001</v>
      </c>
    </row>
    <row r="8" spans="2:12" x14ac:dyDescent="0.3">
      <c r="B8" s="54">
        <f>IFERROR(_xlfn.XLOOKUP(C8,'FY24'!C:C,'FY24'!S:S),0)</f>
        <v>0</v>
      </c>
      <c r="C8" s="41" t="s">
        <v>36</v>
      </c>
      <c r="D8" s="51">
        <f t="array" ref="D8:E8">IFERROR(VLOOKUP(C8,'Apr24'!A:C,{2,3},0),0)</f>
        <v>6.2163199999999978</v>
      </c>
      <c r="E8" s="52">
        <v>5.9074900000000001</v>
      </c>
      <c r="F8" s="51">
        <f t="array" ref="F8:G8">IFERROR(VLOOKUP(C8,'May24'!A:C,{2,3},0),0)</f>
        <v>7.7704000000000004</v>
      </c>
      <c r="G8" s="52">
        <v>5.9633730000000007</v>
      </c>
      <c r="H8" s="51">
        <f t="array" ref="H8:I8">IFERROR(VLOOKUP(C8,'Jun24'!A:C,{2,3},0),0)</f>
        <v>9.3244799999999994</v>
      </c>
      <c r="I8" s="52">
        <v>4.7512843000000009</v>
      </c>
      <c r="J8" s="51">
        <f t="shared" si="0"/>
        <v>23.311199999999999</v>
      </c>
      <c r="K8" s="52">
        <f t="shared" si="0"/>
        <v>16.622147300000002</v>
      </c>
      <c r="L8" s="55">
        <f t="shared" si="1"/>
        <v>16.622147300000002</v>
      </c>
    </row>
    <row r="9" spans="2:12" x14ac:dyDescent="0.3">
      <c r="B9" s="54">
        <f>IFERROR(_xlfn.XLOOKUP(C9,'FY24'!C:C,'FY24'!S:S),0)</f>
        <v>0</v>
      </c>
      <c r="C9" s="41" t="s">
        <v>28</v>
      </c>
      <c r="D9" s="51">
        <f t="array" ref="D9:E9">IFERROR(VLOOKUP(C9,'Apr24'!A:C,{2,3},0),0)</f>
        <v>8.5778654627515518</v>
      </c>
      <c r="E9" s="52">
        <v>7.0198400000000003</v>
      </c>
      <c r="F9" s="51">
        <f t="array" ref="F9:G9">IFERROR(VLOOKUP(C9,'May24'!A:C,{2,3},0),0)</f>
        <v>10.00751</v>
      </c>
      <c r="G9" s="52">
        <v>5.8156376000000005</v>
      </c>
      <c r="H9" s="51">
        <f t="array" ref="H9:I9">IFERROR(VLOOKUP(C9,'Jun24'!A:C,{2,3},0),0)</f>
        <v>11.646040391969406</v>
      </c>
      <c r="I9" s="52">
        <v>5.5901829999999997</v>
      </c>
      <c r="J9" s="51">
        <f t="shared" si="0"/>
        <v>30.231415854720957</v>
      </c>
      <c r="K9" s="52">
        <f t="shared" si="0"/>
        <v>18.4256606</v>
      </c>
      <c r="L9" s="55">
        <f t="shared" si="1"/>
        <v>18.4256606</v>
      </c>
    </row>
    <row r="10" spans="2:12" x14ac:dyDescent="0.3">
      <c r="B10" s="54">
        <f>IFERROR(_xlfn.XLOOKUP(C10,'FY24'!C:C,'FY24'!S:S),0)</f>
        <v>0</v>
      </c>
      <c r="C10" s="41" t="s">
        <v>23</v>
      </c>
      <c r="D10" s="51">
        <f t="array" ref="D10:E10">IFERROR(VLOOKUP(C10,'Apr24'!A:C,{2,3},0),0)</f>
        <v>6.4743246759592967</v>
      </c>
      <c r="E10" s="52">
        <v>8.4824599999999997</v>
      </c>
      <c r="F10" s="51">
        <f t="array" ref="F10:G10">IFERROR(VLOOKUP(C10,'May24'!A:C,{2,3},0),0)</f>
        <v>7.76919</v>
      </c>
      <c r="G10" s="52">
        <v>9.5112900000000007</v>
      </c>
      <c r="H10" s="51">
        <f t="array" ref="H10:I10">IFERROR(VLOOKUP(C10,'Jun24'!A:C,{2,3},0),0)</f>
        <v>10.3589248</v>
      </c>
      <c r="I10" s="52">
        <v>8.6699300000000008</v>
      </c>
      <c r="J10" s="51">
        <f t="shared" si="0"/>
        <v>24.602439475959297</v>
      </c>
      <c r="K10" s="52">
        <f t="shared" si="0"/>
        <v>26.663679999999999</v>
      </c>
      <c r="L10" s="55">
        <f t="shared" si="1"/>
        <v>26.663679999999999</v>
      </c>
    </row>
    <row r="11" spans="2:12" x14ac:dyDescent="0.3">
      <c r="B11" s="54">
        <f>IFERROR(_xlfn.XLOOKUP(C11,'FY24'!C:C,'FY24'!S:S),0)</f>
        <v>0</v>
      </c>
      <c r="C11" s="41" t="s">
        <v>46</v>
      </c>
      <c r="D11" s="51">
        <f t="array" ref="D11:E11">IFERROR(VLOOKUP(C11,'Apr24'!A:C,{2,3},0),0)</f>
        <v>0</v>
      </c>
      <c r="E11" s="52">
        <v>0</v>
      </c>
      <c r="F11" s="51">
        <f t="array" ref="F11:G11">IFERROR(VLOOKUP(C11,'May24'!A:C,{2,3},0),0)</f>
        <v>0</v>
      </c>
      <c r="G11" s="52">
        <v>0</v>
      </c>
      <c r="H11" s="51">
        <f t="array" ref="H11:I11">IFERROR(VLOOKUP(C11,'Jun24'!A:C,{2,3},0),0)</f>
        <v>3</v>
      </c>
      <c r="I11" s="52">
        <v>0</v>
      </c>
      <c r="J11" s="51">
        <f t="shared" si="0"/>
        <v>3</v>
      </c>
      <c r="K11" s="52">
        <f t="shared" si="0"/>
        <v>0</v>
      </c>
      <c r="L11" s="55">
        <f t="shared" si="1"/>
        <v>0</v>
      </c>
    </row>
    <row r="12" spans="2:12" x14ac:dyDescent="0.3">
      <c r="B12" s="43">
        <f>SUM(B4:B11)</f>
        <v>0</v>
      </c>
      <c r="C12" s="43" t="s">
        <v>3</v>
      </c>
      <c r="D12" s="43">
        <f>SUM(D4:D11)</f>
        <v>123.7741066792948</v>
      </c>
      <c r="E12" s="43">
        <f t="shared" ref="E12:K12" si="2">SUM(E4:E11)</f>
        <v>116.0582933</v>
      </c>
      <c r="F12" s="43">
        <f t="shared" si="2"/>
        <v>142.24500700304736</v>
      </c>
      <c r="G12" s="43">
        <f t="shared" si="2"/>
        <v>116.72436450000004</v>
      </c>
      <c r="H12" s="43">
        <f t="shared" si="2"/>
        <v>139.90259721696543</v>
      </c>
      <c r="I12" s="43">
        <f t="shared" si="2"/>
        <v>99.122468499999997</v>
      </c>
      <c r="J12" s="43">
        <f t="shared" si="2"/>
        <v>405.92171089930753</v>
      </c>
      <c r="K12" s="43">
        <f t="shared" si="2"/>
        <v>331.90512630000006</v>
      </c>
      <c r="L12" s="56">
        <f t="shared" si="1"/>
        <v>331.90512630000006</v>
      </c>
    </row>
    <row r="13" spans="2:12" x14ac:dyDescent="0.3">
      <c r="B13" s="54"/>
      <c r="C13" s="41"/>
      <c r="D13" s="49"/>
      <c r="E13" s="50"/>
      <c r="F13" s="49"/>
      <c r="G13" s="50"/>
      <c r="H13" s="49"/>
      <c r="I13" s="50"/>
      <c r="J13" s="49"/>
      <c r="K13" s="50"/>
      <c r="L13" s="55">
        <f t="shared" si="1"/>
        <v>0</v>
      </c>
    </row>
    <row r="14" spans="2:12" x14ac:dyDescent="0.3">
      <c r="B14" s="54">
        <f>IFERROR(_xlfn.XLOOKUP(C14,'FY24'!C:C,'FY24'!S:S),0)</f>
        <v>0</v>
      </c>
      <c r="C14" s="41" t="s">
        <v>26</v>
      </c>
      <c r="D14" s="51">
        <f t="array" ref="D14:E14">IFERROR(VLOOKUP(C14,'Apr24'!A:C,{2,3},0),0)</f>
        <v>91.834966170613015</v>
      </c>
      <c r="E14" s="52">
        <v>94.788785000000004</v>
      </c>
      <c r="F14" s="51">
        <f t="array" ref="F14:G14">IFERROR(VLOOKUP(C14,'May24'!A:C,{2,3},0),0)</f>
        <v>101.86624</v>
      </c>
      <c r="G14" s="52">
        <v>95.644904999999994</v>
      </c>
      <c r="H14" s="51">
        <f t="array" ref="H14:I14">IFERROR(VLOOKUP(C14,'Jun24'!A:C,{2,3},0),0)</f>
        <v>90.769700406309738</v>
      </c>
      <c r="I14" s="52">
        <v>84.395544099999995</v>
      </c>
      <c r="J14" s="51">
        <f t="shared" ref="J14:K19" si="3">D14+F14+H14</f>
        <v>284.47090657692274</v>
      </c>
      <c r="K14" s="52">
        <f t="shared" si="3"/>
        <v>274.82923410000001</v>
      </c>
      <c r="L14" s="55">
        <f t="shared" si="1"/>
        <v>274.82923410000001</v>
      </c>
    </row>
    <row r="15" spans="2:12" x14ac:dyDescent="0.3">
      <c r="B15" s="54">
        <f>IFERROR(_xlfn.XLOOKUP(C15,'FY24'!C:C,'FY24'!S:S),0)</f>
        <v>0</v>
      </c>
      <c r="C15" s="41" t="s">
        <v>35</v>
      </c>
      <c r="D15" s="51">
        <f t="array" ref="D15:E15">IFERROR(VLOOKUP(C15,'Apr24'!A:C,{2,3},0),0)</f>
        <v>11.488863238304194</v>
      </c>
      <c r="E15" s="52">
        <v>12.066414999999999</v>
      </c>
      <c r="F15" s="51">
        <f t="array" ref="F15:G15">IFERROR(VLOOKUP(C15,'May24'!A:C,{2,3},0),0)</f>
        <v>12.74381</v>
      </c>
      <c r="G15" s="52">
        <v>13.606645699999994</v>
      </c>
      <c r="H15" s="51">
        <f t="array" ref="H15:I15">IFERROR(VLOOKUP(C15,'Jun24'!A:C,{2,3},0),0)</f>
        <v>11.355598908540472</v>
      </c>
      <c r="I15" s="52">
        <v>11.792299999999997</v>
      </c>
      <c r="J15" s="51">
        <f t="shared" si="3"/>
        <v>35.588272146844666</v>
      </c>
      <c r="K15" s="52">
        <f t="shared" si="3"/>
        <v>37.465360699999991</v>
      </c>
      <c r="L15" s="55">
        <f t="shared" si="1"/>
        <v>37.465360699999991</v>
      </c>
    </row>
    <row r="16" spans="2:12" x14ac:dyDescent="0.3">
      <c r="B16" s="54">
        <f>IFERROR(_xlfn.XLOOKUP(C16,'FY24'!C:C,'FY24'!S:S),0)</f>
        <v>0</v>
      </c>
      <c r="C16" s="41" t="s">
        <v>17</v>
      </c>
      <c r="D16" s="51">
        <f t="array" ref="D16:E16">IFERROR(VLOOKUP(C16,'Apr24'!A:C,{2,3},0),0)</f>
        <v>8.8200009813154168</v>
      </c>
      <c r="E16" s="52">
        <v>5.9547999999999996</v>
      </c>
      <c r="F16" s="51">
        <f t="array" ref="F16:G16">IFERROR(VLOOKUP(C16,'May24'!A:C,{2,3},0),0)</f>
        <v>10.08</v>
      </c>
      <c r="G16" s="52">
        <v>9.9560400000000016</v>
      </c>
      <c r="H16" s="51">
        <f t="array" ref="H16:I16">IFERROR(VLOOKUP(C16,'Jun24'!A:C,{2,3},0),0)</f>
        <v>11.34</v>
      </c>
      <c r="I16" s="52">
        <v>9.5897700999999955</v>
      </c>
      <c r="J16" s="51">
        <f t="shared" si="3"/>
        <v>30.240000981315415</v>
      </c>
      <c r="K16" s="52">
        <f t="shared" si="3"/>
        <v>25.500610099999996</v>
      </c>
      <c r="L16" s="55">
        <f t="shared" si="1"/>
        <v>25.500610099999996</v>
      </c>
    </row>
    <row r="17" spans="2:12" x14ac:dyDescent="0.3">
      <c r="B17" s="54">
        <f>IFERROR(_xlfn.XLOOKUP(C17,'FY24'!C:C,'FY24'!S:S),0)</f>
        <v>0</v>
      </c>
      <c r="C17" s="41" t="s">
        <v>55</v>
      </c>
      <c r="D17" s="51">
        <f t="array" ref="D17:E17">IFERROR(VLOOKUP(C17,'Apr24'!A:C,{2,3},0),0)</f>
        <v>0</v>
      </c>
      <c r="E17" s="52">
        <v>0</v>
      </c>
      <c r="F17" s="51">
        <f t="array" ref="F17:G17">IFERROR(VLOOKUP(C17,'May24'!A:C,{2,3},0),0)</f>
        <v>0</v>
      </c>
      <c r="G17" s="52">
        <v>0</v>
      </c>
      <c r="H17" s="51">
        <f t="array" ref="H17:I17">IFERROR(VLOOKUP(C17,'Jun24'!A:C,{2,3},0),0)</f>
        <v>0</v>
      </c>
      <c r="I17" s="52">
        <v>0</v>
      </c>
      <c r="J17" s="51">
        <f t="shared" ref="J17:J18" si="4">D17+F17+H17</f>
        <v>0</v>
      </c>
      <c r="K17" s="52">
        <f t="shared" ref="K17:K18" si="5">E17+G17+I17</f>
        <v>0</v>
      </c>
      <c r="L17" s="55">
        <f t="shared" ref="L17:L18" si="6">+K17-B17</f>
        <v>0</v>
      </c>
    </row>
    <row r="18" spans="2:12" x14ac:dyDescent="0.3">
      <c r="B18" s="54">
        <f>IFERROR(_xlfn.XLOOKUP(C18,'FY24'!C:C,'FY24'!S:S),0)</f>
        <v>0</v>
      </c>
      <c r="C18" s="41" t="s">
        <v>34</v>
      </c>
      <c r="D18" s="51">
        <f t="array" ref="D18:E18">IFERROR(VLOOKUP(C18,'Apr24'!A:C,{2,3},0),0)</f>
        <v>0</v>
      </c>
      <c r="E18" s="52">
        <v>0</v>
      </c>
      <c r="F18" s="51">
        <f t="array" ref="F18:G18">IFERROR(VLOOKUP(C18,'May24'!A:C,{2,3},0),0)</f>
        <v>0</v>
      </c>
      <c r="G18" s="52">
        <v>0</v>
      </c>
      <c r="H18" s="51">
        <f t="array" ref="H18:I18">IFERROR(VLOOKUP(C18,'Jun24'!A:C,{2,3},0),0)</f>
        <v>0</v>
      </c>
      <c r="I18" s="52">
        <v>0</v>
      </c>
      <c r="J18" s="51">
        <f t="shared" si="4"/>
        <v>0</v>
      </c>
      <c r="K18" s="52">
        <f t="shared" si="5"/>
        <v>0</v>
      </c>
      <c r="L18" s="55">
        <f t="shared" si="6"/>
        <v>0</v>
      </c>
    </row>
    <row r="19" spans="2:12" x14ac:dyDescent="0.3">
      <c r="B19" s="54">
        <f>IFERROR(_xlfn.XLOOKUP(C19,'FY24'!C:C,'FY24'!S:S),0)</f>
        <v>0</v>
      </c>
      <c r="C19" s="41" t="s">
        <v>33</v>
      </c>
      <c r="D19" s="51">
        <f t="array" ref="D19:E19">IFERROR(VLOOKUP(C19,'Apr24'!A:C,{2,3},0),0)</f>
        <v>4.9822826232500006</v>
      </c>
      <c r="E19" s="52">
        <v>4.0608399999999998</v>
      </c>
      <c r="F19" s="51">
        <f t="array" ref="F19:G19">IFERROR(VLOOKUP(C19,'May24'!A:C,{2,3},0),0)</f>
        <v>5.9787299999999997</v>
      </c>
      <c r="G19" s="52">
        <v>5.2811417</v>
      </c>
      <c r="H19" s="51">
        <f t="array" ref="H19:I19">IFERROR(VLOOKUP(C19,'Jun24'!A:C,{2,3},0),0)</f>
        <v>6.9751882199999997</v>
      </c>
      <c r="I19" s="52">
        <v>4.9856123999999999</v>
      </c>
      <c r="J19" s="51">
        <f t="shared" si="3"/>
        <v>17.936200843249999</v>
      </c>
      <c r="K19" s="52">
        <f t="shared" si="3"/>
        <v>14.327594099999999</v>
      </c>
      <c r="L19" s="55">
        <f t="shared" si="1"/>
        <v>14.327594099999999</v>
      </c>
    </row>
    <row r="20" spans="2:12" x14ac:dyDescent="0.3">
      <c r="B20" s="43">
        <f>SUM(B14:B19)</f>
        <v>0</v>
      </c>
      <c r="C20" s="43" t="s">
        <v>3</v>
      </c>
      <c r="D20" s="43">
        <f>SUM(D14:D19)</f>
        <v>117.12611301348262</v>
      </c>
      <c r="E20" s="43">
        <f>SUM(E14:E19)</f>
        <v>116.87084</v>
      </c>
      <c r="F20" s="43">
        <f>SUM(F14:F19)</f>
        <v>130.66878</v>
      </c>
      <c r="G20" s="43">
        <f>SUM(G14:G19)</f>
        <v>124.4887324</v>
      </c>
      <c r="H20" s="43">
        <f>SUM(H14:H19)</f>
        <v>120.44048753485021</v>
      </c>
      <c r="I20" s="43">
        <f t="shared" ref="I20:K20" si="7">SUM(I14:I19)</f>
        <v>110.76322659999998</v>
      </c>
      <c r="J20" s="43">
        <f t="shared" si="7"/>
        <v>368.23538054833278</v>
      </c>
      <c r="K20" s="43">
        <f t="shared" si="7"/>
        <v>352.12279900000004</v>
      </c>
      <c r="L20" s="56">
        <f t="shared" si="1"/>
        <v>352.12279900000004</v>
      </c>
    </row>
    <row r="21" spans="2:12" x14ac:dyDescent="0.3">
      <c r="B21" s="54"/>
      <c r="C21" s="41"/>
      <c r="D21" s="49"/>
      <c r="E21" s="50"/>
      <c r="F21" s="49"/>
      <c r="G21" s="50"/>
      <c r="H21" s="49"/>
      <c r="I21" s="50"/>
      <c r="J21" s="49"/>
      <c r="K21" s="50"/>
      <c r="L21" s="55">
        <f t="shared" si="1"/>
        <v>0</v>
      </c>
    </row>
    <row r="22" spans="2:12" x14ac:dyDescent="0.3">
      <c r="B22" s="54">
        <f>IFERROR(_xlfn.XLOOKUP(C22,'FY24'!C:C,'FY24'!S:S),0)</f>
        <v>0</v>
      </c>
      <c r="C22" s="41" t="s">
        <v>9</v>
      </c>
      <c r="D22" s="51">
        <f t="array" ref="D22:E22">IFERROR(VLOOKUP(C22,'Apr24'!A:C,{2,3},0),0)</f>
        <v>5.6311946791347998</v>
      </c>
      <c r="E22" s="52">
        <v>5.7863699999999998</v>
      </c>
      <c r="F22" s="51">
        <f t="array" ref="F22:G22">IFERROR(VLOOKUP(C22,'May24'!A:C,{2,3},0),0)</f>
        <v>6.2462985928537291</v>
      </c>
      <c r="G22" s="52">
        <v>5.8872675000000001</v>
      </c>
      <c r="H22" s="51">
        <f t="array" ref="H22:I22">IFERROR(VLOOKUP(C22,'Jun24'!A:C,{2,3},0),0)</f>
        <v>5.5658739095363288</v>
      </c>
      <c r="I22" s="52">
        <v>4.8724884000000008</v>
      </c>
      <c r="J22" s="51">
        <f t="shared" ref="J22:K24" si="8">D22+F22+H22</f>
        <v>17.443367181524856</v>
      </c>
      <c r="K22" s="52">
        <f t="shared" si="8"/>
        <v>16.5461259</v>
      </c>
      <c r="L22" s="55">
        <f t="shared" si="1"/>
        <v>16.5461259</v>
      </c>
    </row>
    <row r="23" spans="2:12" x14ac:dyDescent="0.3">
      <c r="B23" s="54">
        <f>IFERROR(_xlfn.XLOOKUP(C23,'FY24'!C:C,'FY24'!S:S),0)</f>
        <v>0</v>
      </c>
      <c r="C23" s="41" t="s">
        <v>31</v>
      </c>
      <c r="D23" s="51">
        <f t="array" ref="D23:E23">IFERROR(VLOOKUP(C23,'Apr24'!A:C,{2,3},0),0)</f>
        <v>6.5859200000000016</v>
      </c>
      <c r="E23" s="52">
        <v>8.4058700000000002</v>
      </c>
      <c r="F23" s="51">
        <f t="array" ref="F23:G23">IFERROR(VLOOKUP(C23,'May24'!A:C,{2,3},0),0)</f>
        <v>6.9975399999999999</v>
      </c>
      <c r="G23" s="52">
        <v>8.6113300000000006</v>
      </c>
      <c r="H23" s="51">
        <f t="array" ref="H23:I23">IFERROR(VLOOKUP(C23,'Jun24'!A:C,{2,3},0),0)</f>
        <v>6.9975400000000008</v>
      </c>
      <c r="I23" s="52">
        <v>9.5404101000000026</v>
      </c>
      <c r="J23" s="51">
        <f t="shared" si="8"/>
        <v>20.581000000000003</v>
      </c>
      <c r="K23" s="52">
        <f t="shared" si="8"/>
        <v>26.557610100000005</v>
      </c>
      <c r="L23" s="55">
        <f t="shared" si="1"/>
        <v>26.557610100000005</v>
      </c>
    </row>
    <row r="24" spans="2:12" x14ac:dyDescent="0.3">
      <c r="B24" s="54">
        <f>IFERROR(_xlfn.XLOOKUP(C24,'FY24'!C:C,'FY24'!S:S),0)</f>
        <v>0</v>
      </c>
      <c r="C24" s="41" t="s">
        <v>22</v>
      </c>
      <c r="D24" s="51">
        <f t="array" ref="D24:E24">IFERROR(VLOOKUP(C24,'Apr24'!A:C,{2,3},0),0)</f>
        <v>2.415</v>
      </c>
      <c r="E24" s="52">
        <v>2.1055799999999998</v>
      </c>
      <c r="F24" s="51">
        <f t="array" ref="F24:G24">IFERROR(VLOOKUP(C24,'May24'!A:C,{2,3},0),0)</f>
        <v>2.76</v>
      </c>
      <c r="G24" s="52">
        <v>2.5873599999999999</v>
      </c>
      <c r="H24" s="51">
        <f t="array" ref="H24:I24">IFERROR(VLOOKUP(C24,'Jun24'!A:C,{2,3},0),0)</f>
        <v>2.76</v>
      </c>
      <c r="I24" s="52">
        <v>2.62039</v>
      </c>
      <c r="J24" s="51">
        <f t="shared" si="8"/>
        <v>7.9349999999999996</v>
      </c>
      <c r="K24" s="52">
        <f t="shared" si="8"/>
        <v>7.3133300000000006</v>
      </c>
      <c r="L24" s="55">
        <f t="shared" si="1"/>
        <v>7.3133300000000006</v>
      </c>
    </row>
    <row r="25" spans="2:12" x14ac:dyDescent="0.3">
      <c r="B25" s="43">
        <f>SUM(B22:B24)</f>
        <v>0</v>
      </c>
      <c r="C25" s="43" t="s">
        <v>3</v>
      </c>
      <c r="D25" s="43">
        <f>SUM(D22:D24)</f>
        <v>14.632114679134801</v>
      </c>
      <c r="E25" s="43">
        <f>SUM(E22:E24)</f>
        <v>16.297820000000002</v>
      </c>
      <c r="F25" s="43">
        <f>SUM(F22:F24)</f>
        <v>16.003838592853729</v>
      </c>
      <c r="G25" s="43">
        <f>SUM(G22:G24)</f>
        <v>17.085957499999999</v>
      </c>
      <c r="H25" s="43">
        <f>SUM(H22:H24)</f>
        <v>15.323413909536329</v>
      </c>
      <c r="I25" s="43">
        <f t="shared" ref="I25:K25" si="9">SUM(I22:I24)</f>
        <v>17.033288500000005</v>
      </c>
      <c r="J25" s="43">
        <f t="shared" si="9"/>
        <v>45.959367181524861</v>
      </c>
      <c r="K25" s="43">
        <f t="shared" si="9"/>
        <v>50.417066000000005</v>
      </c>
      <c r="L25" s="56">
        <f t="shared" si="1"/>
        <v>50.417066000000005</v>
      </c>
    </row>
    <row r="26" spans="2:12" x14ac:dyDescent="0.3">
      <c r="B26" s="54"/>
      <c r="C26" s="41"/>
      <c r="D26" s="49"/>
      <c r="E26" s="50"/>
      <c r="F26" s="49"/>
      <c r="G26" s="50"/>
      <c r="H26" s="49"/>
      <c r="I26" s="50"/>
      <c r="J26" s="49"/>
      <c r="K26" s="50"/>
      <c r="L26" s="55">
        <f t="shared" si="1"/>
        <v>0</v>
      </c>
    </row>
    <row r="27" spans="2:12" x14ac:dyDescent="0.3">
      <c r="B27" s="54">
        <f>IFERROR(_xlfn.XLOOKUP(C27,'FY24'!C:C,'FY24'!S:S),0)</f>
        <v>0</v>
      </c>
      <c r="C27" s="41" t="s">
        <v>25</v>
      </c>
      <c r="D27" s="51">
        <f t="array" ref="D27:E27">IFERROR(VLOOKUP(C27,'Apr24'!A:C,{2,3},0),0)</f>
        <v>11.659439999999998</v>
      </c>
      <c r="E27" s="52">
        <v>10.20983</v>
      </c>
      <c r="F27" s="51">
        <f t="array" ref="F27:G27">IFERROR(VLOOKUP(C27,'May24'!A:C,{2,3},0),0)</f>
        <v>13.116869999999997</v>
      </c>
      <c r="G27" s="52">
        <v>10.554160100000001</v>
      </c>
      <c r="H27" s="51">
        <f t="array" ref="H27:I27">IFERROR(VLOOKUP(C27,'Jun24'!A:C,{2,3},0),0)</f>
        <v>13.116869999999997</v>
      </c>
      <c r="I27" s="52">
        <v>10.582850000000001</v>
      </c>
      <c r="J27" s="51">
        <f t="shared" ref="J27:K35" si="10">D27+F27+H27</f>
        <v>37.893179999999994</v>
      </c>
      <c r="K27" s="52">
        <f t="shared" si="10"/>
        <v>31.346840100000001</v>
      </c>
      <c r="L27" s="55">
        <f t="shared" si="1"/>
        <v>31.346840100000001</v>
      </c>
    </row>
    <row r="28" spans="2:12" x14ac:dyDescent="0.3">
      <c r="B28" s="54">
        <f>IFERROR(_xlfn.XLOOKUP(C28,'FY24'!C:C,'FY24'!S:S),0)</f>
        <v>0</v>
      </c>
      <c r="C28" s="41" t="s">
        <v>27</v>
      </c>
      <c r="D28" s="51">
        <f t="array" ref="D28:E28">IFERROR(VLOOKUP(C28,'Apr24'!A:C,{2,3},0),0)</f>
        <v>8.8351179094964944</v>
      </c>
      <c r="E28" s="52">
        <v>7.1534500000000003</v>
      </c>
      <c r="F28" s="51">
        <f t="array" ref="F28:G28">IFERROR(VLOOKUP(C28,'May24'!A:C,{2,3},0),0)</f>
        <v>9.8001900000000006</v>
      </c>
      <c r="G28" s="52">
        <v>9.0205900000000003</v>
      </c>
      <c r="H28" s="51">
        <f t="array" ref="H28:I28">IFERROR(VLOOKUP(C28,'Jun24'!A:C,{2,3},0),0)</f>
        <v>8.7326322498406626</v>
      </c>
      <c r="I28" s="52">
        <v>6.3539700000000003</v>
      </c>
      <c r="J28" s="51">
        <f t="shared" si="10"/>
        <v>27.367940159337159</v>
      </c>
      <c r="K28" s="52">
        <f t="shared" si="10"/>
        <v>22.528010000000002</v>
      </c>
      <c r="L28" s="55">
        <f t="shared" si="1"/>
        <v>22.528010000000002</v>
      </c>
    </row>
    <row r="29" spans="2:12" x14ac:dyDescent="0.3">
      <c r="B29" s="54">
        <f>IFERROR(_xlfn.XLOOKUP(C29,'FY24'!C:C,'FY24'!S:S),0)</f>
        <v>0</v>
      </c>
      <c r="C29" s="41" t="s">
        <v>10</v>
      </c>
      <c r="D29" s="51">
        <f t="array" ref="D29:E29">IFERROR(VLOOKUP(C29,'Apr24'!A:C,{2,3},0),0)</f>
        <v>4.2502400000000007</v>
      </c>
      <c r="E29" s="52">
        <v>3.3148499999999999</v>
      </c>
      <c r="F29" s="51">
        <f t="array" ref="F29:G29">IFERROR(VLOOKUP(C29,'May24'!A:C,{2,3},0),0)</f>
        <v>4.8569455066921607</v>
      </c>
      <c r="G29" s="52">
        <v>5.0465999999999998</v>
      </c>
      <c r="H29" s="51">
        <f t="array" ref="H29:I29">IFERROR(VLOOKUP(C29,'Jun24'!A:C,{2,3},0),0)</f>
        <v>4.3278664754620779</v>
      </c>
      <c r="I29" s="52">
        <v>4.8650500000000001</v>
      </c>
      <c r="J29" s="51">
        <f t="shared" si="10"/>
        <v>13.435051982154238</v>
      </c>
      <c r="K29" s="52">
        <f t="shared" si="10"/>
        <v>13.2265</v>
      </c>
      <c r="L29" s="55">
        <f t="shared" si="1"/>
        <v>13.2265</v>
      </c>
    </row>
    <row r="30" spans="2:12" x14ac:dyDescent="0.3">
      <c r="B30" s="54">
        <f>IFERROR(_xlfn.XLOOKUP(C30,'FY24'!C:C,'FY24'!S:S),0)</f>
        <v>0</v>
      </c>
      <c r="C30" s="41" t="s">
        <v>24</v>
      </c>
      <c r="D30" s="51">
        <f t="array" ref="D30:E30">IFERROR(VLOOKUP(C30,'Apr24'!A:C,{2,3},0),0)</f>
        <v>13.436159999999999</v>
      </c>
      <c r="E30" s="52">
        <v>15.71635</v>
      </c>
      <c r="F30" s="51">
        <f t="array" ref="F30:G30">IFERROR(VLOOKUP(C30,'May24'!A:C,{2,3},0),0)</f>
        <v>15.35412</v>
      </c>
      <c r="G30" s="52">
        <v>17.106919999999999</v>
      </c>
      <c r="H30" s="51">
        <f t="array" ref="H30:I30">IFERROR(VLOOKUP(C30,'Jun24'!A:C,{2,3},0),0)</f>
        <v>13.681558317399618</v>
      </c>
      <c r="I30" s="52">
        <v>17.120200000000001</v>
      </c>
      <c r="J30" s="51">
        <f t="shared" si="10"/>
        <v>42.471838317399616</v>
      </c>
      <c r="K30" s="52">
        <f t="shared" si="10"/>
        <v>49.943470000000005</v>
      </c>
      <c r="L30" s="55">
        <f t="shared" si="1"/>
        <v>49.943470000000005</v>
      </c>
    </row>
    <row r="31" spans="2:12" x14ac:dyDescent="0.3">
      <c r="B31" s="54">
        <f>IFERROR(_xlfn.XLOOKUP(C31,'FY24'!C:C,'FY24'!S:S),0)</f>
        <v>0</v>
      </c>
      <c r="C31" s="41" t="s">
        <v>12</v>
      </c>
      <c r="D31" s="51">
        <f t="array" ref="D31:E31">IFERROR(VLOOKUP(C31,'Apr24'!A:C,{2,3},0),0)</f>
        <v>4.078999999999998</v>
      </c>
      <c r="E31" s="52">
        <v>2.7815099999999999</v>
      </c>
      <c r="F31" s="51">
        <f t="array" ref="F31:G31">IFERROR(VLOOKUP(C31,'May24'!A:C,{2,3},0),0)</f>
        <v>4.7588333333333317</v>
      </c>
      <c r="G31" s="52">
        <v>3.8551500000000001</v>
      </c>
      <c r="H31" s="51">
        <f t="array" ref="H31:I31">IFERROR(VLOOKUP(C31,'Jun24'!A:C,{2,3},0),0)</f>
        <v>4.7588333333333317</v>
      </c>
      <c r="I31" s="52">
        <v>3.6479300000000001</v>
      </c>
      <c r="J31" s="51">
        <f t="shared" si="10"/>
        <v>13.59666666666666</v>
      </c>
      <c r="K31" s="52">
        <f t="shared" si="10"/>
        <v>10.28459</v>
      </c>
      <c r="L31" s="55">
        <f t="shared" si="1"/>
        <v>10.28459</v>
      </c>
    </row>
    <row r="32" spans="2:12" x14ac:dyDescent="0.3">
      <c r="B32" s="54">
        <f>IFERROR(_xlfn.XLOOKUP(C32,'FY24'!C:C,'FY24'!S:S),0)</f>
        <v>0</v>
      </c>
      <c r="C32" s="41" t="s">
        <v>37</v>
      </c>
      <c r="D32" s="51">
        <f t="array" ref="D32:E32">IFERROR(VLOOKUP(C32,'Apr24'!A:C,{2,3},0),0)</f>
        <v>4.3632</v>
      </c>
      <c r="E32" s="52">
        <v>1.59931</v>
      </c>
      <c r="F32" s="51">
        <f t="array" ref="F32:G32">IFERROR(VLOOKUP(C32,'May24'!A:C,{2,3},0),0)</f>
        <v>5.0904000000000007</v>
      </c>
      <c r="G32" s="52">
        <v>3.5031099999999999</v>
      </c>
      <c r="H32" s="51">
        <f t="array" ref="H32:I32">IFERROR(VLOOKUP(C32,'Jun24'!A:C,{2,3},0),0)</f>
        <v>5.0904000000000007</v>
      </c>
      <c r="I32" s="52">
        <v>3.6261000000000001</v>
      </c>
      <c r="J32" s="51">
        <f t="shared" si="10"/>
        <v>14.544000000000002</v>
      </c>
      <c r="K32" s="52">
        <f t="shared" si="10"/>
        <v>8.7285199999999996</v>
      </c>
      <c r="L32" s="55">
        <f t="shared" si="1"/>
        <v>8.7285199999999996</v>
      </c>
    </row>
    <row r="33" spans="2:12" x14ac:dyDescent="0.3">
      <c r="B33" s="54">
        <f>IFERROR(_xlfn.XLOOKUP(C33,'FY24'!C:C,'FY24'!S:S),0)</f>
        <v>0</v>
      </c>
      <c r="C33" s="41" t="s">
        <v>45</v>
      </c>
      <c r="D33" s="51">
        <f t="array" ref="D33:E33">IFERROR(VLOOKUP(C33,'Apr24'!A:C,{2,3},0),0)</f>
        <v>0</v>
      </c>
      <c r="E33" s="52">
        <v>0</v>
      </c>
      <c r="F33" s="51">
        <f t="array" ref="F33:G33">IFERROR(VLOOKUP(C33,'May24'!A:C,{2,3},0),0)</f>
        <v>2.64</v>
      </c>
      <c r="G33" s="52">
        <v>10.453099999999999</v>
      </c>
      <c r="H33" s="51">
        <f t="array" ref="H33:I33">IFERROR(VLOOKUP(C33,'Jun24'!A:C,{2,3},0),0)</f>
        <v>3.96</v>
      </c>
      <c r="I33" s="52">
        <v>8.6871500000000008</v>
      </c>
      <c r="J33" s="51">
        <f t="shared" si="10"/>
        <v>6.6</v>
      </c>
      <c r="K33" s="52">
        <f t="shared" si="10"/>
        <v>19.140250000000002</v>
      </c>
      <c r="L33" s="55">
        <f t="shared" si="1"/>
        <v>19.140250000000002</v>
      </c>
    </row>
    <row r="34" spans="2:12" x14ac:dyDescent="0.3">
      <c r="B34" s="54">
        <f>IFERROR(_xlfn.XLOOKUP(C34,'FY24'!C:C,'FY24'!S:S),0)</f>
        <v>0</v>
      </c>
      <c r="C34" s="41" t="s">
        <v>14</v>
      </c>
      <c r="D34" s="51">
        <f t="array" ref="D34:E34">IFERROR(VLOOKUP(C34,'Apr24'!A:C,{2,3},0),0)</f>
        <v>9.068144144359465</v>
      </c>
      <c r="E34" s="52">
        <v>6.0713999999999997</v>
      </c>
      <c r="F34" s="51">
        <f t="array" ref="F34:G34">IFERROR(VLOOKUP(C34,'May24'!A:C,{2,3},0),0)</f>
        <v>10.058671247609942</v>
      </c>
      <c r="G34" s="52">
        <v>11.03276</v>
      </c>
      <c r="H34" s="51">
        <f t="array" ref="H34:I34">IFERROR(VLOOKUP(C34,'Jun24'!A:C,{2,3},0),0)</f>
        <v>8.9629554254302093</v>
      </c>
      <c r="I34" s="52">
        <v>13.063549999999999</v>
      </c>
      <c r="J34" s="51">
        <f t="shared" si="10"/>
        <v>28.089770817399618</v>
      </c>
      <c r="K34" s="52">
        <f t="shared" si="10"/>
        <v>30.16771</v>
      </c>
      <c r="L34" s="55">
        <f t="shared" si="1"/>
        <v>30.16771</v>
      </c>
    </row>
    <row r="35" spans="2:12" x14ac:dyDescent="0.3">
      <c r="B35" s="54">
        <f>IFERROR(_xlfn.XLOOKUP(C35,'FY24'!C:C,'FY24'!S:S),0)</f>
        <v>0</v>
      </c>
      <c r="C35" s="41" t="s">
        <v>15</v>
      </c>
      <c r="D35" s="51">
        <f t="array" ref="D35:E35">IFERROR(VLOOKUP(C35,'Apr24'!A:C,{2,3},0),0)</f>
        <v>3.3392789674952201</v>
      </c>
      <c r="E35" s="52">
        <v>2.4207399999999999</v>
      </c>
      <c r="F35" s="51">
        <f t="array" ref="F35:G35">IFERROR(VLOOKUP(C35,'May24'!A:C,{2,3},0),0)</f>
        <v>3.7040334608030601</v>
      </c>
      <c r="G35" s="52">
        <v>6.35947</v>
      </c>
      <c r="H35" s="51">
        <f t="array" ref="H35:I35">IFERROR(VLOOKUP(C35,'Jun24'!A:C,{2,3},0),0)</f>
        <v>3.3005439770554497</v>
      </c>
      <c r="I35" s="52">
        <v>5.9034500000000003</v>
      </c>
      <c r="J35" s="51">
        <f t="shared" si="10"/>
        <v>10.34385640535373</v>
      </c>
      <c r="K35" s="52">
        <f t="shared" si="10"/>
        <v>14.68366</v>
      </c>
      <c r="L35" s="55">
        <f t="shared" si="1"/>
        <v>14.68366</v>
      </c>
    </row>
    <row r="36" spans="2:12" x14ac:dyDescent="0.3">
      <c r="B36" s="43">
        <f>SUM(B27:B35)</f>
        <v>0</v>
      </c>
      <c r="C36" s="43" t="s">
        <v>3</v>
      </c>
      <c r="D36" s="43">
        <f>SUM(D27:D35)</f>
        <v>59.030581021351175</v>
      </c>
      <c r="E36" s="43">
        <f>SUM(E27:E35)</f>
        <v>49.267440000000001</v>
      </c>
      <c r="F36" s="43">
        <f>SUM(F27:F35)</f>
        <v>69.380063548438486</v>
      </c>
      <c r="G36" s="43">
        <f>SUM(G27:G35)</f>
        <v>76.931860100000009</v>
      </c>
      <c r="H36" s="43">
        <f>SUM(H27:H35)</f>
        <v>65.93165977852135</v>
      </c>
      <c r="I36" s="43">
        <f t="shared" ref="I36:K36" si="11">SUM(I27:I35)</f>
        <v>73.850250000000017</v>
      </c>
      <c r="J36" s="43">
        <f t="shared" si="11"/>
        <v>194.34230434831102</v>
      </c>
      <c r="K36" s="43">
        <f t="shared" si="11"/>
        <v>200.0495501</v>
      </c>
      <c r="L36" s="56">
        <f t="shared" si="1"/>
        <v>200.0495501</v>
      </c>
    </row>
    <row r="37" spans="2:12" x14ac:dyDescent="0.3">
      <c r="B37" s="54"/>
      <c r="C37" s="41"/>
      <c r="D37" s="49"/>
      <c r="E37" s="50"/>
      <c r="F37" s="49"/>
      <c r="G37" s="50"/>
      <c r="H37" s="49"/>
      <c r="I37" s="50"/>
      <c r="J37" s="49"/>
      <c r="K37" s="50"/>
      <c r="L37" s="55">
        <f t="shared" si="1"/>
        <v>0</v>
      </c>
    </row>
    <row r="38" spans="2:12" x14ac:dyDescent="0.3">
      <c r="B38" s="54">
        <f>IFERROR(_xlfn.XLOOKUP(C38,'FY24'!C:C,'FY24'!S:S),0)</f>
        <v>0</v>
      </c>
      <c r="C38" s="41" t="s">
        <v>16</v>
      </c>
      <c r="D38" s="51">
        <f t="array" ref="D38:E38">IFERROR(VLOOKUP(C38,'Apr24'!A:C,{2,3},0),0)</f>
        <v>9.6428059273422573</v>
      </c>
      <c r="E38" s="52">
        <v>9.1954600000000006</v>
      </c>
      <c r="F38" s="51">
        <f t="array" ref="F38:G38">IFERROR(VLOOKUP(C38,'May24'!A:C,{2,3},0),0)</f>
        <v>10.696099999999999</v>
      </c>
      <c r="G38" s="52">
        <v>12.157360000000001</v>
      </c>
      <c r="H38" s="51">
        <f t="array" ref="H38:I38">IFERROR(VLOOKUP(C38,'Jun24'!A:C,{2,3},0),0)</f>
        <v>9.5309512428298273</v>
      </c>
      <c r="I38" s="52">
        <v>10.848990000000001</v>
      </c>
      <c r="J38" s="51">
        <f t="shared" ref="J38:K45" si="12">D38+F38+H38</f>
        <v>29.869857170172082</v>
      </c>
      <c r="K38" s="52">
        <f t="shared" si="12"/>
        <v>32.201810000000002</v>
      </c>
      <c r="L38" s="55">
        <f t="shared" si="1"/>
        <v>32.201810000000002</v>
      </c>
    </row>
    <row r="39" spans="2:12" x14ac:dyDescent="0.3">
      <c r="B39" s="54">
        <f>IFERROR(_xlfn.XLOOKUP(C39,'FY24'!C:C,'FY24'!S:S),0)</f>
        <v>0</v>
      </c>
      <c r="C39" s="41" t="s">
        <v>38</v>
      </c>
      <c r="D39" s="51">
        <f t="array" ref="D39:E39">IFERROR(VLOOKUP(C39,'Apr24'!A:C,{2,3},0),0)</f>
        <v>11.912574091778202</v>
      </c>
      <c r="E39" s="52">
        <v>9.9774700000000003</v>
      </c>
      <c r="F39" s="51">
        <f t="array" ref="F39:G39">IFERROR(VLOOKUP(C39,'May24'!A:C,{2,3},0),0)</f>
        <v>13.213800000000001</v>
      </c>
      <c r="G39" s="52">
        <v>10.769019999999999</v>
      </c>
      <c r="H39" s="51">
        <f t="array" ref="H39:I39">IFERROR(VLOOKUP(C39,'Jun24'!A:C,{2,3},0),0)</f>
        <v>11.77439053537285</v>
      </c>
      <c r="I39" s="52">
        <v>9.0852199999999996</v>
      </c>
      <c r="J39" s="51">
        <f t="shared" si="12"/>
        <v>36.900764627151055</v>
      </c>
      <c r="K39" s="52">
        <f t="shared" si="12"/>
        <v>29.831710000000001</v>
      </c>
      <c r="L39" s="55">
        <f t="shared" si="1"/>
        <v>29.831710000000001</v>
      </c>
    </row>
    <row r="40" spans="2:12" x14ac:dyDescent="0.3">
      <c r="B40" s="54">
        <f>IFERROR(_xlfn.XLOOKUP(C40,'FY24'!C:C,'FY24'!S:S),0)</f>
        <v>0</v>
      </c>
      <c r="C40" s="41" t="s">
        <v>39</v>
      </c>
      <c r="D40" s="51">
        <f t="array" ref="D40:E40">IFERROR(VLOOKUP(C40,'Apr24'!A:C,{2,3},0),0)</f>
        <v>4.68</v>
      </c>
      <c r="E40" s="52">
        <v>2.48719</v>
      </c>
      <c r="F40" s="51">
        <f t="array" ref="F40:G40">IFERROR(VLOOKUP(C40,'May24'!A:C,{2,3},0),0)</f>
        <v>5.6159999999999997</v>
      </c>
      <c r="G40" s="52">
        <v>4.3030299999999997</v>
      </c>
      <c r="H40" s="51">
        <f t="array" ref="H40:I40">IFERROR(VLOOKUP(C40,'Jun24'!A:C,{2,3},0),0)</f>
        <v>6.5519999999999996</v>
      </c>
      <c r="I40" s="52">
        <v>4.2154001000000001</v>
      </c>
      <c r="J40" s="51">
        <f t="shared" si="12"/>
        <v>16.847999999999999</v>
      </c>
      <c r="K40" s="52">
        <f t="shared" si="12"/>
        <v>11.0056201</v>
      </c>
      <c r="L40" s="55">
        <f t="shared" si="1"/>
        <v>11.0056201</v>
      </c>
    </row>
    <row r="41" spans="2:12" x14ac:dyDescent="0.3">
      <c r="B41" s="54">
        <f>IFERROR(_xlfn.XLOOKUP(C41,'FY24'!C:C,'FY24'!S:S),0)</f>
        <v>0</v>
      </c>
      <c r="C41" s="41" t="s">
        <v>40</v>
      </c>
      <c r="D41" s="51">
        <f t="array" ref="D41:E41">IFERROR(VLOOKUP(C41,'Apr24'!A:C,{2,3},0),0)</f>
        <v>2.88</v>
      </c>
      <c r="E41" s="52">
        <v>5.1333900000000003</v>
      </c>
      <c r="F41" s="51">
        <f t="array" ref="F41:G41">IFERROR(VLOOKUP(C41,'May24'!A:C,{2,3},0),0)</f>
        <v>4.32</v>
      </c>
      <c r="G41" s="52">
        <v>6.59795</v>
      </c>
      <c r="H41" s="51">
        <f t="array" ref="H41:I41">IFERROR(VLOOKUP(C41,'Jun24'!A:C,{2,3},0),0)</f>
        <v>5.0400000000000009</v>
      </c>
      <c r="I41" s="52">
        <v>5.2948798999999998</v>
      </c>
      <c r="J41" s="51">
        <f t="shared" si="12"/>
        <v>12.240000000000002</v>
      </c>
      <c r="K41" s="52">
        <f t="shared" si="12"/>
        <v>17.026219900000001</v>
      </c>
      <c r="L41" s="55">
        <f t="shared" si="1"/>
        <v>17.026219900000001</v>
      </c>
    </row>
    <row r="42" spans="2:12" x14ac:dyDescent="0.3">
      <c r="B42" s="54">
        <f>IFERROR(_xlfn.XLOOKUP(C42,'FY24'!C:C,'FY24'!S:S),0)</f>
        <v>0</v>
      </c>
      <c r="C42" s="41" t="s">
        <v>42</v>
      </c>
      <c r="D42" s="51">
        <f t="array" ref="D42:E42">IFERROR(VLOOKUP(C42,'Apr24'!A:C,{2,3},0),0)</f>
        <v>0</v>
      </c>
      <c r="E42" s="52">
        <v>0</v>
      </c>
      <c r="F42" s="51">
        <f t="array" ref="F42:G42">IFERROR(VLOOKUP(C42,'May24'!A:C,{2,3},0),0)</f>
        <v>2.34</v>
      </c>
      <c r="G42" s="52">
        <v>1.87415</v>
      </c>
      <c r="H42" s="51">
        <f t="array" ref="H42:I42">IFERROR(VLOOKUP(C42,'Jun24'!A:C,{2,3},0),0)</f>
        <v>4.68</v>
      </c>
      <c r="I42" s="52">
        <v>3.2961005000000014</v>
      </c>
      <c r="J42" s="51">
        <f t="shared" si="12"/>
        <v>7.02</v>
      </c>
      <c r="K42" s="52">
        <f t="shared" si="12"/>
        <v>5.1702505000000016</v>
      </c>
      <c r="L42" s="55">
        <f t="shared" si="1"/>
        <v>5.1702505000000016</v>
      </c>
    </row>
    <row r="43" spans="2:12" x14ac:dyDescent="0.3">
      <c r="B43" s="54">
        <f>IFERROR(_xlfn.XLOOKUP(C43,'FY24'!C:C,'FY24'!S:S),0)</f>
        <v>0</v>
      </c>
      <c r="C43" s="41" t="s">
        <v>41</v>
      </c>
      <c r="D43" s="51">
        <f t="array" ref="D43:E43">IFERROR(VLOOKUP(C43,'Apr24'!A:C,{2,3},0),0)</f>
        <v>4.68</v>
      </c>
      <c r="E43" s="52">
        <v>3.5136799999999999</v>
      </c>
      <c r="F43" s="51">
        <f t="array" ref="F43:G43">IFERROR(VLOOKUP(C43,'May24'!A:C,{2,3},0),0)</f>
        <v>5.6159999999999997</v>
      </c>
      <c r="G43" s="52">
        <v>3.72689</v>
      </c>
      <c r="H43" s="51">
        <f t="array" ref="H43:I43">IFERROR(VLOOKUP(C43,'Jun24'!A:C,{2,3},0),0)</f>
        <v>6.5520000000000014</v>
      </c>
      <c r="I43" s="52">
        <v>3.1012900000000001</v>
      </c>
      <c r="J43" s="51">
        <f t="shared" si="12"/>
        <v>16.847999999999999</v>
      </c>
      <c r="K43" s="52">
        <f t="shared" si="12"/>
        <v>10.34186</v>
      </c>
      <c r="L43" s="55">
        <f t="shared" si="1"/>
        <v>10.34186</v>
      </c>
    </row>
    <row r="44" spans="2:12" x14ac:dyDescent="0.3">
      <c r="B44" s="54">
        <f>IFERROR(_xlfn.XLOOKUP(C44,'FY24'!C:C,'FY24'!S:S),0)</f>
        <v>0</v>
      </c>
      <c r="C44" s="41" t="s">
        <v>43</v>
      </c>
      <c r="D44" s="51">
        <f t="array" ref="D44:E44">IFERROR(VLOOKUP(C44,'Apr24'!A:C,{2,3},0),0)</f>
        <v>0</v>
      </c>
      <c r="E44" s="52">
        <v>0</v>
      </c>
      <c r="F44" s="51">
        <f t="array" ref="F44:G44">IFERROR(VLOOKUP(C44,'May24'!A:C,{2,3},0),0)</f>
        <v>2.34</v>
      </c>
      <c r="G44" s="52">
        <v>1.8700000000000001E-2</v>
      </c>
      <c r="H44" s="51">
        <f t="array" ref="H44:I44">IFERROR(VLOOKUP(C44,'Jun24'!A:C,{2,3},0),0)</f>
        <v>3.9000000000000008</v>
      </c>
      <c r="I44" s="52">
        <v>0</v>
      </c>
      <c r="J44" s="51">
        <f t="shared" si="12"/>
        <v>6.24</v>
      </c>
      <c r="K44" s="52">
        <f t="shared" si="12"/>
        <v>1.8700000000000001E-2</v>
      </c>
      <c r="L44" s="55">
        <f t="shared" si="1"/>
        <v>1.8700000000000001E-2</v>
      </c>
    </row>
    <row r="45" spans="2:12" x14ac:dyDescent="0.3">
      <c r="B45" s="54">
        <f>IFERROR(_xlfn.XLOOKUP(C45,'FY24'!C:C,'FY24'!S:S),0)</f>
        <v>0</v>
      </c>
      <c r="C45" s="41" t="s">
        <v>44</v>
      </c>
      <c r="D45" s="51">
        <f t="array" ref="D45:E45">IFERROR(VLOOKUP(C45,'Apr24'!A:C,{2,3},0),0)</f>
        <v>0</v>
      </c>
      <c r="E45" s="52">
        <v>0</v>
      </c>
      <c r="F45" s="51">
        <f t="array" ref="F45:G45">IFERROR(VLOOKUP(C45,'May24'!A:C,{2,3},0),0)</f>
        <v>0</v>
      </c>
      <c r="G45" s="52">
        <v>0</v>
      </c>
      <c r="H45" s="51">
        <f t="array" ref="H45:I45">IFERROR(VLOOKUP(C45,'Jun24'!A:C,{2,3},0),0)</f>
        <v>3.6</v>
      </c>
      <c r="I45" s="52">
        <v>0.18484999999999999</v>
      </c>
      <c r="J45" s="51">
        <f t="shared" si="12"/>
        <v>3.6</v>
      </c>
      <c r="K45" s="52">
        <f t="shared" si="12"/>
        <v>0.18484999999999999</v>
      </c>
      <c r="L45" s="55">
        <f t="shared" si="1"/>
        <v>0.18484999999999999</v>
      </c>
    </row>
    <row r="46" spans="2:12" x14ac:dyDescent="0.3">
      <c r="B46" s="43">
        <f>SUM(B38:B45)</f>
        <v>0</v>
      </c>
      <c r="C46" s="43" t="s">
        <v>3</v>
      </c>
      <c r="D46" s="43">
        <f>SUM(D38:D45)</f>
        <v>33.795380019120458</v>
      </c>
      <c r="E46" s="43">
        <f t="shared" ref="E46:K46" si="13">SUM(E38:E45)</f>
        <v>30.307189999999999</v>
      </c>
      <c r="F46" s="43">
        <f t="shared" si="13"/>
        <v>44.141900000000007</v>
      </c>
      <c r="G46" s="43">
        <f t="shared" si="13"/>
        <v>39.447099999999999</v>
      </c>
      <c r="H46" s="43">
        <f t="shared" si="13"/>
        <v>51.629341778202679</v>
      </c>
      <c r="I46" s="43">
        <f t="shared" si="13"/>
        <v>36.026730499999999</v>
      </c>
      <c r="J46" s="43">
        <f t="shared" si="13"/>
        <v>129.56662179732314</v>
      </c>
      <c r="K46" s="43">
        <f t="shared" si="13"/>
        <v>105.7810205</v>
      </c>
      <c r="L46" s="56">
        <f t="shared" si="1"/>
        <v>105.7810205</v>
      </c>
    </row>
    <row r="47" spans="2:12" x14ac:dyDescent="0.3">
      <c r="B47" s="54"/>
      <c r="C47" s="44"/>
      <c r="D47" s="49"/>
      <c r="E47" s="50"/>
      <c r="F47" s="49"/>
      <c r="G47" s="50"/>
      <c r="H47" s="49"/>
      <c r="I47" s="50"/>
      <c r="J47" s="49"/>
      <c r="K47" s="50"/>
      <c r="L47" s="55">
        <f t="shared" si="1"/>
        <v>0</v>
      </c>
    </row>
    <row r="48" spans="2:12" x14ac:dyDescent="0.3">
      <c r="B48" s="43">
        <f>+B46+B36+B25+B20+B12</f>
        <v>0</v>
      </c>
      <c r="C48" s="43" t="s">
        <v>19</v>
      </c>
      <c r="D48" s="43">
        <f t="shared" ref="D48:K48" si="14">+D46+D36+D25+D20+D12</f>
        <v>348.35829541238388</v>
      </c>
      <c r="E48" s="43">
        <f t="shared" si="14"/>
        <v>328.8015833</v>
      </c>
      <c r="F48" s="43">
        <f t="shared" si="14"/>
        <v>402.43958914433961</v>
      </c>
      <c r="G48" s="43">
        <f t="shared" si="14"/>
        <v>374.67801450000007</v>
      </c>
      <c r="H48" s="43">
        <f t="shared" si="14"/>
        <v>393.22750021807599</v>
      </c>
      <c r="I48" s="43">
        <f t="shared" si="14"/>
        <v>336.79596409999999</v>
      </c>
      <c r="J48" s="43">
        <f t="shared" si="14"/>
        <v>1144.0253847747992</v>
      </c>
      <c r="K48" s="43">
        <f t="shared" si="14"/>
        <v>1040.2755619000002</v>
      </c>
      <c r="L48" s="56">
        <f t="shared" si="1"/>
        <v>1040.2755619000002</v>
      </c>
    </row>
    <row r="49" spans="2:12" x14ac:dyDescent="0.3">
      <c r="B49" s="54"/>
      <c r="C49" s="41"/>
      <c r="D49" s="49"/>
      <c r="E49" s="50"/>
      <c r="F49" s="49"/>
      <c r="G49" s="50"/>
      <c r="H49" s="49"/>
      <c r="I49" s="50"/>
      <c r="J49" s="49"/>
      <c r="K49" s="50"/>
      <c r="L49" s="55">
        <f t="shared" si="1"/>
        <v>0</v>
      </c>
    </row>
    <row r="50" spans="2:12" x14ac:dyDescent="0.3">
      <c r="B50" s="54">
        <f>IFERROR(_xlfn.XLOOKUP(C50,'FY24'!C:C,'FY24'!S:S),0)</f>
        <v>0</v>
      </c>
      <c r="C50" s="41" t="s">
        <v>20</v>
      </c>
      <c r="D50" s="51">
        <f>'Apr24'!K45</f>
        <v>184.99999999999997</v>
      </c>
      <c r="E50" s="52">
        <f>'Apr24'!L45</f>
        <v>184.11408389999997</v>
      </c>
      <c r="F50" s="51">
        <f>'May24'!K46</f>
        <v>185.96199999999999</v>
      </c>
      <c r="G50" s="52">
        <f>'May24'!L46</f>
        <v>208.36001372881356</v>
      </c>
      <c r="H50" s="51">
        <f>'Jun24'!K51</f>
        <v>186.929</v>
      </c>
      <c r="I50" s="52">
        <f>'Jun24'!L51</f>
        <v>110.28088870000003</v>
      </c>
      <c r="J50" s="51">
        <f>D50+F50+H50</f>
        <v>557.89099999999996</v>
      </c>
      <c r="K50" s="52">
        <f>E50+G50+I50</f>
        <v>502.75498632881357</v>
      </c>
      <c r="L50" s="55">
        <f>+K50-B50</f>
        <v>502.75498632881357</v>
      </c>
    </row>
    <row r="51" spans="2:12" x14ac:dyDescent="0.3">
      <c r="B51" s="54">
        <f>'FY24'!S43</f>
        <v>0</v>
      </c>
      <c r="C51" s="41" t="s">
        <v>62</v>
      </c>
      <c r="D51" s="51">
        <f>'Apr24'!K46</f>
        <v>0</v>
      </c>
      <c r="E51" s="50">
        <v>0</v>
      </c>
      <c r="F51" s="49">
        <v>0</v>
      </c>
      <c r="G51" s="50">
        <v>0</v>
      </c>
      <c r="H51" s="49">
        <v>0</v>
      </c>
      <c r="I51" s="50">
        <v>0</v>
      </c>
      <c r="J51" s="49">
        <f t="shared" ref="J51:J52" si="15">D51+F51+H51</f>
        <v>0</v>
      </c>
      <c r="K51" s="50">
        <f t="shared" ref="K51:K52" si="16">E51+G51+I51</f>
        <v>0</v>
      </c>
      <c r="L51" s="55">
        <f t="shared" ref="L51:L52" si="17">+K51-B51</f>
        <v>0</v>
      </c>
    </row>
    <row r="52" spans="2:12" x14ac:dyDescent="0.3">
      <c r="B52" s="54">
        <f>'FY24'!S42</f>
        <v>0</v>
      </c>
      <c r="C52" s="41" t="s">
        <v>61</v>
      </c>
      <c r="D52" s="51">
        <f>'Apr24'!K47</f>
        <v>23.56</v>
      </c>
      <c r="E52" s="52">
        <f>+'Apr24'!L47</f>
        <v>23.56</v>
      </c>
      <c r="F52" s="51">
        <f>'May24'!K47</f>
        <v>23.56</v>
      </c>
      <c r="G52" s="52">
        <f>'May24'!L47</f>
        <v>23.56</v>
      </c>
      <c r="H52" s="51">
        <f>'Jun24'!K52</f>
        <v>23.56</v>
      </c>
      <c r="I52" s="52">
        <f>'Jun24'!L52</f>
        <v>23.56</v>
      </c>
      <c r="J52" s="49">
        <f t="shared" si="15"/>
        <v>70.679999999999993</v>
      </c>
      <c r="K52" s="50">
        <f t="shared" si="16"/>
        <v>70.679999999999993</v>
      </c>
      <c r="L52" s="55">
        <f t="shared" si="17"/>
        <v>70.679999999999993</v>
      </c>
    </row>
    <row r="53" spans="2:12" ht="16.2" thickBot="1" x14ac:dyDescent="0.35">
      <c r="B53" s="46">
        <f>+B48+B50+B51+B52</f>
        <v>0</v>
      </c>
      <c r="C53" s="46" t="s">
        <v>21</v>
      </c>
      <c r="D53" s="46">
        <f>+D48+D50+D51+D52</f>
        <v>556.91829541238383</v>
      </c>
      <c r="E53" s="46">
        <f>+E48+E50+E51+E52</f>
        <v>536.47566719999986</v>
      </c>
      <c r="F53" s="46">
        <f t="shared" ref="F53:G53" si="18">+F48+F50+F51+F52</f>
        <v>611.96158914433954</v>
      </c>
      <c r="G53" s="46">
        <f t="shared" si="18"/>
        <v>606.59802822881352</v>
      </c>
      <c r="H53" s="46">
        <f t="shared" ref="H53" si="19">+H48+H50+H51+H52</f>
        <v>603.71650021807591</v>
      </c>
      <c r="I53" s="46">
        <f t="shared" ref="I53" si="20">+I48+I50+I51+I52</f>
        <v>470.63685280000004</v>
      </c>
      <c r="J53" s="46">
        <f t="shared" ref="J53" si="21">+J48+J50+J51+J52</f>
        <v>1772.5963847747992</v>
      </c>
      <c r="K53" s="46">
        <f t="shared" ref="K53" si="22">+K48+K50+K51+K52</f>
        <v>1613.7105482288139</v>
      </c>
      <c r="L53" s="57">
        <f t="shared" si="1"/>
        <v>1613.7105482288139</v>
      </c>
    </row>
  </sheetData>
  <mergeCells count="6">
    <mergeCell ref="L1:L2"/>
    <mergeCell ref="B1:B2"/>
    <mergeCell ref="D1:E1"/>
    <mergeCell ref="F1:G1"/>
    <mergeCell ref="H1:I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02CE-5930-462C-8437-D4485B05552E}">
  <dimension ref="B1:L51"/>
  <sheetViews>
    <sheetView zoomScale="80" zoomScaleNormal="80" workbookViewId="0">
      <pane xSplit="1" ySplit="2" topLeftCell="B3" activePane="bottomRight" state="frozen"/>
      <selection activeCell="A4" sqref="A4:A10"/>
      <selection pane="topRight" activeCell="A4" sqref="A4:A10"/>
      <selection pane="bottomLeft" activeCell="A4" sqref="A4:A10"/>
      <selection pane="bottomRight" activeCell="A4" sqref="A4:A10"/>
    </sheetView>
  </sheetViews>
  <sheetFormatPr defaultColWidth="8.88671875" defaultRowHeight="15.6" x14ac:dyDescent="0.3"/>
  <cols>
    <col min="1" max="1" width="8.88671875" style="37"/>
    <col min="2" max="2" width="15.6640625" style="53" bestFit="1" customWidth="1"/>
    <col min="3" max="3" width="28.21875" style="37" customWidth="1"/>
    <col min="4" max="11" width="13.88671875" style="37" customWidth="1"/>
    <col min="12" max="12" width="15.77734375" style="58" customWidth="1"/>
    <col min="13" max="16384" width="8.88671875" style="37"/>
  </cols>
  <sheetData>
    <row r="1" spans="2:12" ht="16.2" thickBot="1" x14ac:dyDescent="0.35">
      <c r="B1" s="290" t="s">
        <v>65</v>
      </c>
      <c r="C1" s="59"/>
      <c r="D1" s="292">
        <v>45383</v>
      </c>
      <c r="E1" s="293"/>
      <c r="F1" s="292">
        <v>45413</v>
      </c>
      <c r="G1" s="293"/>
      <c r="H1" s="292">
        <v>45444</v>
      </c>
      <c r="I1" s="293"/>
      <c r="J1" s="292" t="s">
        <v>66</v>
      </c>
      <c r="K1" s="293"/>
      <c r="L1" s="290" t="s">
        <v>67</v>
      </c>
    </row>
    <row r="2" spans="2:12" ht="16.2" thickBot="1" x14ac:dyDescent="0.35">
      <c r="B2" s="291"/>
      <c r="C2" s="60" t="s">
        <v>4</v>
      </c>
      <c r="D2" s="47" t="s">
        <v>5</v>
      </c>
      <c r="E2" s="48" t="s">
        <v>6</v>
      </c>
      <c r="F2" s="47" t="s">
        <v>5</v>
      </c>
      <c r="G2" s="48" t="s">
        <v>6</v>
      </c>
      <c r="H2" s="47" t="s">
        <v>5</v>
      </c>
      <c r="I2" s="48" t="s">
        <v>6</v>
      </c>
      <c r="J2" s="47" t="s">
        <v>5</v>
      </c>
      <c r="K2" s="61" t="s">
        <v>6</v>
      </c>
      <c r="L2" s="291"/>
    </row>
    <row r="3" spans="2:12" x14ac:dyDescent="0.3">
      <c r="B3" s="54"/>
      <c r="C3" s="41"/>
      <c r="D3" s="49"/>
      <c r="E3" s="50"/>
      <c r="F3" s="49"/>
      <c r="G3" s="50"/>
      <c r="H3" s="49"/>
      <c r="I3" s="50"/>
      <c r="J3" s="49"/>
      <c r="K3" s="50"/>
      <c r="L3" s="55"/>
    </row>
    <row r="4" spans="2:12" x14ac:dyDescent="0.3">
      <c r="B4" s="54">
        <f>IFERROR(_xlfn.XLOOKUP(C4,'FY24'!C:C,'FY24'!AH:AH),0)</f>
        <v>0</v>
      </c>
      <c r="C4" s="41" t="s">
        <v>8</v>
      </c>
      <c r="D4" s="51">
        <f t="array" ref="D4:E4">IFERROR(VLOOKUP(C4,'Apr24'!A:O,{14,15},0),0)</f>
        <v>41.083046100000004</v>
      </c>
      <c r="E4" s="52">
        <v>42.679143100000005</v>
      </c>
      <c r="F4" s="51">
        <f t="array" ref="F4:G4">IFERROR(VLOOKUP(C4,'May24'!A:O,{14,15},0),0)</f>
        <v>45.570604894326358</v>
      </c>
      <c r="G4" s="52">
        <v>38.898644199999772</v>
      </c>
      <c r="H4" s="51">
        <f t="array" ref="H4:I4">IFERROR(VLOOKUP(C4,'Jun24'!A:O,{14,15},0),0)</f>
        <v>40.606486714116514</v>
      </c>
      <c r="I4" s="52">
        <v>39.277211799999996</v>
      </c>
      <c r="J4" s="51">
        <f>D4+F4+H4</f>
        <v>127.26013770844288</v>
      </c>
      <c r="K4" s="52">
        <f>E4+G4+I4</f>
        <v>120.85499909999979</v>
      </c>
      <c r="L4" s="55">
        <f>+K4-B4</f>
        <v>120.85499909999979</v>
      </c>
    </row>
    <row r="5" spans="2:12" x14ac:dyDescent="0.3">
      <c r="B5" s="54">
        <f>IFERROR(_xlfn.XLOOKUP(C5,'FY24'!C:C,'FY24'!AH:AH),0)</f>
        <v>0</v>
      </c>
      <c r="C5" s="41" t="s">
        <v>30</v>
      </c>
      <c r="D5" s="51">
        <f t="array" ref="D5:E5">IFERROR(VLOOKUP(C5,'Apr24'!A:O,{14,15},0),0)</f>
        <v>85.192099416090144</v>
      </c>
      <c r="E5" s="52">
        <v>69.143829999999994</v>
      </c>
      <c r="F5" s="51">
        <f t="array" ref="F5:G5">IFERROR(VLOOKUP(C5,'May24'!A:O,{14,15},0),0)</f>
        <v>94.497761266466497</v>
      </c>
      <c r="G5" s="52">
        <v>76.853151100000005</v>
      </c>
      <c r="H5" s="51">
        <f t="array" ref="H5:I5">IFERROR(VLOOKUP(C5,'Jun24'!A:O,{14,15},0),0)</f>
        <v>84.203887490162941</v>
      </c>
      <c r="I5" s="52">
        <v>58.906271799999999</v>
      </c>
      <c r="J5" s="51">
        <f t="shared" ref="J5:K11" si="0">D5+F5+H5</f>
        <v>263.8937481727196</v>
      </c>
      <c r="K5" s="52">
        <f t="shared" si="0"/>
        <v>204.90325289999998</v>
      </c>
      <c r="L5" s="55">
        <f t="shared" ref="L5:L51" si="1">+K5-B5</f>
        <v>204.90325289999998</v>
      </c>
    </row>
    <row r="6" spans="2:12" x14ac:dyDescent="0.3">
      <c r="B6" s="54">
        <f>IFERROR(_xlfn.XLOOKUP(C6,'FY24'!C:C,'FY24'!AH:AH),0)</f>
        <v>0</v>
      </c>
      <c r="C6" s="41" t="s">
        <v>29</v>
      </c>
      <c r="D6" s="51">
        <f t="array" ref="D6:E6">IFERROR(VLOOKUP(C6,'Apr24'!A:O,{14,15},0),0)</f>
        <v>22.095123399999999</v>
      </c>
      <c r="E6" s="52">
        <v>19.894349999999999</v>
      </c>
      <c r="F6" s="51">
        <f t="array" ref="F6:G6">IFERROR(VLOOKUP(C6,'May24'!A:O,{14,15},0),0)</f>
        <v>22.084653077759999</v>
      </c>
      <c r="G6" s="52">
        <v>20.506699999999999</v>
      </c>
      <c r="H6" s="51">
        <f t="array" ref="H6:I6">IFERROR(VLOOKUP(C6,'Jun24'!A:O,{14,15},0),0)</f>
        <v>22.084653077759999</v>
      </c>
      <c r="I6" s="52">
        <v>17.969159999999999</v>
      </c>
      <c r="J6" s="51">
        <f t="shared" si="0"/>
        <v>66.264429555519996</v>
      </c>
      <c r="K6" s="52">
        <f t="shared" si="0"/>
        <v>58.37021</v>
      </c>
      <c r="L6" s="55">
        <f t="shared" si="1"/>
        <v>58.37021</v>
      </c>
    </row>
    <row r="7" spans="2:12" x14ac:dyDescent="0.3">
      <c r="B7" s="54">
        <f>IFERROR(_xlfn.XLOOKUP(C7,'FY24'!C:C,'FY24'!AH:AH),0)</f>
        <v>0</v>
      </c>
      <c r="C7" s="41" t="s">
        <v>18</v>
      </c>
      <c r="D7" s="51">
        <f t="array" ref="D7:E7">IFERROR(VLOOKUP(C7,'Apr24'!A:O,{14,15},0),0)</f>
        <v>11.670778330317139</v>
      </c>
      <c r="E7" s="52">
        <v>12.293703200000001</v>
      </c>
      <c r="F7" s="51">
        <f t="array" ref="F7:G7">IFERROR(VLOOKUP(C7,'May24'!A:O,{14,15},0),0)</f>
        <v>14.004937212405535</v>
      </c>
      <c r="G7" s="52">
        <v>13.888729200000002</v>
      </c>
      <c r="H7" s="51">
        <f t="array" ref="H7:I7">IFERROR(VLOOKUP(C7,'Jun24'!A:O,{14,15},0),0)</f>
        <v>16.339093414473123</v>
      </c>
      <c r="I7" s="52">
        <v>13.887141300000003</v>
      </c>
      <c r="J7" s="51">
        <f t="shared" si="0"/>
        <v>42.014808957195797</v>
      </c>
      <c r="K7" s="52">
        <f t="shared" si="0"/>
        <v>40.069573700000007</v>
      </c>
      <c r="L7" s="55">
        <f t="shared" si="1"/>
        <v>40.069573700000007</v>
      </c>
    </row>
    <row r="8" spans="2:12" x14ac:dyDescent="0.3">
      <c r="B8" s="54">
        <f>IFERROR(_xlfn.XLOOKUP(C8,'FY24'!C:C,'FY24'!AH:AH),0)</f>
        <v>0</v>
      </c>
      <c r="C8" s="41" t="s">
        <v>36</v>
      </c>
      <c r="D8" s="51">
        <f t="array" ref="D8:E8">IFERROR(VLOOKUP(C8,'Apr24'!A:O,{14,15},0),0)</f>
        <v>8.6194041000000006</v>
      </c>
      <c r="E8" s="52">
        <v>8.6038399999999999</v>
      </c>
      <c r="F8" s="51">
        <f t="array" ref="F8:G8">IFERROR(VLOOKUP(C8,'May24'!A:O,{14,15},0),0)</f>
        <v>17.2388081729753</v>
      </c>
      <c r="G8" s="52">
        <v>8.2235319999999987</v>
      </c>
      <c r="H8" s="51">
        <f t="array" ref="H8:I8">IFERROR(VLOOKUP(C8,'Jun24'!A:O,{14,15},0),0)</f>
        <v>21.5485102162191</v>
      </c>
      <c r="I8" s="52">
        <v>8.3663857000000004</v>
      </c>
      <c r="J8" s="51">
        <f t="shared" si="0"/>
        <v>47.406722489194401</v>
      </c>
      <c r="K8" s="52">
        <f t="shared" si="0"/>
        <v>25.193757699999999</v>
      </c>
      <c r="L8" s="55">
        <f t="shared" si="1"/>
        <v>25.193757699999999</v>
      </c>
    </row>
    <row r="9" spans="2:12" x14ac:dyDescent="0.3">
      <c r="B9" s="54">
        <f>IFERROR(_xlfn.XLOOKUP(C9,'FY24'!C:C,'FY24'!AH:AH),0)</f>
        <v>0</v>
      </c>
      <c r="C9" s="41" t="s">
        <v>28</v>
      </c>
      <c r="D9" s="51">
        <f t="array" ref="D9:E9">IFERROR(VLOOKUP(C9,'Apr24'!A:O,{14,15},0),0)</f>
        <v>43.827549310315383</v>
      </c>
      <c r="E9" s="52">
        <v>36.837809999999998</v>
      </c>
      <c r="F9" s="51">
        <f t="array" ref="F9:G9">IFERROR(VLOOKUP(C9,'May24'!A:O,{14,15},0),0)</f>
        <v>48.614900471307074</v>
      </c>
      <c r="G9" s="52">
        <v>35.997957</v>
      </c>
      <c r="H9" s="51">
        <f t="array" ref="H9:I9">IFERROR(VLOOKUP(C9,'Jun24'!A:O,{14,15},0),0)</f>
        <v>43.319159679225677</v>
      </c>
      <c r="I9" s="52">
        <v>34.313030900000001</v>
      </c>
      <c r="J9" s="51">
        <f t="shared" si="0"/>
        <v>135.76160946084815</v>
      </c>
      <c r="K9" s="52">
        <f t="shared" si="0"/>
        <v>107.14879790000001</v>
      </c>
      <c r="L9" s="55">
        <f t="shared" si="1"/>
        <v>107.14879790000001</v>
      </c>
    </row>
    <row r="10" spans="2:12" x14ac:dyDescent="0.3">
      <c r="B10" s="54">
        <f>IFERROR(_xlfn.XLOOKUP(C10,'FY24'!C:C,'FY24'!AH:AH),0)</f>
        <v>0</v>
      </c>
      <c r="C10" s="41" t="s">
        <v>23</v>
      </c>
      <c r="D10" s="51">
        <f t="array" ref="D10:E10">IFERROR(VLOOKUP(C10,'Apr24'!A:O,{14,15},0),0)</f>
        <v>20.678111999999999</v>
      </c>
      <c r="E10" s="52">
        <v>21.219429999999999</v>
      </c>
      <c r="F10" s="51">
        <f t="array" ref="F10:G10">IFERROR(VLOOKUP(C10,'May24'!A:O,{14,15},0),0)</f>
        <v>31.017168000000002</v>
      </c>
      <c r="G10" s="52">
        <v>33.336689999999997</v>
      </c>
      <c r="H10" s="51">
        <f t="array" ref="H10:I10">IFERROR(VLOOKUP(C10,'Jun24'!A:O,{14,15},0),0)</f>
        <v>41.356223999999997</v>
      </c>
      <c r="I10" s="52">
        <v>39.195180000000001</v>
      </c>
      <c r="J10" s="51">
        <f t="shared" si="0"/>
        <v>93.051503999999994</v>
      </c>
      <c r="K10" s="52">
        <f t="shared" si="0"/>
        <v>93.751299999999986</v>
      </c>
      <c r="L10" s="55">
        <f t="shared" si="1"/>
        <v>93.751299999999986</v>
      </c>
    </row>
    <row r="11" spans="2:12" x14ac:dyDescent="0.3">
      <c r="B11" s="54">
        <f>IFERROR(_xlfn.XLOOKUP(C11,'FY24'!C:C,'FY24'!AH:AH),0)</f>
        <v>0</v>
      </c>
      <c r="C11" s="41" t="s">
        <v>46</v>
      </c>
      <c r="D11" s="51">
        <f t="array" ref="D11:E11">IFERROR(VLOOKUP(C11,'Apr24'!A:O,{14,15},0),0)</f>
        <v>0</v>
      </c>
      <c r="E11" s="52">
        <v>0</v>
      </c>
      <c r="F11" s="51">
        <f t="array" ref="F11:G11">IFERROR(VLOOKUP(C11,'May24'!A:O,{14,15},0),0)</f>
        <v>0</v>
      </c>
      <c r="G11" s="52">
        <v>0</v>
      </c>
      <c r="H11" s="51">
        <f t="array" ref="H11:I11">IFERROR(VLOOKUP(C11,'Jun24'!A:O,{14,15},0),0)</f>
        <v>50.675675675675691</v>
      </c>
      <c r="I11" s="52">
        <v>0</v>
      </c>
      <c r="J11" s="51">
        <f t="shared" si="0"/>
        <v>50.675675675675691</v>
      </c>
      <c r="K11" s="52">
        <f t="shared" si="0"/>
        <v>0</v>
      </c>
      <c r="L11" s="55">
        <f t="shared" si="1"/>
        <v>0</v>
      </c>
    </row>
    <row r="12" spans="2:12" x14ac:dyDescent="0.3">
      <c r="B12" s="43">
        <f>SUM(B4:B11)</f>
        <v>0</v>
      </c>
      <c r="C12" s="43" t="s">
        <v>3</v>
      </c>
      <c r="D12" s="43">
        <f>SUM(D4:D11)</f>
        <v>233.16611265672267</v>
      </c>
      <c r="E12" s="43">
        <f t="shared" ref="E12:K12" si="2">SUM(E4:E11)</f>
        <v>210.67210629999997</v>
      </c>
      <c r="F12" s="43">
        <f t="shared" si="2"/>
        <v>273.02883309524077</v>
      </c>
      <c r="G12" s="43">
        <f t="shared" si="2"/>
        <v>227.70540349999979</v>
      </c>
      <c r="H12" s="43">
        <f t="shared" si="2"/>
        <v>320.13369026763303</v>
      </c>
      <c r="I12" s="43">
        <f t="shared" si="2"/>
        <v>211.91438149999999</v>
      </c>
      <c r="J12" s="43">
        <f t="shared" si="2"/>
        <v>826.3286360195965</v>
      </c>
      <c r="K12" s="43">
        <f t="shared" si="2"/>
        <v>650.29189129999975</v>
      </c>
      <c r="L12" s="56">
        <f t="shared" si="1"/>
        <v>650.29189129999975</v>
      </c>
    </row>
    <row r="13" spans="2:12" x14ac:dyDescent="0.3">
      <c r="B13" s="54"/>
      <c r="C13" s="41"/>
      <c r="D13" s="49"/>
      <c r="E13" s="50"/>
      <c r="F13" s="49"/>
      <c r="G13" s="50"/>
      <c r="H13" s="49"/>
      <c r="I13" s="50"/>
      <c r="J13" s="49"/>
      <c r="K13" s="50"/>
      <c r="L13" s="55">
        <f t="shared" si="1"/>
        <v>0</v>
      </c>
    </row>
    <row r="14" spans="2:12" x14ac:dyDescent="0.3">
      <c r="B14" s="54">
        <f>IFERROR(_xlfn.XLOOKUP(C14,'FY24'!C:C,'FY24'!AH:AH),0)</f>
        <v>0</v>
      </c>
      <c r="C14" s="41" t="s">
        <v>26</v>
      </c>
      <c r="D14" s="51">
        <f t="array" ref="D14:E14">IFERROR(VLOOKUP(C14,'Apr24'!A:O,{14,15},0),0)</f>
        <v>0</v>
      </c>
      <c r="E14" s="52">
        <v>0.18634999999999999</v>
      </c>
      <c r="F14" s="51">
        <f t="array" ref="F14:G14">IFERROR(VLOOKUP(C14,'May24'!A:O,{14,15},0),0)</f>
        <v>0</v>
      </c>
      <c r="G14" s="52">
        <v>0.30664999999999998</v>
      </c>
      <c r="H14" s="51">
        <f t="array" ref="H14:I14">IFERROR(VLOOKUP(C14,'Jun24'!A:O,{14,15},0),0)</f>
        <v>0</v>
      </c>
      <c r="I14" s="52">
        <v>0.29682569999999997</v>
      </c>
      <c r="J14" s="51">
        <f t="shared" ref="J14:K19" si="3">D14+F14+H14</f>
        <v>0</v>
      </c>
      <c r="K14" s="52">
        <f t="shared" si="3"/>
        <v>0.78982569999999996</v>
      </c>
      <c r="L14" s="55">
        <f t="shared" si="1"/>
        <v>0.78982569999999996</v>
      </c>
    </row>
    <row r="15" spans="2:12" x14ac:dyDescent="0.3">
      <c r="B15" s="54">
        <f>IFERROR(_xlfn.XLOOKUP(C15,'FY24'!C:C,'FY24'!AH:AH),0)</f>
        <v>0</v>
      </c>
      <c r="C15" s="41" t="s">
        <v>35</v>
      </c>
      <c r="D15" s="51">
        <f t="array" ref="D15:E15">IFERROR(VLOOKUP(C15,'Apr24'!A:O,{14,15},0),0)</f>
        <v>0</v>
      </c>
      <c r="E15" s="52">
        <v>5.0000000000000004E-6</v>
      </c>
      <c r="F15" s="51">
        <f t="array" ref="F15:G15">IFERROR(VLOOKUP(C15,'May24'!A:O,{14,15},0),0)</f>
        <v>0</v>
      </c>
      <c r="G15" s="52">
        <v>0</v>
      </c>
      <c r="H15" s="51">
        <f t="array" ref="H15:I15">IFERROR(VLOOKUP(C15,'Jun24'!A:O,{14,15},0),0)</f>
        <v>0</v>
      </c>
      <c r="I15" s="52">
        <v>0</v>
      </c>
      <c r="J15" s="51">
        <f t="shared" si="3"/>
        <v>0</v>
      </c>
      <c r="K15" s="52">
        <f t="shared" si="3"/>
        <v>5.0000000000000004E-6</v>
      </c>
      <c r="L15" s="55">
        <f t="shared" si="1"/>
        <v>5.0000000000000004E-6</v>
      </c>
    </row>
    <row r="16" spans="2:12" x14ac:dyDescent="0.3">
      <c r="B16" s="54">
        <f>IFERROR(_xlfn.XLOOKUP(C16,'FY24'!C:C,'FY24'!AH:AH),0)</f>
        <v>0</v>
      </c>
      <c r="C16" s="41" t="s">
        <v>17</v>
      </c>
      <c r="D16" s="51">
        <f t="array" ref="D16:E16">IFERROR(VLOOKUP(C16,'Apr24'!A:O,{14,15},0),0)</f>
        <v>0</v>
      </c>
      <c r="E16" s="52">
        <v>0</v>
      </c>
      <c r="F16" s="51">
        <f t="array" ref="F16:G16">IFERROR(VLOOKUP(C16,'May24'!A:O,{14,15},0),0)</f>
        <v>0</v>
      </c>
      <c r="G16" s="52">
        <v>0</v>
      </c>
      <c r="H16" s="51">
        <f t="array" ref="H16:I16">IFERROR(VLOOKUP(C16,'Jun24'!A:O,{14,15},0),0)</f>
        <v>0</v>
      </c>
      <c r="I16" s="52">
        <v>0</v>
      </c>
      <c r="J16" s="51">
        <f t="shared" si="3"/>
        <v>0</v>
      </c>
      <c r="K16" s="52">
        <f t="shared" si="3"/>
        <v>0</v>
      </c>
      <c r="L16" s="55">
        <f t="shared" si="1"/>
        <v>0</v>
      </c>
    </row>
    <row r="17" spans="2:12" x14ac:dyDescent="0.3">
      <c r="B17" s="54">
        <f>IFERROR(_xlfn.XLOOKUP(C17,'FY24'!C:C,'FY24'!AH:AH),0)</f>
        <v>0</v>
      </c>
      <c r="C17" s="41" t="s">
        <v>55</v>
      </c>
      <c r="D17" s="51"/>
      <c r="E17" s="52"/>
      <c r="F17" s="51"/>
      <c r="G17" s="52"/>
      <c r="H17" s="51"/>
      <c r="I17" s="52"/>
      <c r="J17" s="51"/>
      <c r="K17" s="52"/>
      <c r="L17" s="55"/>
    </row>
    <row r="18" spans="2:12" x14ac:dyDescent="0.3">
      <c r="B18" s="54">
        <f>IFERROR(_xlfn.XLOOKUP(C18,'FY24'!C:C,'FY24'!AH:AH),0)</f>
        <v>0</v>
      </c>
      <c r="C18" s="41" t="s">
        <v>34</v>
      </c>
      <c r="D18" s="51"/>
      <c r="E18" s="52"/>
      <c r="F18" s="51"/>
      <c r="G18" s="52"/>
      <c r="H18" s="51"/>
      <c r="I18" s="52"/>
      <c r="J18" s="51"/>
      <c r="K18" s="52"/>
      <c r="L18" s="55"/>
    </row>
    <row r="19" spans="2:12" x14ac:dyDescent="0.3">
      <c r="B19" s="54">
        <f>IFERROR(_xlfn.XLOOKUP(C19,'FY24'!C:C,'FY24'!AH:AH),0)</f>
        <v>0</v>
      </c>
      <c r="C19" s="41" t="s">
        <v>33</v>
      </c>
      <c r="D19" s="51">
        <f t="array" ref="D19:E19">IFERROR(VLOOKUP(C19,'Apr24'!A:O,{14,15},0),0)</f>
        <v>0.35</v>
      </c>
      <c r="E19" s="52">
        <v>0.20784</v>
      </c>
      <c r="F19" s="51">
        <f t="array" ref="F19:G19">IFERROR(VLOOKUP(C19,'May24'!A:O,{14,15},0),0)</f>
        <v>0.35</v>
      </c>
      <c r="G19" s="52">
        <v>0.12889999999999999</v>
      </c>
      <c r="H19" s="51">
        <f t="array" ref="H19:I19">IFERROR(VLOOKUP(C19,'Jun24'!A:O,{14,15},0),0)</f>
        <v>0.35</v>
      </c>
      <c r="I19" s="52">
        <v>0.15305750000000001</v>
      </c>
      <c r="J19" s="51">
        <f t="shared" si="3"/>
        <v>1.0499999999999998</v>
      </c>
      <c r="K19" s="52">
        <f t="shared" si="3"/>
        <v>0.4897975</v>
      </c>
      <c r="L19" s="55">
        <f t="shared" si="1"/>
        <v>0.4897975</v>
      </c>
    </row>
    <row r="20" spans="2:12" x14ac:dyDescent="0.3">
      <c r="B20" s="43">
        <f>SUM(B14:B19)</f>
        <v>0</v>
      </c>
      <c r="C20" s="43" t="s">
        <v>3</v>
      </c>
      <c r="D20" s="43">
        <f>SUM(D14:D19)</f>
        <v>0.35</v>
      </c>
      <c r="E20" s="43">
        <f>SUM(E14:E19)</f>
        <v>0.39419499999999996</v>
      </c>
      <c r="F20" s="43">
        <f>SUM(F14:F19)</f>
        <v>0.35</v>
      </c>
      <c r="G20" s="43">
        <f>SUM(G14:G19)</f>
        <v>0.43554999999999999</v>
      </c>
      <c r="H20" s="43">
        <f>SUM(H14:H19)</f>
        <v>0.35</v>
      </c>
      <c r="I20" s="43">
        <f t="shared" ref="I20:K20" si="4">SUM(I14:I19)</f>
        <v>0.44988319999999998</v>
      </c>
      <c r="J20" s="43">
        <f t="shared" si="4"/>
        <v>1.0499999999999998</v>
      </c>
      <c r="K20" s="43">
        <f t="shared" si="4"/>
        <v>1.2796281999999999</v>
      </c>
      <c r="L20" s="56">
        <f t="shared" si="1"/>
        <v>1.2796281999999999</v>
      </c>
    </row>
    <row r="21" spans="2:12" x14ac:dyDescent="0.3">
      <c r="B21" s="54"/>
      <c r="C21" s="41"/>
      <c r="D21" s="49"/>
      <c r="E21" s="50"/>
      <c r="F21" s="49"/>
      <c r="G21" s="50"/>
      <c r="H21" s="49"/>
      <c r="I21" s="50"/>
      <c r="J21" s="49"/>
      <c r="K21" s="50"/>
      <c r="L21" s="55">
        <f t="shared" si="1"/>
        <v>0</v>
      </c>
    </row>
    <row r="22" spans="2:12" x14ac:dyDescent="0.3">
      <c r="B22" s="54">
        <f>IFERROR(_xlfn.XLOOKUP(C22,'FY24'!C:C,'FY24'!AH:AH),0)</f>
        <v>0</v>
      </c>
      <c r="C22" s="41" t="s">
        <v>9</v>
      </c>
      <c r="D22" s="51">
        <f t="array" ref="D22:E22">IFERROR(VLOOKUP(C22,'Apr24'!A:O,{14,15},0),0)</f>
        <v>3.7196722999999996</v>
      </c>
      <c r="E22" s="52">
        <v>1.6090100000000001</v>
      </c>
      <c r="F22" s="51">
        <f t="array" ref="F22:G22">IFERROR(VLOOKUP(C22,'May24'!A:O,{14,15},0),0)</f>
        <v>2.6619211001418721</v>
      </c>
      <c r="G22" s="52">
        <v>2.3638044999999988</v>
      </c>
      <c r="H22" s="51">
        <f t="array" ref="H22:I22">IFERROR(VLOOKUP(C22,'Jun24'!A:O,{14,15},0),0)</f>
        <v>3.6765247961545526</v>
      </c>
      <c r="I22" s="52">
        <v>1.8622715999999997</v>
      </c>
      <c r="J22" s="51">
        <f t="shared" ref="J22:K24" si="5">D22+F22+H22</f>
        <v>10.058118196296425</v>
      </c>
      <c r="K22" s="52">
        <f t="shared" si="5"/>
        <v>5.8350860999999981</v>
      </c>
      <c r="L22" s="55">
        <f t="shared" si="1"/>
        <v>5.8350860999999981</v>
      </c>
    </row>
    <row r="23" spans="2:12" x14ac:dyDescent="0.3">
      <c r="B23" s="54">
        <f>IFERROR(_xlfn.XLOOKUP(C23,'FY24'!C:C,'FY24'!AH:AH),0)</f>
        <v>0</v>
      </c>
      <c r="C23" s="41" t="s">
        <v>31</v>
      </c>
      <c r="D23" s="51">
        <f t="array" ref="D23:E23">IFERROR(VLOOKUP(C23,'Apr24'!A:O,{14,15},0),0)</f>
        <v>0</v>
      </c>
      <c r="E23" s="52">
        <v>0</v>
      </c>
      <c r="F23" s="51">
        <f t="array" ref="F23:G23">IFERROR(VLOOKUP(C23,'May24'!A:O,{14,15},0),0)</f>
        <v>0</v>
      </c>
      <c r="G23" s="52">
        <v>0</v>
      </c>
      <c r="H23" s="51">
        <f t="array" ref="H23:I23">IFERROR(VLOOKUP(C23,'Jun24'!A:O,{14,15},0),0)</f>
        <v>0</v>
      </c>
      <c r="I23" s="52">
        <v>0</v>
      </c>
      <c r="J23" s="51">
        <f t="shared" si="5"/>
        <v>0</v>
      </c>
      <c r="K23" s="52">
        <f t="shared" si="5"/>
        <v>0</v>
      </c>
      <c r="L23" s="55">
        <f t="shared" si="1"/>
        <v>0</v>
      </c>
    </row>
    <row r="24" spans="2:12" x14ac:dyDescent="0.3">
      <c r="B24" s="54">
        <f>IFERROR(_xlfn.XLOOKUP(C24,'FY24'!C:C,'FY24'!AH:AH),0)</f>
        <v>0</v>
      </c>
      <c r="C24" s="41" t="s">
        <v>22</v>
      </c>
      <c r="D24" s="51">
        <f t="array" ref="D24:E24">IFERROR(VLOOKUP(C24,'Apr24'!A:O,{14,15},0),0)</f>
        <v>3.1510948999999999</v>
      </c>
      <c r="E24" s="52">
        <v>0.11441999999999999</v>
      </c>
      <c r="F24" s="51">
        <f t="array" ref="F24:G24">IFERROR(VLOOKUP(C24,'May24'!A:O,{14,15},0),0)</f>
        <v>2.3233879224464942</v>
      </c>
      <c r="G24" s="52">
        <v>0.16234000000000001</v>
      </c>
      <c r="H24" s="51">
        <f t="array" ref="H24:I24">IFERROR(VLOOKUP(C24,'Jun24'!A:O,{14,15},0),0)</f>
        <v>3.6012512797920664</v>
      </c>
      <c r="I24" s="52">
        <v>0.11812</v>
      </c>
      <c r="J24" s="51">
        <f t="shared" si="5"/>
        <v>9.0757341022385596</v>
      </c>
      <c r="K24" s="52">
        <f t="shared" si="5"/>
        <v>0.39488000000000001</v>
      </c>
      <c r="L24" s="55">
        <f t="shared" si="1"/>
        <v>0.39488000000000001</v>
      </c>
    </row>
    <row r="25" spans="2:12" x14ac:dyDescent="0.3">
      <c r="B25" s="43">
        <f>SUM(B22:B24)</f>
        <v>0</v>
      </c>
      <c r="C25" s="43" t="s">
        <v>3</v>
      </c>
      <c r="D25" s="43">
        <f>SUM(D22:D24)</f>
        <v>6.8707671999999995</v>
      </c>
      <c r="E25" s="43">
        <f>SUM(E22:E24)</f>
        <v>1.72343</v>
      </c>
      <c r="F25" s="43">
        <f>SUM(F22:F24)</f>
        <v>4.9853090225883658</v>
      </c>
      <c r="G25" s="43">
        <f>SUM(G22:G24)</f>
        <v>2.5261444999999987</v>
      </c>
      <c r="H25" s="43">
        <f>SUM(H22:H24)</f>
        <v>7.277776075946619</v>
      </c>
      <c r="I25" s="43">
        <f t="shared" ref="I25:K25" si="6">SUM(I22:I24)</f>
        <v>1.9803915999999997</v>
      </c>
      <c r="J25" s="43">
        <f t="shared" si="6"/>
        <v>19.133852298534983</v>
      </c>
      <c r="K25" s="43">
        <f t="shared" si="6"/>
        <v>6.2299660999999977</v>
      </c>
      <c r="L25" s="56">
        <f t="shared" si="1"/>
        <v>6.2299660999999977</v>
      </c>
    </row>
    <row r="26" spans="2:12" x14ac:dyDescent="0.3">
      <c r="B26" s="54"/>
      <c r="C26" s="41"/>
      <c r="D26" s="49"/>
      <c r="E26" s="50"/>
      <c r="F26" s="49"/>
      <c r="G26" s="50"/>
      <c r="H26" s="49"/>
      <c r="I26" s="50"/>
      <c r="J26" s="49"/>
      <c r="K26" s="50"/>
      <c r="L26" s="55">
        <f t="shared" si="1"/>
        <v>0</v>
      </c>
    </row>
    <row r="27" spans="2:12" x14ac:dyDescent="0.3">
      <c r="B27" s="54">
        <f>IFERROR(_xlfn.XLOOKUP(C27,'FY24'!C:C,'FY24'!AH:AH),0)</f>
        <v>0</v>
      </c>
      <c r="C27" s="41" t="s">
        <v>25</v>
      </c>
      <c r="D27" s="51">
        <f t="array" ref="D27:E27">IFERROR(VLOOKUP(C27,'Apr24'!A:O,{14,15},0),0)</f>
        <v>0</v>
      </c>
      <c r="E27" s="52">
        <v>0.03</v>
      </c>
      <c r="F27" s="51">
        <f t="array" ref="F27:G27">IFERROR(VLOOKUP(C27,'May24'!A:O,{14,15},0),0)</f>
        <v>2.6619211001418721</v>
      </c>
      <c r="G27" s="52">
        <v>0</v>
      </c>
      <c r="H27" s="51">
        <f t="array" ref="H27:I27">IFERROR(VLOOKUP(C27,'Jun24'!A:O,{14,15},0),0)</f>
        <v>0</v>
      </c>
      <c r="I27" s="52">
        <v>0</v>
      </c>
      <c r="J27" s="51">
        <f t="shared" ref="J27:K35" si="7">D27+F27+H27</f>
        <v>2.6619211001418721</v>
      </c>
      <c r="K27" s="52">
        <f t="shared" si="7"/>
        <v>0.03</v>
      </c>
      <c r="L27" s="55">
        <f t="shared" si="1"/>
        <v>0.03</v>
      </c>
    </row>
    <row r="28" spans="2:12" x14ac:dyDescent="0.3">
      <c r="B28" s="54">
        <f>IFERROR(_xlfn.XLOOKUP(C28,'FY24'!C:C,'FY24'!AH:AH),0)</f>
        <v>0</v>
      </c>
      <c r="C28" s="41" t="s">
        <v>27</v>
      </c>
      <c r="D28" s="51">
        <f t="array" ref="D28:E28">IFERROR(VLOOKUP(C28,'Apr24'!A:O,{14,15},0),0)</f>
        <v>0</v>
      </c>
      <c r="E28" s="52">
        <v>0</v>
      </c>
      <c r="F28" s="51">
        <f t="array" ref="F28:G28">IFERROR(VLOOKUP(C28,'May24'!A:O,{14,15},0),0)</f>
        <v>0</v>
      </c>
      <c r="G28" s="52">
        <v>0</v>
      </c>
      <c r="H28" s="51">
        <f t="array" ref="H28:I28">IFERROR(VLOOKUP(C28,'Jun24'!A:O,{14,15},0),0)</f>
        <v>0</v>
      </c>
      <c r="I28" s="52">
        <v>0</v>
      </c>
      <c r="J28" s="51">
        <f t="shared" si="7"/>
        <v>0</v>
      </c>
      <c r="K28" s="52">
        <f t="shared" si="7"/>
        <v>0</v>
      </c>
      <c r="L28" s="55">
        <f t="shared" si="1"/>
        <v>0</v>
      </c>
    </row>
    <row r="29" spans="2:12" x14ac:dyDescent="0.3">
      <c r="B29" s="54">
        <f>IFERROR(_xlfn.XLOOKUP(C29,'FY24'!C:C,'FY24'!AH:AH),0)</f>
        <v>0</v>
      </c>
      <c r="C29" s="41" t="s">
        <v>10</v>
      </c>
      <c r="D29" s="51">
        <f t="array" ref="D29:E29">IFERROR(VLOOKUP(C29,'Apr24'!A:O,{14,15},0),0)</f>
        <v>0</v>
      </c>
      <c r="E29" s="52">
        <v>0.02</v>
      </c>
      <c r="F29" s="51">
        <f t="array" ref="F29:G29">IFERROR(VLOOKUP(C29,'May24'!A:O,{14,15},0),0)</f>
        <v>2.3233879224464942</v>
      </c>
      <c r="G29" s="52">
        <v>0</v>
      </c>
      <c r="H29" s="51">
        <f t="array" ref="H29:I29">IFERROR(VLOOKUP(C29,'Jun24'!A:O,{14,15},0),0)</f>
        <v>0</v>
      </c>
      <c r="I29" s="52">
        <v>0</v>
      </c>
      <c r="J29" s="51">
        <f t="shared" si="7"/>
        <v>2.3233879224464942</v>
      </c>
      <c r="K29" s="52">
        <f t="shared" si="7"/>
        <v>0.02</v>
      </c>
      <c r="L29" s="55">
        <f t="shared" si="1"/>
        <v>0.02</v>
      </c>
    </row>
    <row r="30" spans="2:12" x14ac:dyDescent="0.3">
      <c r="B30" s="54">
        <f>IFERROR(_xlfn.XLOOKUP(C30,'FY24'!C:C,'FY24'!AH:AH),0)</f>
        <v>0</v>
      </c>
      <c r="C30" s="41" t="s">
        <v>24</v>
      </c>
      <c r="D30" s="51">
        <f t="array" ref="D30:E30">IFERROR(VLOOKUP(C30,'Apr24'!A:O,{14,15},0),0)</f>
        <v>0</v>
      </c>
      <c r="E30" s="52">
        <v>3.5000000000000003E-2</v>
      </c>
      <c r="F30" s="51">
        <f t="array" ref="F30:G30">IFERROR(VLOOKUP(C30,'May24'!A:O,{14,15},0),0)</f>
        <v>2.6619211001418721</v>
      </c>
      <c r="G30" s="52">
        <v>0</v>
      </c>
      <c r="H30" s="51">
        <f t="array" ref="H30:I30">IFERROR(VLOOKUP(C30,'Jun24'!A:O,{14,15},0),0)</f>
        <v>0</v>
      </c>
      <c r="I30" s="52">
        <v>0</v>
      </c>
      <c r="J30" s="51">
        <f t="shared" si="7"/>
        <v>2.6619211001418721</v>
      </c>
      <c r="K30" s="52">
        <f t="shared" si="7"/>
        <v>3.5000000000000003E-2</v>
      </c>
      <c r="L30" s="55">
        <f t="shared" si="1"/>
        <v>3.5000000000000003E-2</v>
      </c>
    </row>
    <row r="31" spans="2:12" x14ac:dyDescent="0.3">
      <c r="B31" s="54">
        <f>IFERROR(_xlfn.XLOOKUP(C31,'FY24'!C:C,'FY24'!AH:AH),0)</f>
        <v>0</v>
      </c>
      <c r="C31" s="41" t="s">
        <v>12</v>
      </c>
      <c r="D31" s="51">
        <f t="array" ref="D31:E31">IFERROR(VLOOKUP(C31,'Apr24'!A:O,{14,15},0),0)</f>
        <v>0.6</v>
      </c>
      <c r="E31" s="52">
        <v>0.309</v>
      </c>
      <c r="F31" s="51">
        <f t="array" ref="F31:G31">IFERROR(VLOOKUP(C31,'May24'!A:O,{14,15},0),0)</f>
        <v>0</v>
      </c>
      <c r="G31" s="52">
        <v>0.45</v>
      </c>
      <c r="H31" s="51">
        <f t="array" ref="H31:I31">IFERROR(VLOOKUP(C31,'Jun24'!A:O,{14,15},0),0)</f>
        <v>0.84000000000000019</v>
      </c>
      <c r="I31" s="52">
        <v>0.3</v>
      </c>
      <c r="J31" s="51">
        <f t="shared" si="7"/>
        <v>1.4400000000000002</v>
      </c>
      <c r="K31" s="52">
        <f t="shared" si="7"/>
        <v>1.0589999999999999</v>
      </c>
      <c r="L31" s="55">
        <f t="shared" si="1"/>
        <v>1.0589999999999999</v>
      </c>
    </row>
    <row r="32" spans="2:12" x14ac:dyDescent="0.3">
      <c r="B32" s="54">
        <f>IFERROR(_xlfn.XLOOKUP(C32,'FY24'!C:C,'FY24'!AH:AH),0)</f>
        <v>0</v>
      </c>
      <c r="C32" s="41" t="s">
        <v>37</v>
      </c>
      <c r="D32" s="51">
        <f t="array" ref="D32:E32">IFERROR(VLOOKUP(C32,'Apr24'!A:O,{14,15},0),0)</f>
        <v>0</v>
      </c>
      <c r="E32" s="52">
        <v>0</v>
      </c>
      <c r="F32" s="51">
        <f t="array" ref="F32:G32">IFERROR(VLOOKUP(C32,'May24'!A:O,{14,15},0),0)</f>
        <v>2.3233879224464942</v>
      </c>
      <c r="G32" s="52">
        <v>0</v>
      </c>
      <c r="H32" s="51">
        <f t="array" ref="H32:I32">IFERROR(VLOOKUP(C32,'Jun24'!A:O,{14,15},0),0)</f>
        <v>0</v>
      </c>
      <c r="I32" s="52">
        <v>0</v>
      </c>
      <c r="J32" s="51">
        <f t="shared" si="7"/>
        <v>2.3233879224464942</v>
      </c>
      <c r="K32" s="52">
        <f t="shared" si="7"/>
        <v>0</v>
      </c>
      <c r="L32" s="55">
        <f t="shared" si="1"/>
        <v>0</v>
      </c>
    </row>
    <row r="33" spans="2:12" x14ac:dyDescent="0.3">
      <c r="B33" s="54">
        <f>IFERROR(_xlfn.XLOOKUP(C33,'FY24'!C:C,'FY24'!AH:AH),0)</f>
        <v>0</v>
      </c>
      <c r="C33" s="41" t="s">
        <v>45</v>
      </c>
      <c r="D33" s="51">
        <f t="array" ref="D33:E33">IFERROR(VLOOKUP(C33,'Apr24'!A:O,{14,15},0),0)</f>
        <v>0</v>
      </c>
      <c r="E33" s="52">
        <v>0</v>
      </c>
      <c r="F33" s="51">
        <f t="array" ref="F33:G33">IFERROR(VLOOKUP(C33,'May24'!A:O,{14,15},0),0)</f>
        <v>2.6619211001418721</v>
      </c>
      <c r="G33" s="52">
        <v>0</v>
      </c>
      <c r="H33" s="51">
        <f t="array" ref="H33:I33">IFERROR(VLOOKUP(C33,'Jun24'!A:O,{14,15},0),0)</f>
        <v>0</v>
      </c>
      <c r="I33" s="52">
        <v>0</v>
      </c>
      <c r="J33" s="51">
        <f t="shared" si="7"/>
        <v>2.6619211001418721</v>
      </c>
      <c r="K33" s="52">
        <f t="shared" si="7"/>
        <v>0</v>
      </c>
      <c r="L33" s="55">
        <f t="shared" si="1"/>
        <v>0</v>
      </c>
    </row>
    <row r="34" spans="2:12" x14ac:dyDescent="0.3">
      <c r="B34" s="54">
        <f>IFERROR(_xlfn.XLOOKUP(C34,'FY24'!C:C,'FY24'!AH:AH),0)</f>
        <v>0</v>
      </c>
      <c r="C34" s="41" t="s">
        <v>14</v>
      </c>
      <c r="D34" s="51">
        <f t="array" ref="D34:E34">IFERROR(VLOOKUP(C34,'Apr24'!A:O,{14,15},0),0)</f>
        <v>3.9749788878266403</v>
      </c>
      <c r="E34" s="52">
        <v>1.647</v>
      </c>
      <c r="F34" s="51">
        <f t="array" ref="F34:G34">IFERROR(VLOOKUP(C34,'May24'!A:O,{14,15},0),0)</f>
        <v>0</v>
      </c>
      <c r="G34" s="52">
        <v>1.101</v>
      </c>
      <c r="H34" s="51">
        <f t="array" ref="H34:I34">IFERROR(VLOOKUP(C34,'Jun24'!A:O,{14,15},0),0)</f>
        <v>3.928869901210962</v>
      </c>
      <c r="I34" s="52">
        <v>1.5680000000000001</v>
      </c>
      <c r="J34" s="51">
        <f t="shared" si="7"/>
        <v>7.9038487890376024</v>
      </c>
      <c r="K34" s="52">
        <f t="shared" si="7"/>
        <v>4.3160000000000007</v>
      </c>
      <c r="L34" s="55">
        <f t="shared" si="1"/>
        <v>4.3160000000000007</v>
      </c>
    </row>
    <row r="35" spans="2:12" x14ac:dyDescent="0.3">
      <c r="B35" s="54">
        <f>IFERROR(_xlfn.XLOOKUP(C35,'FY24'!C:C,'FY24'!AH:AH),0)</f>
        <v>0</v>
      </c>
      <c r="C35" s="41" t="s">
        <v>15</v>
      </c>
      <c r="D35" s="51">
        <f t="array" ref="D35:E35">IFERROR(VLOOKUP(C35,'Apr24'!A:O,{14,15},0),0)</f>
        <v>0</v>
      </c>
      <c r="E35" s="52">
        <v>0</v>
      </c>
      <c r="F35" s="51">
        <f t="array" ref="F35:G35">IFERROR(VLOOKUP(C35,'May24'!A:O,{14,15},0),0)</f>
        <v>2.3233879224464942</v>
      </c>
      <c r="G35" s="52">
        <v>0</v>
      </c>
      <c r="H35" s="51">
        <f t="array" ref="H35:I35">IFERROR(VLOOKUP(C35,'Jun24'!A:O,{14,15},0),0)</f>
        <v>0</v>
      </c>
      <c r="I35" s="52">
        <v>0</v>
      </c>
      <c r="J35" s="51">
        <f t="shared" si="7"/>
        <v>2.3233879224464942</v>
      </c>
      <c r="K35" s="52">
        <f t="shared" si="7"/>
        <v>0</v>
      </c>
      <c r="L35" s="55">
        <f t="shared" si="1"/>
        <v>0</v>
      </c>
    </row>
    <row r="36" spans="2:12" x14ac:dyDescent="0.3">
      <c r="B36" s="43">
        <f>SUM(B27:B35)</f>
        <v>0</v>
      </c>
      <c r="C36" s="43" t="s">
        <v>3</v>
      </c>
      <c r="D36" s="43">
        <f>SUM(D27:D35)</f>
        <v>4.5749788878266404</v>
      </c>
      <c r="E36" s="43">
        <f>SUM(E27:E35)</f>
        <v>2.0409999999999999</v>
      </c>
      <c r="F36" s="43">
        <f>SUM(F27:F35)</f>
        <v>14.955927067765098</v>
      </c>
      <c r="G36" s="43">
        <f>SUM(G27:G35)</f>
        <v>1.5509999999999999</v>
      </c>
      <c r="H36" s="43">
        <f>SUM(H27:H35)</f>
        <v>4.7688699012109623</v>
      </c>
      <c r="I36" s="43">
        <f t="shared" ref="I36:K36" si="8">SUM(I27:I35)</f>
        <v>1.8680000000000001</v>
      </c>
      <c r="J36" s="43">
        <f t="shared" si="8"/>
        <v>24.2997758568027</v>
      </c>
      <c r="K36" s="43">
        <f t="shared" si="8"/>
        <v>5.4600000000000009</v>
      </c>
      <c r="L36" s="56">
        <f t="shared" si="1"/>
        <v>5.4600000000000009</v>
      </c>
    </row>
    <row r="37" spans="2:12" x14ac:dyDescent="0.3">
      <c r="B37" s="54"/>
      <c r="C37" s="41"/>
      <c r="D37" s="49"/>
      <c r="E37" s="50"/>
      <c r="F37" s="49"/>
      <c r="G37" s="50"/>
      <c r="H37" s="49"/>
      <c r="I37" s="50"/>
      <c r="J37" s="49"/>
      <c r="K37" s="50"/>
      <c r="L37" s="55">
        <f t="shared" si="1"/>
        <v>0</v>
      </c>
    </row>
    <row r="38" spans="2:12" x14ac:dyDescent="0.3">
      <c r="B38" s="54">
        <f>IFERROR(_xlfn.XLOOKUP(C38,'FY24'!C:C,'FY24'!AH:AH),0)</f>
        <v>0</v>
      </c>
      <c r="C38" s="41" t="s">
        <v>16</v>
      </c>
      <c r="D38" s="51">
        <f t="array" ref="D38:E38">IFERROR(VLOOKUP(C38,'Apr24'!A:O,{14,15},0),0)</f>
        <v>0</v>
      </c>
      <c r="E38" s="52">
        <v>0</v>
      </c>
      <c r="F38" s="51">
        <f t="array" ref="F38:G38">IFERROR(VLOOKUP(C38,'May24'!A:O,{14,15},0),0)</f>
        <v>2.6619211001418721</v>
      </c>
      <c r="G38" s="52">
        <v>0</v>
      </c>
      <c r="H38" s="51">
        <f t="array" ref="H38:I38">IFERROR(VLOOKUP(C38,'Jun24'!A:O,{14,15},0),0)</f>
        <v>0</v>
      </c>
      <c r="I38" s="52">
        <v>0</v>
      </c>
      <c r="J38" s="51">
        <f t="shared" ref="J38:K45" si="9">D38+F38+H38</f>
        <v>2.6619211001418721</v>
      </c>
      <c r="K38" s="52">
        <f t="shared" si="9"/>
        <v>0</v>
      </c>
      <c r="L38" s="55">
        <f t="shared" si="1"/>
        <v>0</v>
      </c>
    </row>
    <row r="39" spans="2:12" x14ac:dyDescent="0.3">
      <c r="B39" s="54">
        <f>IFERROR(_xlfn.XLOOKUP(C39,'FY24'!C:C,'FY24'!AH:AH),0)</f>
        <v>0</v>
      </c>
      <c r="C39" s="41" t="s">
        <v>38</v>
      </c>
      <c r="D39" s="51">
        <f t="array" ref="D39:E39">IFERROR(VLOOKUP(C39,'Apr24'!A:O,{14,15},0),0)</f>
        <v>0</v>
      </c>
      <c r="E39" s="52">
        <v>1.0800000000000001E-2</v>
      </c>
      <c r="F39" s="51">
        <f t="array" ref="F39:G39">IFERROR(VLOOKUP(C39,'May24'!A:O,{14,15},0),0)</f>
        <v>0</v>
      </c>
      <c r="G39" s="52">
        <v>0</v>
      </c>
      <c r="H39" s="51">
        <f t="array" ref="H39:I39">IFERROR(VLOOKUP(C39,'Jun24'!A:O,{14,15},0),0)</f>
        <v>0</v>
      </c>
      <c r="I39" s="52">
        <v>0</v>
      </c>
      <c r="J39" s="51">
        <f t="shared" si="9"/>
        <v>0</v>
      </c>
      <c r="K39" s="52">
        <f t="shared" si="9"/>
        <v>1.0800000000000001E-2</v>
      </c>
      <c r="L39" s="55">
        <f t="shared" si="1"/>
        <v>1.0800000000000001E-2</v>
      </c>
    </row>
    <row r="40" spans="2:12" x14ac:dyDescent="0.3">
      <c r="B40" s="54">
        <f>IFERROR(_xlfn.XLOOKUP(C40,'FY24'!C:C,'FY24'!AH:AH),0)</f>
        <v>0</v>
      </c>
      <c r="C40" s="41" t="s">
        <v>39</v>
      </c>
      <c r="D40" s="51">
        <f t="array" ref="D40:E40">IFERROR(VLOOKUP(C40,'Apr24'!A:O,{14,15},0),0)</f>
        <v>0</v>
      </c>
      <c r="E40" s="52">
        <v>0</v>
      </c>
      <c r="F40" s="51">
        <f t="array" ref="F40:G40">IFERROR(VLOOKUP(C40,'May24'!A:O,{14,15},0),0)</f>
        <v>2.3233879224464942</v>
      </c>
      <c r="G40" s="52">
        <v>0</v>
      </c>
      <c r="H40" s="51">
        <f t="array" ref="H40:I40">IFERROR(VLOOKUP(C40,'Jun24'!A:O,{14,15},0),0)</f>
        <v>0</v>
      </c>
      <c r="I40" s="52">
        <v>9.3990000000000013E-4</v>
      </c>
      <c r="J40" s="51">
        <f t="shared" si="9"/>
        <v>2.3233879224464942</v>
      </c>
      <c r="K40" s="52">
        <f t="shared" si="9"/>
        <v>9.3990000000000013E-4</v>
      </c>
      <c r="L40" s="55">
        <f t="shared" si="1"/>
        <v>9.3990000000000013E-4</v>
      </c>
    </row>
    <row r="41" spans="2:12" x14ac:dyDescent="0.3">
      <c r="B41" s="54">
        <f>IFERROR(_xlfn.XLOOKUP(C41,'FY24'!C:C,'FY24'!AH:AH),0)</f>
        <v>0</v>
      </c>
      <c r="C41" s="41" t="s">
        <v>40</v>
      </c>
      <c r="D41" s="51">
        <f t="array" ref="D41:E41">IFERROR(VLOOKUP(C41,'Apr24'!A:O,{14,15},0),0)</f>
        <v>0</v>
      </c>
      <c r="E41" s="52">
        <v>0</v>
      </c>
      <c r="F41" s="51">
        <f t="array" ref="F41:G41">IFERROR(VLOOKUP(C41,'May24'!A:O,{14,15},0),0)</f>
        <v>0</v>
      </c>
      <c r="G41" s="52">
        <v>0</v>
      </c>
      <c r="H41" s="51">
        <f t="array" ref="H41:I41">IFERROR(VLOOKUP(C41,'Jun24'!A:O,{14,15},0),0)</f>
        <v>0</v>
      </c>
      <c r="I41" s="52">
        <v>0</v>
      </c>
      <c r="J41" s="51">
        <f t="shared" si="9"/>
        <v>0</v>
      </c>
      <c r="K41" s="52">
        <f t="shared" si="9"/>
        <v>0</v>
      </c>
      <c r="L41" s="55">
        <f t="shared" si="1"/>
        <v>0</v>
      </c>
    </row>
    <row r="42" spans="2:12" x14ac:dyDescent="0.3">
      <c r="B42" s="54">
        <f>IFERROR(_xlfn.XLOOKUP(C42,'FY24'!C:C,'FY24'!AH:AH),0)</f>
        <v>0</v>
      </c>
      <c r="C42" s="41" t="s">
        <v>42</v>
      </c>
      <c r="D42" s="51">
        <f t="array" ref="D42:E42">IFERROR(VLOOKUP(C42,'Apr24'!A:O,{14,15},0),0)</f>
        <v>0</v>
      </c>
      <c r="E42" s="52">
        <v>0</v>
      </c>
      <c r="F42" s="51">
        <f t="array" ref="F42:G42">IFERROR(VLOOKUP(C42,'May24'!A:O,{14,15},0),0)</f>
        <v>0</v>
      </c>
      <c r="G42" s="52">
        <v>0</v>
      </c>
      <c r="H42" s="51">
        <f t="array" ref="H42:I42">IFERROR(VLOOKUP(C42,'Jun24'!A:O,{14,15},0),0)</f>
        <v>0</v>
      </c>
      <c r="I42" s="52">
        <v>0.108</v>
      </c>
      <c r="J42" s="51">
        <f t="shared" si="9"/>
        <v>0</v>
      </c>
      <c r="K42" s="52">
        <f t="shared" si="9"/>
        <v>0.108</v>
      </c>
      <c r="L42" s="55">
        <f t="shared" si="1"/>
        <v>0.108</v>
      </c>
    </row>
    <row r="43" spans="2:12" x14ac:dyDescent="0.3">
      <c r="B43" s="54">
        <f>IFERROR(_xlfn.XLOOKUP(C43,'FY24'!C:C,'FY24'!AH:AH),0)</f>
        <v>0</v>
      </c>
      <c r="C43" s="41" t="s">
        <v>41</v>
      </c>
      <c r="D43" s="51">
        <f t="array" ref="D43:E43">IFERROR(VLOOKUP(C43,'Apr24'!A:O,{14,15},0),0)</f>
        <v>0</v>
      </c>
      <c r="E43" s="52">
        <v>0</v>
      </c>
      <c r="F43" s="51">
        <f t="array" ref="F43:G43">IFERROR(VLOOKUP(C43,'May24'!A:O,{14,15},0),0)</f>
        <v>0</v>
      </c>
      <c r="G43" s="52">
        <v>0</v>
      </c>
      <c r="H43" s="51">
        <f t="array" ref="H43:I43">IFERROR(VLOOKUP(C43,'Jun24'!A:O,{14,15},0),0)</f>
        <v>0</v>
      </c>
      <c r="I43" s="52">
        <v>0</v>
      </c>
      <c r="J43" s="51">
        <f t="shared" si="9"/>
        <v>0</v>
      </c>
      <c r="K43" s="52">
        <f t="shared" si="9"/>
        <v>0</v>
      </c>
      <c r="L43" s="55">
        <f t="shared" si="1"/>
        <v>0</v>
      </c>
    </row>
    <row r="44" spans="2:12" x14ac:dyDescent="0.3">
      <c r="B44" s="54">
        <f>IFERROR(_xlfn.XLOOKUP(C44,'FY24'!C:C,'FY24'!AH:AH),0)</f>
        <v>0</v>
      </c>
      <c r="C44" s="41" t="s">
        <v>43</v>
      </c>
      <c r="D44" s="51">
        <f t="array" ref="D44:E44">IFERROR(VLOOKUP(C44,'Apr24'!A:O,{14,15},0),0)</f>
        <v>0</v>
      </c>
      <c r="E44" s="52">
        <v>0</v>
      </c>
      <c r="F44" s="51">
        <f t="array" ref="F44:G44">IFERROR(VLOOKUP(C44,'May24'!A:O,{14,15},0),0)</f>
        <v>0</v>
      </c>
      <c r="G44" s="52">
        <v>0</v>
      </c>
      <c r="H44" s="51">
        <f t="array" ref="H44:I44">IFERROR(VLOOKUP(C44,'Jun24'!A:O,{14,15},0),0)</f>
        <v>0</v>
      </c>
      <c r="I44" s="52">
        <v>0</v>
      </c>
      <c r="J44" s="51">
        <f t="shared" si="9"/>
        <v>0</v>
      </c>
      <c r="K44" s="52">
        <f t="shared" si="9"/>
        <v>0</v>
      </c>
      <c r="L44" s="55">
        <f t="shared" si="1"/>
        <v>0</v>
      </c>
    </row>
    <row r="45" spans="2:12" x14ac:dyDescent="0.3">
      <c r="B45" s="54">
        <f>IFERROR(_xlfn.XLOOKUP(C45,'FY24'!C:C,'FY24'!AH:AH),0)</f>
        <v>0</v>
      </c>
      <c r="C45" s="41" t="s">
        <v>44</v>
      </c>
      <c r="D45" s="51">
        <f t="array" ref="D45:E45">IFERROR(VLOOKUP(C45,'Apr24'!A:O,{14,15},0),0)</f>
        <v>0</v>
      </c>
      <c r="E45" s="52">
        <v>0</v>
      </c>
      <c r="F45" s="51">
        <f t="array" ref="F45:G45">IFERROR(VLOOKUP(C45,'May24'!A:O,{14,15},0),0)</f>
        <v>0</v>
      </c>
      <c r="G45" s="52">
        <v>0</v>
      </c>
      <c r="H45" s="51">
        <f t="array" ref="H45:I45">IFERROR(VLOOKUP(C45,'Jun24'!A:O,{14,15},0),0)</f>
        <v>0</v>
      </c>
      <c r="I45" s="52">
        <v>0</v>
      </c>
      <c r="J45" s="51">
        <f t="shared" si="9"/>
        <v>0</v>
      </c>
      <c r="K45" s="52">
        <f t="shared" si="9"/>
        <v>0</v>
      </c>
      <c r="L45" s="55">
        <f t="shared" si="1"/>
        <v>0</v>
      </c>
    </row>
    <row r="46" spans="2:12" x14ac:dyDescent="0.3">
      <c r="B46" s="43">
        <f>SUM(B38:B45)</f>
        <v>0</v>
      </c>
      <c r="C46" s="43" t="s">
        <v>3</v>
      </c>
      <c r="D46" s="43">
        <f>SUM(D38:D45)</f>
        <v>0</v>
      </c>
      <c r="E46" s="43">
        <f t="shared" ref="E46:K46" si="10">SUM(E38:E45)</f>
        <v>1.0800000000000001E-2</v>
      </c>
      <c r="F46" s="43">
        <f t="shared" si="10"/>
        <v>4.9853090225883658</v>
      </c>
      <c r="G46" s="43">
        <f t="shared" si="10"/>
        <v>0</v>
      </c>
      <c r="H46" s="43">
        <f t="shared" si="10"/>
        <v>0</v>
      </c>
      <c r="I46" s="43">
        <f t="shared" si="10"/>
        <v>0.10893989999999999</v>
      </c>
      <c r="J46" s="43">
        <f t="shared" si="10"/>
        <v>4.9853090225883658</v>
      </c>
      <c r="K46" s="43">
        <f t="shared" si="10"/>
        <v>0.1197399</v>
      </c>
      <c r="L46" s="56">
        <f t="shared" si="1"/>
        <v>0.1197399</v>
      </c>
    </row>
    <row r="47" spans="2:12" x14ac:dyDescent="0.3">
      <c r="B47" s="54"/>
      <c r="C47" s="44"/>
      <c r="D47" s="49"/>
      <c r="E47" s="50"/>
      <c r="F47" s="49"/>
      <c r="G47" s="50"/>
      <c r="H47" s="49"/>
      <c r="I47" s="50"/>
      <c r="J47" s="49"/>
      <c r="K47" s="50"/>
      <c r="L47" s="55">
        <f t="shared" si="1"/>
        <v>0</v>
      </c>
    </row>
    <row r="48" spans="2:12" x14ac:dyDescent="0.3">
      <c r="B48" s="43">
        <f>+B46+B36+B25+B20+B12</f>
        <v>0</v>
      </c>
      <c r="C48" s="43" t="s">
        <v>19</v>
      </c>
      <c r="D48" s="43">
        <f t="shared" ref="D48:K48" si="11">+D46+D36+D25+D20+D12</f>
        <v>244.96185874454932</v>
      </c>
      <c r="E48" s="43">
        <f t="shared" si="11"/>
        <v>214.84153129999996</v>
      </c>
      <c r="F48" s="43">
        <f t="shared" si="11"/>
        <v>298.30537820818262</v>
      </c>
      <c r="G48" s="43">
        <f t="shared" si="11"/>
        <v>232.2180979999998</v>
      </c>
      <c r="H48" s="43">
        <f t="shared" si="11"/>
        <v>332.53033624479059</v>
      </c>
      <c r="I48" s="43">
        <f t="shared" si="11"/>
        <v>216.32159619999999</v>
      </c>
      <c r="J48" s="43">
        <f t="shared" si="11"/>
        <v>875.79757319752252</v>
      </c>
      <c r="K48" s="43">
        <f t="shared" si="11"/>
        <v>663.3812254999998</v>
      </c>
      <c r="L48" s="56">
        <f t="shared" si="1"/>
        <v>663.3812254999998</v>
      </c>
    </row>
    <row r="49" spans="2:12" x14ac:dyDescent="0.3">
      <c r="B49" s="54"/>
      <c r="C49" s="41"/>
      <c r="D49" s="49"/>
      <c r="E49" s="50"/>
      <c r="F49" s="49"/>
      <c r="G49" s="50"/>
      <c r="H49" s="49"/>
      <c r="I49" s="50"/>
      <c r="J49" s="49"/>
      <c r="K49" s="50"/>
      <c r="L49" s="55">
        <f t="shared" si="1"/>
        <v>0</v>
      </c>
    </row>
    <row r="50" spans="2:12" x14ac:dyDescent="0.3">
      <c r="B50" s="54"/>
      <c r="C50" s="41"/>
      <c r="D50" s="51"/>
      <c r="E50" s="52"/>
      <c r="F50" s="51"/>
      <c r="G50" s="52"/>
      <c r="H50" s="51"/>
      <c r="I50" s="52"/>
      <c r="J50" s="51"/>
      <c r="K50" s="52"/>
      <c r="L50" s="55"/>
    </row>
    <row r="51" spans="2:12" ht="16.2" thickBot="1" x14ac:dyDescent="0.35">
      <c r="B51" s="46">
        <f>+B48+B50</f>
        <v>0</v>
      </c>
      <c r="C51" s="46" t="s">
        <v>21</v>
      </c>
      <c r="D51" s="46">
        <f t="shared" ref="D51:K51" si="12">+D48+D50</f>
        <v>244.96185874454932</v>
      </c>
      <c r="E51" s="46">
        <f t="shared" si="12"/>
        <v>214.84153129999996</v>
      </c>
      <c r="F51" s="46">
        <f t="shared" si="12"/>
        <v>298.30537820818262</v>
      </c>
      <c r="G51" s="46">
        <f t="shared" si="12"/>
        <v>232.2180979999998</v>
      </c>
      <c r="H51" s="46">
        <f t="shared" si="12"/>
        <v>332.53033624479059</v>
      </c>
      <c r="I51" s="46">
        <f t="shared" si="12"/>
        <v>216.32159619999999</v>
      </c>
      <c r="J51" s="46">
        <f t="shared" si="12"/>
        <v>875.79757319752252</v>
      </c>
      <c r="K51" s="46">
        <f t="shared" si="12"/>
        <v>663.3812254999998</v>
      </c>
      <c r="L51" s="57">
        <f t="shared" si="1"/>
        <v>663.3812254999998</v>
      </c>
    </row>
  </sheetData>
  <mergeCells count="6">
    <mergeCell ref="L1:L2"/>
    <mergeCell ref="B1:B2"/>
    <mergeCell ref="D1:E1"/>
    <mergeCell ref="F1:G1"/>
    <mergeCell ref="H1:I1"/>
    <mergeCell ref="J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FAC5-641D-48C1-A3DC-10BA81D57288}">
  <dimension ref="A1:J40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ColWidth="8.88671875" defaultRowHeight="15.6" x14ac:dyDescent="0.3"/>
  <cols>
    <col min="1" max="1" width="31.6640625" style="37" bestFit="1" customWidth="1"/>
    <col min="2" max="3" width="13.77734375" style="37" bestFit="1" customWidth="1"/>
    <col min="4" max="4" width="13" style="37" bestFit="1" customWidth="1"/>
    <col min="5" max="5" width="16.33203125" style="37" customWidth="1"/>
    <col min="6" max="6" width="13.77734375" style="37" bestFit="1" customWidth="1"/>
    <col min="7" max="7" width="13" style="37" bestFit="1" customWidth="1"/>
    <col min="8" max="9" width="13.77734375" style="37" bestFit="1" customWidth="1"/>
    <col min="10" max="10" width="13" style="37" bestFit="1" customWidth="1"/>
    <col min="11" max="16384" width="8.88671875" style="37"/>
  </cols>
  <sheetData>
    <row r="1" spans="1:10" x14ac:dyDescent="0.3">
      <c r="A1" s="63">
        <v>45078</v>
      </c>
      <c r="B1" s="294" t="s">
        <v>0</v>
      </c>
      <c r="C1" s="295"/>
      <c r="D1" s="296"/>
      <c r="E1" s="64" t="s">
        <v>1</v>
      </c>
      <c r="F1" s="65"/>
      <c r="G1" s="66"/>
      <c r="H1" s="295" t="s">
        <v>3</v>
      </c>
      <c r="I1" s="295"/>
      <c r="J1" s="296"/>
    </row>
    <row r="2" spans="1:10" x14ac:dyDescent="0.3">
      <c r="A2" s="67" t="s">
        <v>4</v>
      </c>
      <c r="B2" s="68" t="s">
        <v>5</v>
      </c>
      <c r="C2" s="69" t="s">
        <v>6</v>
      </c>
      <c r="D2" s="70" t="s">
        <v>7</v>
      </c>
      <c r="E2" s="68" t="s">
        <v>5</v>
      </c>
      <c r="F2" s="69" t="s">
        <v>6</v>
      </c>
      <c r="G2" s="70" t="s">
        <v>7</v>
      </c>
      <c r="H2" s="71" t="s">
        <v>5</v>
      </c>
      <c r="I2" s="69" t="s">
        <v>6</v>
      </c>
      <c r="J2" s="70" t="s">
        <v>7</v>
      </c>
    </row>
    <row r="3" spans="1:10" x14ac:dyDescent="0.3">
      <c r="A3" s="72"/>
      <c r="B3" s="51"/>
      <c r="C3" s="42"/>
      <c r="D3" s="52"/>
      <c r="E3" s="51"/>
      <c r="F3" s="42"/>
      <c r="G3" s="52"/>
      <c r="H3" s="42"/>
      <c r="I3" s="42"/>
      <c r="J3" s="52"/>
    </row>
    <row r="4" spans="1:10" x14ac:dyDescent="0.3">
      <c r="A4" s="72" t="s">
        <v>8</v>
      </c>
      <c r="B4" s="51">
        <v>23.705881090366187</v>
      </c>
      <c r="C4" s="42">
        <v>19.540830000000252</v>
      </c>
      <c r="D4" s="52">
        <v>-4.1650510903659352</v>
      </c>
      <c r="E4" s="51">
        <v>45.518049999999995</v>
      </c>
      <c r="F4" s="42">
        <v>35.067289999999787</v>
      </c>
      <c r="G4" s="52">
        <v>-10.450760000000209</v>
      </c>
      <c r="H4" s="42">
        <v>69.223931090366179</v>
      </c>
      <c r="I4" s="42">
        <v>54.608120000000042</v>
      </c>
      <c r="J4" s="52">
        <v>-14.615811090366137</v>
      </c>
    </row>
    <row r="5" spans="1:10" x14ac:dyDescent="0.3">
      <c r="A5" s="72" t="s">
        <v>9</v>
      </c>
      <c r="B5" s="51">
        <v>5.4625299999999974</v>
      </c>
      <c r="C5" s="42">
        <v>5.0097599999999893</v>
      </c>
      <c r="D5" s="52">
        <v>-0.45277000000000811</v>
      </c>
      <c r="E5" s="51">
        <v>7.0208300000000028</v>
      </c>
      <c r="F5" s="42">
        <v>4.5580929999999995</v>
      </c>
      <c r="G5" s="52">
        <v>-2.4627370000000033</v>
      </c>
      <c r="H5" s="42">
        <v>12.483360000000001</v>
      </c>
      <c r="I5" s="42">
        <v>9.5678529999999888</v>
      </c>
      <c r="J5" s="52">
        <v>-2.9155070000000123</v>
      </c>
    </row>
    <row r="6" spans="1:10" x14ac:dyDescent="0.3">
      <c r="A6" s="72" t="s">
        <v>22</v>
      </c>
      <c r="B6" s="51">
        <v>2.6878100000000016</v>
      </c>
      <c r="C6" s="42">
        <v>2.1934999999999962</v>
      </c>
      <c r="D6" s="52">
        <v>-0.49431000000000536</v>
      </c>
      <c r="E6" s="51">
        <v>3.3000600000000015</v>
      </c>
      <c r="F6" s="42">
        <v>2.591909999999999</v>
      </c>
      <c r="G6" s="52">
        <v>-0.7081500000000025</v>
      </c>
      <c r="H6" s="42">
        <v>5.9878700000000027</v>
      </c>
      <c r="I6" s="42">
        <v>4.7854099999999953</v>
      </c>
      <c r="J6" s="73">
        <v>-1.2024600000000074</v>
      </c>
    </row>
    <row r="7" spans="1:10" x14ac:dyDescent="0.3">
      <c r="A7" s="72" t="s">
        <v>23</v>
      </c>
      <c r="B7" s="51">
        <v>15.053749999999999</v>
      </c>
      <c r="C7" s="42">
        <v>6.5911699999999316</v>
      </c>
      <c r="D7" s="73">
        <v>-8.4625800000000666</v>
      </c>
      <c r="E7" s="51">
        <v>20.851139999999997</v>
      </c>
      <c r="F7" s="42">
        <v>23.663550000000001</v>
      </c>
      <c r="G7" s="73">
        <v>3.3377100000000031</v>
      </c>
      <c r="H7" s="42">
        <v>35.904889999999995</v>
      </c>
      <c r="I7" s="42">
        <v>30.254719999999942</v>
      </c>
      <c r="J7" s="73">
        <v>-5.6501700000000525</v>
      </c>
    </row>
    <row r="8" spans="1:10" x14ac:dyDescent="0.3">
      <c r="A8" s="72" t="s">
        <v>24</v>
      </c>
      <c r="B8" s="51">
        <v>12.750000000000005</v>
      </c>
      <c r="C8" s="42">
        <v>15.3789599999999</v>
      </c>
      <c r="D8" s="52">
        <v>2.6289599999998945</v>
      </c>
      <c r="E8" s="51">
        <v>0</v>
      </c>
      <c r="F8" s="42">
        <v>0</v>
      </c>
      <c r="G8" s="52">
        <v>0</v>
      </c>
      <c r="H8" s="42">
        <v>12.750000000000005</v>
      </c>
      <c r="I8" s="42">
        <v>15.3789599999999</v>
      </c>
      <c r="J8" s="52">
        <v>2.6289599999998945</v>
      </c>
    </row>
    <row r="9" spans="1:10" x14ac:dyDescent="0.3">
      <c r="A9" s="72" t="s">
        <v>25</v>
      </c>
      <c r="B9" s="51">
        <v>9.2499999999999982</v>
      </c>
      <c r="C9" s="42">
        <v>9.5603499999999517</v>
      </c>
      <c r="D9" s="52">
        <v>0.3103499999999535</v>
      </c>
      <c r="E9" s="51">
        <v>0</v>
      </c>
      <c r="F9" s="42">
        <v>0</v>
      </c>
      <c r="G9" s="52">
        <v>0</v>
      </c>
      <c r="H9" s="42">
        <v>9.2499999999999982</v>
      </c>
      <c r="I9" s="42">
        <v>9.5603499999999517</v>
      </c>
      <c r="J9" s="52">
        <v>0.3103499999999535</v>
      </c>
    </row>
    <row r="10" spans="1:10" x14ac:dyDescent="0.3">
      <c r="A10" s="72" t="s">
        <v>10</v>
      </c>
      <c r="B10" s="51">
        <v>4.2499966666666662</v>
      </c>
      <c r="C10" s="42">
        <v>3.3436000000000035</v>
      </c>
      <c r="D10" s="52">
        <v>-0.90639666666666274</v>
      </c>
      <c r="E10" s="51">
        <v>0</v>
      </c>
      <c r="F10" s="42">
        <v>0</v>
      </c>
      <c r="G10" s="52">
        <v>0</v>
      </c>
      <c r="H10" s="42">
        <v>4.2499966666666662</v>
      </c>
      <c r="I10" s="42">
        <v>3.3436000000000035</v>
      </c>
      <c r="J10" s="52">
        <v>-0.90639666666666274</v>
      </c>
    </row>
    <row r="11" spans="1:10" x14ac:dyDescent="0.3">
      <c r="A11" s="74" t="s">
        <v>3</v>
      </c>
      <c r="B11" s="75">
        <v>73.159967757032845</v>
      </c>
      <c r="C11" s="76">
        <v>61.618170000000021</v>
      </c>
      <c r="D11" s="77">
        <v>-11.54179775703283</v>
      </c>
      <c r="E11" s="75">
        <v>65.96508</v>
      </c>
      <c r="F11" s="76">
        <v>55.681142999999793</v>
      </c>
      <c r="G11" s="77">
        <v>-10.283937000000213</v>
      </c>
      <c r="H11" s="76">
        <v>149.85004775703285</v>
      </c>
      <c r="I11" s="76">
        <v>127.49901299999983</v>
      </c>
      <c r="J11" s="77">
        <v>-22.351034757033027</v>
      </c>
    </row>
    <row r="12" spans="1:10" x14ac:dyDescent="0.3">
      <c r="A12" s="72"/>
      <c r="B12" s="51"/>
      <c r="C12" s="42"/>
      <c r="D12" s="52"/>
      <c r="E12" s="51"/>
      <c r="F12" s="42"/>
      <c r="G12" s="52"/>
      <c r="H12" s="42"/>
      <c r="I12" s="42"/>
      <c r="J12" s="52"/>
    </row>
    <row r="13" spans="1:10" x14ac:dyDescent="0.3">
      <c r="A13" s="72" t="s">
        <v>26</v>
      </c>
      <c r="B13" s="51">
        <v>84.400487692307678</v>
      </c>
      <c r="C13" s="42">
        <v>81.231569999997546</v>
      </c>
      <c r="D13" s="52">
        <v>-3.1689176923101314</v>
      </c>
      <c r="E13" s="51">
        <v>1.419139999999999</v>
      </c>
      <c r="F13" s="42">
        <v>1.419139999999999</v>
      </c>
      <c r="G13" s="52">
        <v>0</v>
      </c>
      <c r="H13" s="42">
        <v>85.819627692307677</v>
      </c>
      <c r="I13" s="42">
        <v>82.650709999997545</v>
      </c>
      <c r="J13" s="52">
        <v>-3.1689176923101314</v>
      </c>
    </row>
    <row r="14" spans="1:10" x14ac:dyDescent="0.3">
      <c r="A14" s="72" t="s">
        <v>27</v>
      </c>
      <c r="B14" s="51">
        <v>8.4999999999999982</v>
      </c>
      <c r="C14" s="42">
        <v>5.5813799999998945</v>
      </c>
      <c r="D14" s="52">
        <v>-2.9186200000001037</v>
      </c>
      <c r="E14" s="51">
        <v>0</v>
      </c>
      <c r="F14" s="42">
        <v>0</v>
      </c>
      <c r="G14" s="52">
        <v>0</v>
      </c>
      <c r="H14" s="42">
        <v>8.4999999999999982</v>
      </c>
      <c r="I14" s="42">
        <v>5.5813799999998945</v>
      </c>
      <c r="J14" s="52">
        <v>-2.9186200000001037</v>
      </c>
    </row>
    <row r="15" spans="1:10" x14ac:dyDescent="0.3">
      <c r="A15" s="72" t="s">
        <v>28</v>
      </c>
      <c r="B15" s="51">
        <v>11.921169999999993</v>
      </c>
      <c r="C15" s="42">
        <v>7.168690000000038</v>
      </c>
      <c r="D15" s="52">
        <v>-4.752479999999955</v>
      </c>
      <c r="E15" s="51">
        <v>39.639980000000016</v>
      </c>
      <c r="F15" s="42">
        <v>34.376740000000119</v>
      </c>
      <c r="G15" s="52">
        <v>-5.2632399999998967</v>
      </c>
      <c r="H15" s="42">
        <v>51.561150000000012</v>
      </c>
      <c r="I15" s="42">
        <v>41.54543000000016</v>
      </c>
      <c r="J15" s="52">
        <v>-10.015719999999853</v>
      </c>
    </row>
    <row r="16" spans="1:10" x14ac:dyDescent="0.3">
      <c r="A16" s="72" t="s">
        <v>29</v>
      </c>
      <c r="B16" s="51">
        <v>3.1478500000000005</v>
      </c>
      <c r="C16" s="42">
        <v>2.2023999999999933</v>
      </c>
      <c r="D16" s="52">
        <v>-0.94545000000000723</v>
      </c>
      <c r="E16" s="51">
        <v>17.836470000000009</v>
      </c>
      <c r="F16" s="42">
        <v>21.192639999999958</v>
      </c>
      <c r="G16" s="52">
        <v>3.356169999999949</v>
      </c>
      <c r="H16" s="42">
        <v>20.984320000000011</v>
      </c>
      <c r="I16" s="42">
        <v>23.395039999999952</v>
      </c>
      <c r="J16" s="52">
        <v>2.4107199999999409</v>
      </c>
    </row>
    <row r="17" spans="1:10" x14ac:dyDescent="0.3">
      <c r="A17" s="72" t="s">
        <v>11</v>
      </c>
      <c r="B17" s="51">
        <v>9.9999999999999967E-3</v>
      </c>
      <c r="C17" s="42">
        <v>0</v>
      </c>
      <c r="D17" s="52">
        <v>-9.9999999999999967E-3</v>
      </c>
      <c r="E17" s="51">
        <v>0</v>
      </c>
      <c r="F17" s="42">
        <v>0</v>
      </c>
      <c r="G17" s="52">
        <v>0</v>
      </c>
      <c r="H17" s="42">
        <v>9.9999999999999967E-3</v>
      </c>
      <c r="I17" s="42">
        <v>0</v>
      </c>
      <c r="J17" s="52">
        <v>-9.9999999999999967E-3</v>
      </c>
    </row>
    <row r="18" spans="1:10" x14ac:dyDescent="0.3">
      <c r="A18" s="72" t="s">
        <v>12</v>
      </c>
      <c r="B18" s="51">
        <v>2.5499999999999994</v>
      </c>
      <c r="C18" s="42">
        <v>2.9566499999999918</v>
      </c>
      <c r="D18" s="52">
        <v>0.40664999999999241</v>
      </c>
      <c r="E18" s="51">
        <v>0</v>
      </c>
      <c r="F18" s="42">
        <v>0</v>
      </c>
      <c r="G18" s="52">
        <v>0</v>
      </c>
      <c r="H18" s="42">
        <v>2.5499999999999994</v>
      </c>
      <c r="I18" s="42">
        <v>2.9566499999999918</v>
      </c>
      <c r="J18" s="52">
        <v>0.40664999999999241</v>
      </c>
    </row>
    <row r="19" spans="1:10" x14ac:dyDescent="0.3">
      <c r="A19" s="72" t="s">
        <v>13</v>
      </c>
      <c r="B19" s="51">
        <v>2.2499999999999996</v>
      </c>
      <c r="C19" s="42">
        <v>1.0430699999999986</v>
      </c>
      <c r="D19" s="52">
        <v>-1.2069300000000009</v>
      </c>
      <c r="E19" s="51">
        <v>0.32</v>
      </c>
      <c r="F19" s="42">
        <v>0.16100000000000006</v>
      </c>
      <c r="G19" s="52">
        <v>-0.15899999999999995</v>
      </c>
      <c r="H19" s="42">
        <v>2.5699999999999994</v>
      </c>
      <c r="I19" s="42">
        <v>1.2040699999999986</v>
      </c>
      <c r="J19" s="52">
        <v>-1.3659300000000008</v>
      </c>
    </row>
    <row r="20" spans="1:10" x14ac:dyDescent="0.3">
      <c r="A20" s="72" t="s">
        <v>14</v>
      </c>
      <c r="B20" s="51">
        <v>7.5000040000000006</v>
      </c>
      <c r="C20" s="42">
        <v>5.408159999999973</v>
      </c>
      <c r="D20" s="52">
        <v>-2.0918440000000276</v>
      </c>
      <c r="E20" s="51">
        <v>0</v>
      </c>
      <c r="F20" s="42">
        <v>2.5000000000000001E-2</v>
      </c>
      <c r="G20" s="52">
        <v>2.5000000000000001E-2</v>
      </c>
      <c r="H20" s="42">
        <v>7.5000040000000006</v>
      </c>
      <c r="I20" s="42">
        <v>5.4331599999999733</v>
      </c>
      <c r="J20" s="52">
        <v>-2.0668440000000272</v>
      </c>
    </row>
    <row r="21" spans="1:10" x14ac:dyDescent="0.3">
      <c r="A21" s="72" t="s">
        <v>15</v>
      </c>
      <c r="B21" s="51">
        <v>3.7499999999999996</v>
      </c>
      <c r="C21" s="42">
        <v>2.4390299999999936</v>
      </c>
      <c r="D21" s="52">
        <v>-1.310970000000006</v>
      </c>
      <c r="E21" s="51">
        <v>0</v>
      </c>
      <c r="F21" s="42">
        <v>0</v>
      </c>
      <c r="G21" s="52">
        <v>0</v>
      </c>
      <c r="H21" s="42">
        <v>3.7499999999999996</v>
      </c>
      <c r="I21" s="42">
        <v>2.4390299999999936</v>
      </c>
      <c r="J21" s="52">
        <v>-1.310970000000006</v>
      </c>
    </row>
    <row r="22" spans="1:10" x14ac:dyDescent="0.3">
      <c r="A22" s="74" t="s">
        <v>3</v>
      </c>
      <c r="B22" s="75">
        <v>124.02951169230768</v>
      </c>
      <c r="C22" s="75">
        <v>108.03094999999743</v>
      </c>
      <c r="D22" s="75">
        <v>-11.795467692310199</v>
      </c>
      <c r="E22" s="75">
        <v>59.215590000000027</v>
      </c>
      <c r="F22" s="75">
        <v>57.174520000000079</v>
      </c>
      <c r="G22" s="75">
        <v>-2.0410699999999475</v>
      </c>
      <c r="H22" s="75">
        <v>183.24510169230768</v>
      </c>
      <c r="I22" s="75">
        <v>165.20546999999752</v>
      </c>
      <c r="J22" s="75">
        <v>-18.039631692310188</v>
      </c>
    </row>
    <row r="23" spans="1:10" x14ac:dyDescent="0.3">
      <c r="A23" s="72"/>
      <c r="B23" s="51"/>
      <c r="C23" s="42"/>
      <c r="D23" s="52"/>
      <c r="E23" s="51"/>
      <c r="F23" s="42"/>
      <c r="G23" s="52"/>
      <c r="H23" s="42"/>
      <c r="I23" s="42"/>
      <c r="J23" s="52"/>
    </row>
    <row r="24" spans="1:10" x14ac:dyDescent="0.3">
      <c r="A24" s="72" t="s">
        <v>30</v>
      </c>
      <c r="B24" s="51">
        <v>73.073389999999989</v>
      </c>
      <c r="C24" s="42">
        <v>60.005249999997709</v>
      </c>
      <c r="D24" s="52">
        <v>-13.06814000000228</v>
      </c>
      <c r="E24" s="51">
        <v>85.024209999999997</v>
      </c>
      <c r="F24" s="42">
        <v>70.437780000000785</v>
      </c>
      <c r="G24" s="52">
        <v>-14.586429999999211</v>
      </c>
      <c r="H24" s="42">
        <v>158.0976</v>
      </c>
      <c r="I24" s="42">
        <v>130.44302999999849</v>
      </c>
      <c r="J24" s="52">
        <v>-27.654570000001513</v>
      </c>
    </row>
    <row r="25" spans="1:10" x14ac:dyDescent="0.3">
      <c r="A25" s="72" t="s">
        <v>16</v>
      </c>
      <c r="B25" s="51">
        <v>9.7382186666666684</v>
      </c>
      <c r="C25" s="42">
        <v>7.6205999999999303</v>
      </c>
      <c r="D25" s="52">
        <v>-2.117618666666738</v>
      </c>
      <c r="E25" s="51">
        <v>0</v>
      </c>
      <c r="F25" s="42">
        <v>0</v>
      </c>
      <c r="G25" s="52"/>
      <c r="H25" s="42">
        <v>9.7382186666666684</v>
      </c>
      <c r="I25" s="42">
        <v>7.6205999999999303</v>
      </c>
      <c r="J25" s="52">
        <v>-2.117618666666738</v>
      </c>
    </row>
    <row r="26" spans="1:10" x14ac:dyDescent="0.3">
      <c r="A26" s="72" t="s">
        <v>31</v>
      </c>
      <c r="B26" s="51">
        <v>6.5510419959999968</v>
      </c>
      <c r="C26" s="42">
        <v>5.1428899999999995</v>
      </c>
      <c r="D26" s="52">
        <v>-1.4081519959999973</v>
      </c>
      <c r="E26" s="51">
        <v>0</v>
      </c>
      <c r="F26" s="42">
        <v>0</v>
      </c>
      <c r="G26" s="52">
        <v>0</v>
      </c>
      <c r="H26" s="42">
        <v>6.5510419959999968</v>
      </c>
      <c r="I26" s="42">
        <v>5.1428899999999995</v>
      </c>
      <c r="J26" s="52">
        <v>-1.4081519959999973</v>
      </c>
    </row>
    <row r="27" spans="1:10" x14ac:dyDescent="0.3">
      <c r="A27" s="72" t="s">
        <v>17</v>
      </c>
      <c r="B27" s="51">
        <v>7.5194099999999962</v>
      </c>
      <c r="C27" s="42">
        <v>5.987679999999914</v>
      </c>
      <c r="D27" s="52">
        <v>-1.5317300000000822</v>
      </c>
      <c r="E27" s="51">
        <v>0</v>
      </c>
      <c r="F27" s="42">
        <v>0</v>
      </c>
      <c r="G27" s="52">
        <v>0</v>
      </c>
      <c r="H27" s="42">
        <v>7.5194099999999962</v>
      </c>
      <c r="I27" s="42">
        <v>5.987679999999914</v>
      </c>
      <c r="J27" s="52">
        <v>-1.5317300000000822</v>
      </c>
    </row>
    <row r="28" spans="1:10" x14ac:dyDescent="0.3">
      <c r="A28" s="72" t="s">
        <v>32</v>
      </c>
      <c r="B28" s="51">
        <v>2.5794499999999996</v>
      </c>
      <c r="C28" s="42">
        <v>0.61336999999999997</v>
      </c>
      <c r="D28" s="52">
        <v>-1.9660799999999996</v>
      </c>
      <c r="E28" s="51">
        <v>0</v>
      </c>
      <c r="F28" s="42">
        <v>0</v>
      </c>
      <c r="G28" s="52">
        <v>0</v>
      </c>
      <c r="H28" s="42">
        <v>2.5794499999999996</v>
      </c>
      <c r="I28" s="42">
        <v>0.61336999999999997</v>
      </c>
      <c r="J28" s="52">
        <v>-1.9660799999999996</v>
      </c>
    </row>
    <row r="29" spans="1:10" x14ac:dyDescent="0.3">
      <c r="A29" s="72" t="s">
        <v>33</v>
      </c>
      <c r="B29" s="51">
        <v>6.6197500000000016</v>
      </c>
      <c r="C29" s="42">
        <v>2.9457599999999871</v>
      </c>
      <c r="D29" s="52">
        <v>-3.6739900000000145</v>
      </c>
      <c r="E29" s="51">
        <v>0.15614999999999998</v>
      </c>
      <c r="F29" s="42">
        <v>0.15614999999999998</v>
      </c>
      <c r="G29" s="52">
        <v>0</v>
      </c>
      <c r="H29" s="42">
        <v>6.7759000000000018</v>
      </c>
      <c r="I29" s="42">
        <v>3.1019099999999868</v>
      </c>
      <c r="J29" s="52">
        <v>-3.673990000000015</v>
      </c>
    </row>
    <row r="30" spans="1:10" x14ac:dyDescent="0.3">
      <c r="A30" s="74" t="s">
        <v>3</v>
      </c>
      <c r="B30" s="75">
        <v>106.08126066266664</v>
      </c>
      <c r="C30" s="76">
        <v>82.315549999997543</v>
      </c>
      <c r="D30" s="77">
        <v>-23.765710662669111</v>
      </c>
      <c r="E30" s="75">
        <v>85.180359999999993</v>
      </c>
      <c r="F30" s="76">
        <v>70.593930000000782</v>
      </c>
      <c r="G30" s="77">
        <v>-14.586429999999211</v>
      </c>
      <c r="H30" s="76">
        <v>191.2616206626667</v>
      </c>
      <c r="I30" s="76">
        <v>152.90947999999833</v>
      </c>
      <c r="J30" s="77">
        <v>-38.352140662668347</v>
      </c>
    </row>
    <row r="31" spans="1:10" x14ac:dyDescent="0.3">
      <c r="A31" s="78"/>
      <c r="B31" s="79"/>
      <c r="C31" s="80"/>
      <c r="D31" s="81"/>
      <c r="E31" s="79"/>
      <c r="F31" s="80"/>
      <c r="G31" s="81"/>
      <c r="H31" s="80"/>
      <c r="I31" s="80"/>
      <c r="J31" s="81"/>
    </row>
    <row r="32" spans="1:10" x14ac:dyDescent="0.3">
      <c r="A32" s="72" t="s">
        <v>34</v>
      </c>
      <c r="B32" s="51">
        <v>4.5078399999999972</v>
      </c>
      <c r="C32" s="42">
        <v>4.8249099999999459</v>
      </c>
      <c r="D32" s="52">
        <v>0.31706999999994867</v>
      </c>
      <c r="E32" s="51">
        <v>14.621920000000005</v>
      </c>
      <c r="F32" s="42">
        <v>15.535200000000023</v>
      </c>
      <c r="G32" s="52">
        <v>0.91328000000001808</v>
      </c>
      <c r="H32" s="42">
        <v>19.129760000000001</v>
      </c>
      <c r="I32" s="42">
        <v>20.36010999999997</v>
      </c>
      <c r="J32" s="52">
        <v>1.2303499999999694</v>
      </c>
    </row>
    <row r="33" spans="1:10" x14ac:dyDescent="0.3">
      <c r="A33" s="72" t="s">
        <v>18</v>
      </c>
      <c r="B33" s="51">
        <v>2.9830300000000007</v>
      </c>
      <c r="C33" s="42">
        <v>3.0319599999999856</v>
      </c>
      <c r="D33" s="52">
        <v>4.8929999999984819E-2</v>
      </c>
      <c r="E33" s="51">
        <v>16.471979999999999</v>
      </c>
      <c r="F33" s="42">
        <v>8.0941700000000054</v>
      </c>
      <c r="G33" s="52">
        <v>-8.3778099999999931</v>
      </c>
      <c r="H33" s="42">
        <v>19.455009999999998</v>
      </c>
      <c r="I33" s="42">
        <v>11.126129999999991</v>
      </c>
      <c r="J33" s="52">
        <v>-8.3288800000000069</v>
      </c>
    </row>
    <row r="34" spans="1:10" x14ac:dyDescent="0.3">
      <c r="A34" s="72" t="s">
        <v>35</v>
      </c>
      <c r="B34" s="51">
        <v>12.133979999999996</v>
      </c>
      <c r="C34" s="42">
        <v>7.8316356000000313</v>
      </c>
      <c r="D34" s="52">
        <v>-4.3023443999999644</v>
      </c>
      <c r="E34" s="51">
        <v>0</v>
      </c>
      <c r="F34" s="42">
        <v>0</v>
      </c>
      <c r="G34" s="52">
        <v>0</v>
      </c>
      <c r="H34" s="42">
        <v>12.133979999999996</v>
      </c>
      <c r="I34" s="42">
        <v>7.8316356000000313</v>
      </c>
      <c r="J34" s="52">
        <v>-4.3023443999999644</v>
      </c>
    </row>
    <row r="35" spans="1:10" x14ac:dyDescent="0.3">
      <c r="A35" s="74" t="s">
        <v>3</v>
      </c>
      <c r="B35" s="75">
        <v>19.624849999999995</v>
      </c>
      <c r="C35" s="76">
        <v>15.688505599999964</v>
      </c>
      <c r="D35" s="77">
        <v>-3.9363444000000309</v>
      </c>
      <c r="E35" s="75">
        <v>31.093900000000005</v>
      </c>
      <c r="F35" s="76">
        <v>23.62937000000003</v>
      </c>
      <c r="G35" s="77">
        <v>-7.464529999999975</v>
      </c>
      <c r="H35" s="76">
        <v>50.718749999999993</v>
      </c>
      <c r="I35" s="76">
        <v>39.317875599999994</v>
      </c>
      <c r="J35" s="77">
        <v>-11.400874400000003</v>
      </c>
    </row>
    <row r="36" spans="1:10" x14ac:dyDescent="0.3">
      <c r="A36" s="78"/>
      <c r="B36" s="79"/>
      <c r="C36" s="80"/>
      <c r="D36" s="81"/>
      <c r="E36" s="79"/>
      <c r="F36" s="80"/>
      <c r="G36" s="81"/>
      <c r="H36" s="80"/>
      <c r="I36" s="80"/>
      <c r="J36" s="81"/>
    </row>
    <row r="37" spans="1:10" x14ac:dyDescent="0.3">
      <c r="A37" s="74" t="s">
        <v>19</v>
      </c>
      <c r="B37" s="75">
        <v>322.89559011200714</v>
      </c>
      <c r="C37" s="76">
        <v>267.653175599995</v>
      </c>
      <c r="D37" s="77">
        <v>-51.039320512012175</v>
      </c>
      <c r="E37" s="75">
        <v>241.45493000000005</v>
      </c>
      <c r="F37" s="76">
        <v>207.0789630000007</v>
      </c>
      <c r="G37" s="77">
        <v>-34.375966999999349</v>
      </c>
      <c r="H37" s="76">
        <v>575.07552011200721</v>
      </c>
      <c r="I37" s="76">
        <v>484.93183859999567</v>
      </c>
      <c r="J37" s="77">
        <v>-90.143681512011568</v>
      </c>
    </row>
    <row r="38" spans="1:10" x14ac:dyDescent="0.3">
      <c r="A38" s="72"/>
      <c r="B38" s="51"/>
      <c r="C38" s="42"/>
      <c r="D38" s="52"/>
      <c r="E38" s="51"/>
      <c r="F38" s="42"/>
      <c r="G38" s="52"/>
      <c r="H38" s="42"/>
      <c r="I38" s="42"/>
      <c r="J38" s="52"/>
    </row>
    <row r="39" spans="1:10" x14ac:dyDescent="0.3">
      <c r="A39" s="72" t="s">
        <v>20</v>
      </c>
      <c r="B39" s="51"/>
      <c r="C39" s="42"/>
      <c r="D39" s="52"/>
      <c r="E39" s="51"/>
      <c r="F39" s="42"/>
      <c r="G39" s="52"/>
      <c r="H39" s="82">
        <v>154.99999999999997</v>
      </c>
      <c r="I39" s="42">
        <v>166.74202270000006</v>
      </c>
      <c r="J39" s="52">
        <v>11.742022700000092</v>
      </c>
    </row>
    <row r="40" spans="1:10" ht="16.2" thickBot="1" x14ac:dyDescent="0.35">
      <c r="A40" s="83" t="s">
        <v>21</v>
      </c>
      <c r="B40" s="84">
        <v>322.89559011200714</v>
      </c>
      <c r="C40" s="85">
        <v>267.653175599995</v>
      </c>
      <c r="D40" s="86">
        <v>-51.039320512012175</v>
      </c>
      <c r="E40" s="84">
        <v>241.45493000000005</v>
      </c>
      <c r="F40" s="85">
        <v>207.0789630000007</v>
      </c>
      <c r="G40" s="86">
        <v>-34.375966999999349</v>
      </c>
      <c r="H40" s="85">
        <v>730.07552011200721</v>
      </c>
      <c r="I40" s="85">
        <v>651.67386129999568</v>
      </c>
      <c r="J40" s="86">
        <v>-78.401658812011476</v>
      </c>
    </row>
  </sheetData>
  <mergeCells count="2">
    <mergeCell ref="B1:D1"/>
    <mergeCell ref="H1:J1"/>
  </mergeCells>
  <conditionalFormatting sqref="B4:J10 B13:J21 B24:J29 B32:J34">
    <cfRule type="cellIs" dxfId="62" priority="1" operator="lessThan">
      <formula>0</formula>
    </cfRule>
  </conditionalFormatting>
  <conditionalFormatting sqref="D3:D10 G3:G10 J3:J10">
    <cfRule type="cellIs" dxfId="61" priority="9" operator="lessThan">
      <formula>0</formula>
    </cfRule>
  </conditionalFormatting>
  <conditionalFormatting sqref="D12:D21 G12:G21 J12:J21">
    <cfRule type="cellIs" dxfId="60" priority="8" operator="lessThan">
      <formula>0</formula>
    </cfRule>
  </conditionalFormatting>
  <conditionalFormatting sqref="D23:D29 G23:G29">
    <cfRule type="cellIs" dxfId="59" priority="14" operator="lessThan">
      <formula>0</formula>
    </cfRule>
  </conditionalFormatting>
  <conditionalFormatting sqref="D31:D34 G31:G34">
    <cfRule type="cellIs" dxfId="58" priority="12" operator="lessThan">
      <formula>0</formula>
    </cfRule>
  </conditionalFormatting>
  <conditionalFormatting sqref="D38:D39 G38:G39">
    <cfRule type="cellIs" dxfId="57" priority="11" operator="lessThan">
      <formula>0</formula>
    </cfRule>
  </conditionalFormatting>
  <conditionalFormatting sqref="J23:J29 D36 G36 J36">
    <cfRule type="cellIs" dxfId="56" priority="15" operator="lessThan">
      <formula>0</formula>
    </cfRule>
  </conditionalFormatting>
  <conditionalFormatting sqref="J31:J34">
    <cfRule type="cellIs" dxfId="55" priority="13" operator="lessThan">
      <formula>0</formula>
    </cfRule>
  </conditionalFormatting>
  <conditionalFormatting sqref="J38:J39">
    <cfRule type="cellIs" dxfId="54" priority="10" operator="lessThan">
      <formula>0</formula>
    </cfRule>
  </conditionalFormatting>
  <hyperlinks>
    <hyperlink ref="A1" location="Radio!A1" display="Radio!A1" xr:uid="{0B6F2628-CD60-4F43-A9DA-6A5B1646603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B394-00EA-441A-8035-32C264E11A76}">
  <dimension ref="A1:AC48"/>
  <sheetViews>
    <sheetView zoomScale="80" zoomScaleNormal="80" workbookViewId="0">
      <pane ySplit="2" topLeftCell="A3" activePane="bottomLeft" state="frozen"/>
      <selection activeCell="A4" sqref="A4:A10"/>
      <selection pane="bottomLeft" activeCell="A4" sqref="A4:A10"/>
    </sheetView>
  </sheetViews>
  <sheetFormatPr defaultColWidth="8.88671875" defaultRowHeight="15.6" x14ac:dyDescent="0.3"/>
  <cols>
    <col min="1" max="1" width="28.33203125" style="37" bestFit="1" customWidth="1"/>
    <col min="2" max="3" width="13.77734375" style="37" bestFit="1" customWidth="1"/>
    <col min="4" max="4" width="15.109375" style="37" bestFit="1" customWidth="1"/>
    <col min="5" max="6" width="13.77734375" style="37" bestFit="1" customWidth="1"/>
    <col min="7" max="7" width="13.5546875" style="37" bestFit="1" customWidth="1"/>
    <col min="8" max="8" width="11" style="37" bestFit="1" customWidth="1"/>
    <col min="9" max="9" width="11.6640625" style="37" bestFit="1" customWidth="1"/>
    <col min="10" max="10" width="13.5546875" style="37" bestFit="1" customWidth="1"/>
    <col min="11" max="12" width="13.77734375" style="37" bestFit="1" customWidth="1"/>
    <col min="13" max="13" width="15.109375" style="37" bestFit="1" customWidth="1"/>
    <col min="14" max="15" width="0" style="37" hidden="1" customWidth="1"/>
    <col min="16" max="16384" width="8.88671875" style="37"/>
  </cols>
  <sheetData>
    <row r="1" spans="1:29" x14ac:dyDescent="0.3">
      <c r="A1" s="87"/>
      <c r="B1" s="139" t="s">
        <v>0</v>
      </c>
      <c r="C1" s="140"/>
      <c r="D1" s="141"/>
      <c r="E1" s="140" t="s">
        <v>1</v>
      </c>
      <c r="F1" s="140"/>
      <c r="G1" s="140"/>
      <c r="H1" s="297" t="s">
        <v>2</v>
      </c>
      <c r="I1" s="298"/>
      <c r="J1" s="299"/>
      <c r="K1" s="140" t="s">
        <v>3</v>
      </c>
      <c r="L1" s="140"/>
      <c r="M1" s="141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9"/>
    </row>
    <row r="2" spans="1:29" x14ac:dyDescent="0.3">
      <c r="A2" s="38" t="s">
        <v>4</v>
      </c>
      <c r="B2" s="90" t="s">
        <v>5</v>
      </c>
      <c r="C2" s="40" t="s">
        <v>6</v>
      </c>
      <c r="D2" s="91" t="s">
        <v>7</v>
      </c>
      <c r="E2" s="39" t="s">
        <v>5</v>
      </c>
      <c r="F2" s="40" t="s">
        <v>6</v>
      </c>
      <c r="G2" s="40" t="s">
        <v>7</v>
      </c>
      <c r="H2" s="90" t="s">
        <v>5</v>
      </c>
      <c r="I2" s="40" t="s">
        <v>6</v>
      </c>
      <c r="J2" s="91" t="s">
        <v>7</v>
      </c>
      <c r="K2" s="39" t="s">
        <v>5</v>
      </c>
      <c r="L2" s="40" t="s">
        <v>6</v>
      </c>
      <c r="M2" s="91" t="s">
        <v>7</v>
      </c>
      <c r="N2" s="39" t="s">
        <v>5</v>
      </c>
      <c r="O2" s="40" t="s">
        <v>6</v>
      </c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</row>
    <row r="3" spans="1:29" x14ac:dyDescent="0.3">
      <c r="A3" s="41"/>
      <c r="B3" s="94"/>
      <c r="C3" s="95"/>
      <c r="D3" s="96"/>
      <c r="E3" s="95"/>
      <c r="F3" s="95"/>
      <c r="G3" s="95"/>
      <c r="H3" s="94"/>
      <c r="I3" s="95"/>
      <c r="J3" s="96"/>
      <c r="K3" s="95"/>
      <c r="L3" s="95"/>
      <c r="M3" s="96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3"/>
    </row>
    <row r="4" spans="1:29" x14ac:dyDescent="0.3">
      <c r="A4" s="41" t="s">
        <v>8</v>
      </c>
      <c r="B4" s="94">
        <v>21.292542362870464</v>
      </c>
      <c r="C4" s="95">
        <v>25.805143300000001</v>
      </c>
      <c r="D4" s="97">
        <f>IFERROR((C4-B4)/B4,0)</f>
        <v>0.21193340185616005</v>
      </c>
      <c r="E4" s="94">
        <v>41.083046100000004</v>
      </c>
      <c r="F4" s="95">
        <v>42.679143100000005</v>
      </c>
      <c r="G4" s="97">
        <f>IFERROR((F4-E4)/E4,0)</f>
        <v>3.8850502859864626E-2</v>
      </c>
      <c r="H4" s="94">
        <v>0</v>
      </c>
      <c r="I4" s="95">
        <v>0</v>
      </c>
      <c r="J4" s="97">
        <f>IFERROR((I4-H4)/H4,0)</f>
        <v>0</v>
      </c>
      <c r="K4" s="95">
        <f>+B4+E4+H4</f>
        <v>62.375588462870468</v>
      </c>
      <c r="L4" s="95">
        <v>68.484286400000002</v>
      </c>
      <c r="M4" s="97">
        <f t="shared" ref="M4:M11" si="0">IFERROR((L4-K4)/K4,0)</f>
        <v>9.7934113130905082E-2</v>
      </c>
      <c r="N4" s="98">
        <f>+E4+H4</f>
        <v>41.083046100000004</v>
      </c>
      <c r="O4" s="98">
        <f>+F4+I4</f>
        <v>42.679143100000005</v>
      </c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3"/>
    </row>
    <row r="5" spans="1:29" x14ac:dyDescent="0.3">
      <c r="A5" s="41" t="s">
        <v>30</v>
      </c>
      <c r="B5" s="94">
        <v>76.413050607225628</v>
      </c>
      <c r="C5" s="95">
        <v>60.781149999999997</v>
      </c>
      <c r="D5" s="97">
        <f t="shared" ref="D5:D11" si="1">IFERROR((C5-B5)/B5,0)</f>
        <v>-0.2045710841669692</v>
      </c>
      <c r="E5" s="94">
        <v>85.192099416090144</v>
      </c>
      <c r="F5" s="95">
        <v>69.143829999999994</v>
      </c>
      <c r="G5" s="97">
        <f t="shared" ref="G5:G11" si="2">IFERROR((F5-E5)/E5,0)</f>
        <v>-0.18837743788550337</v>
      </c>
      <c r="H5" s="94">
        <v>0</v>
      </c>
      <c r="I5" s="95">
        <v>0</v>
      </c>
      <c r="J5" s="97">
        <f t="shared" ref="J5:J11" si="3">IFERROR((I5-H5)/H5,0)</f>
        <v>0</v>
      </c>
      <c r="K5" s="95">
        <f t="shared" ref="K5:K10" si="4">+B5+E5+H5</f>
        <v>161.60515002331579</v>
      </c>
      <c r="L5" s="95">
        <v>129.92498000000001</v>
      </c>
      <c r="M5" s="97">
        <f t="shared" si="0"/>
        <v>-0.19603440867289865</v>
      </c>
      <c r="N5" s="98">
        <f t="shared" ref="N5:N45" si="5">+E5+H5</f>
        <v>85.192099416090144</v>
      </c>
      <c r="O5" s="92">
        <f t="shared" ref="O5:O45" si="6">+F5+I5</f>
        <v>69.143829999999994</v>
      </c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3"/>
    </row>
    <row r="6" spans="1:29" x14ac:dyDescent="0.3">
      <c r="A6" s="41" t="s">
        <v>29</v>
      </c>
      <c r="B6" s="94">
        <v>0</v>
      </c>
      <c r="C6" s="95">
        <v>1.50319</v>
      </c>
      <c r="D6" s="97">
        <f t="shared" si="1"/>
        <v>0</v>
      </c>
      <c r="E6" s="94">
        <v>22.095123399999999</v>
      </c>
      <c r="F6" s="95">
        <v>19.894349999999999</v>
      </c>
      <c r="G6" s="97">
        <f t="shared" si="2"/>
        <v>-9.9604485576215401E-2</v>
      </c>
      <c r="H6" s="94">
        <v>0</v>
      </c>
      <c r="I6" s="95">
        <v>0</v>
      </c>
      <c r="J6" s="97">
        <f t="shared" si="3"/>
        <v>0</v>
      </c>
      <c r="K6" s="95">
        <f t="shared" si="4"/>
        <v>22.095123399999999</v>
      </c>
      <c r="L6" s="95">
        <v>21.397539999999999</v>
      </c>
      <c r="M6" s="97">
        <f t="shared" si="0"/>
        <v>-3.1571826387717716E-2</v>
      </c>
      <c r="N6" s="98">
        <f t="shared" si="5"/>
        <v>22.095123399999999</v>
      </c>
      <c r="O6" s="92">
        <f t="shared" si="6"/>
        <v>19.894349999999999</v>
      </c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3"/>
    </row>
    <row r="7" spans="1:29" x14ac:dyDescent="0.3">
      <c r="A7" s="41" t="s">
        <v>18</v>
      </c>
      <c r="B7" s="94">
        <v>4.8000035704878679</v>
      </c>
      <c r="C7" s="95">
        <v>6.5590200000000003</v>
      </c>
      <c r="D7" s="97">
        <f t="shared" si="1"/>
        <v>0.36646148355538571</v>
      </c>
      <c r="E7" s="94">
        <v>11.670778330317139</v>
      </c>
      <c r="F7" s="95">
        <v>12.293703200000001</v>
      </c>
      <c r="G7" s="97">
        <f t="shared" si="2"/>
        <v>5.3374749485618475E-2</v>
      </c>
      <c r="H7" s="94">
        <v>0</v>
      </c>
      <c r="I7" s="95">
        <v>0</v>
      </c>
      <c r="J7" s="97">
        <f t="shared" si="3"/>
        <v>0</v>
      </c>
      <c r="K7" s="95">
        <f t="shared" si="4"/>
        <v>16.470781900805008</v>
      </c>
      <c r="L7" s="95">
        <v>18.8527232</v>
      </c>
      <c r="M7" s="97">
        <f t="shared" si="0"/>
        <v>0.14461616415906609</v>
      </c>
      <c r="N7" s="98">
        <f t="shared" si="5"/>
        <v>11.670778330317139</v>
      </c>
      <c r="O7" s="92">
        <f t="shared" si="6"/>
        <v>12.293703200000001</v>
      </c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3"/>
    </row>
    <row r="8" spans="1:29" x14ac:dyDescent="0.3">
      <c r="A8" s="41" t="s">
        <v>36</v>
      </c>
      <c r="B8" s="94">
        <v>6.2163199999999978</v>
      </c>
      <c r="C8" s="95">
        <v>5.9074900000000001</v>
      </c>
      <c r="D8" s="97">
        <f t="shared" si="1"/>
        <v>-4.9680518377431961E-2</v>
      </c>
      <c r="E8" s="94">
        <f>8.6194041-H8</f>
        <v>5.7389265000000007</v>
      </c>
      <c r="F8" s="95">
        <v>1.1472</v>
      </c>
      <c r="G8" s="97">
        <f t="shared" si="2"/>
        <v>-0.80010198771494989</v>
      </c>
      <c r="H8" s="94">
        <v>2.8804775999999999</v>
      </c>
      <c r="I8" s="95">
        <v>7.4566400000000002</v>
      </c>
      <c r="J8" s="97">
        <f t="shared" si="3"/>
        <v>1.5886818213757332</v>
      </c>
      <c r="K8" s="95">
        <f t="shared" si="4"/>
        <v>14.835724099999997</v>
      </c>
      <c r="L8" s="95">
        <v>14.511330000000001</v>
      </c>
      <c r="M8" s="97">
        <f t="shared" si="0"/>
        <v>-2.1865740951599103E-2</v>
      </c>
      <c r="N8" s="98">
        <f t="shared" si="5"/>
        <v>8.6194041000000006</v>
      </c>
      <c r="O8" s="92">
        <f t="shared" si="6"/>
        <v>8.6038399999999999</v>
      </c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3"/>
    </row>
    <row r="9" spans="1:29" x14ac:dyDescent="0.3">
      <c r="A9" s="41" t="s">
        <v>28</v>
      </c>
      <c r="B9" s="94">
        <v>8.5778654627515518</v>
      </c>
      <c r="C9" s="95">
        <v>7.0198400000000003</v>
      </c>
      <c r="D9" s="97">
        <f t="shared" si="1"/>
        <v>-0.18163323609085591</v>
      </c>
      <c r="E9" s="94">
        <v>43.827549310315383</v>
      </c>
      <c r="F9" s="95">
        <v>36.837809999999998</v>
      </c>
      <c r="G9" s="97">
        <f t="shared" si="2"/>
        <v>-0.1594827778488235</v>
      </c>
      <c r="H9" s="94">
        <v>0</v>
      </c>
      <c r="I9" s="95">
        <v>0</v>
      </c>
      <c r="J9" s="97">
        <f t="shared" si="3"/>
        <v>0</v>
      </c>
      <c r="K9" s="95">
        <f t="shared" si="4"/>
        <v>52.405414773066937</v>
      </c>
      <c r="L9" s="95">
        <v>43.85765</v>
      </c>
      <c r="M9" s="97">
        <f t="shared" si="0"/>
        <v>-0.16310842706009737</v>
      </c>
      <c r="N9" s="98">
        <f t="shared" si="5"/>
        <v>43.827549310315383</v>
      </c>
      <c r="O9" s="92">
        <f t="shared" si="6"/>
        <v>36.837809999999998</v>
      </c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3"/>
    </row>
    <row r="10" spans="1:29" x14ac:dyDescent="0.3">
      <c r="A10" s="41" t="s">
        <v>23</v>
      </c>
      <c r="B10" s="94">
        <v>6.4743246759592967</v>
      </c>
      <c r="C10" s="95">
        <v>8.4824599999999997</v>
      </c>
      <c r="D10" s="97">
        <f t="shared" si="1"/>
        <v>0.31016907933230253</v>
      </c>
      <c r="E10" s="94">
        <f>20.678112-H10</f>
        <v>15.323963199999998</v>
      </c>
      <c r="F10" s="95">
        <v>14.379429999999999</v>
      </c>
      <c r="G10" s="97">
        <f t="shared" si="2"/>
        <v>-6.1637657809045038E-2</v>
      </c>
      <c r="H10" s="94">
        <v>5.3541487999999999</v>
      </c>
      <c r="I10" s="95">
        <v>6.84</v>
      </c>
      <c r="J10" s="97">
        <f t="shared" si="3"/>
        <v>0.27751399064590809</v>
      </c>
      <c r="K10" s="95">
        <f t="shared" si="4"/>
        <v>27.152436675959297</v>
      </c>
      <c r="L10" s="95">
        <v>29.701889999999999</v>
      </c>
      <c r="M10" s="97">
        <f t="shared" si="0"/>
        <v>9.3894089671074765E-2</v>
      </c>
      <c r="N10" s="98">
        <f t="shared" si="5"/>
        <v>20.678111999999999</v>
      </c>
      <c r="O10" s="92">
        <f t="shared" si="6"/>
        <v>21.219429999999999</v>
      </c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3"/>
    </row>
    <row r="11" spans="1:29" x14ac:dyDescent="0.3">
      <c r="A11" s="43" t="s">
        <v>3</v>
      </c>
      <c r="B11" s="99">
        <v>92.459985798757415</v>
      </c>
      <c r="C11" s="100">
        <v>116.0582933</v>
      </c>
      <c r="D11" s="101">
        <f t="shared" si="1"/>
        <v>0.25522724557415766</v>
      </c>
      <c r="E11" s="100">
        <v>160.72175149597291</v>
      </c>
      <c r="F11" s="100">
        <v>196.37546629999997</v>
      </c>
      <c r="G11" s="102">
        <f t="shared" si="2"/>
        <v>0.22183503148869313</v>
      </c>
      <c r="H11" s="99">
        <v>8.2346263999999998</v>
      </c>
      <c r="I11" s="100">
        <v>14.29664</v>
      </c>
      <c r="J11" s="101">
        <f t="shared" si="3"/>
        <v>0.73616133938996919</v>
      </c>
      <c r="K11" s="100">
        <f>SUM(K4:K10)</f>
        <v>356.94021933601744</v>
      </c>
      <c r="L11" s="100">
        <v>326.73039959999994</v>
      </c>
      <c r="M11" s="101">
        <f t="shared" si="0"/>
        <v>-8.4635516255954571E-2</v>
      </c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3"/>
    </row>
    <row r="12" spans="1:29" x14ac:dyDescent="0.3">
      <c r="A12" s="41"/>
      <c r="B12" s="94"/>
      <c r="C12" s="95"/>
      <c r="D12" s="96"/>
      <c r="E12" s="95"/>
      <c r="F12" s="95"/>
      <c r="G12" s="95"/>
      <c r="H12" s="94"/>
      <c r="I12" s="95"/>
      <c r="J12" s="96"/>
      <c r="K12" s="95"/>
      <c r="L12" s="95"/>
      <c r="M12" s="96"/>
      <c r="N12" s="92">
        <f t="shared" si="5"/>
        <v>0</v>
      </c>
      <c r="O12" s="92">
        <f t="shared" si="6"/>
        <v>0</v>
      </c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3"/>
    </row>
    <row r="13" spans="1:29" x14ac:dyDescent="0.3">
      <c r="A13" s="41" t="s">
        <v>26</v>
      </c>
      <c r="B13" s="94">
        <v>91.834966170613015</v>
      </c>
      <c r="C13" s="95">
        <v>94.788785000000004</v>
      </c>
      <c r="D13" s="97">
        <f t="shared" ref="D13:D19" si="7">IFERROR((C13-B13)/B13,0)</f>
        <v>3.2164424429572062E-2</v>
      </c>
      <c r="E13" s="94">
        <v>0</v>
      </c>
      <c r="F13" s="95">
        <v>0.18634999999999999</v>
      </c>
      <c r="G13" s="97">
        <f t="shared" ref="G13:G19" si="8">IFERROR((F13-E13)/E13,0)</f>
        <v>0</v>
      </c>
      <c r="H13" s="94">
        <v>0</v>
      </c>
      <c r="I13" s="95">
        <v>0</v>
      </c>
      <c r="J13" s="97">
        <f t="shared" ref="J13:J19" si="9">IFERROR((I13-H13)/H13,0)</f>
        <v>0</v>
      </c>
      <c r="K13" s="95">
        <f t="shared" ref="K13:K18" si="10">+B13+E13+H13</f>
        <v>91.834966170613015</v>
      </c>
      <c r="L13" s="95">
        <v>94.975135000000009</v>
      </c>
      <c r="M13" s="97">
        <f t="shared" ref="M13:M19" si="11">IFERROR((L13-K13)/K13,0)</f>
        <v>3.4193607950517665E-2</v>
      </c>
      <c r="N13" s="98">
        <f t="shared" si="5"/>
        <v>0</v>
      </c>
      <c r="O13" s="92">
        <f t="shared" si="6"/>
        <v>0.18634999999999999</v>
      </c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3"/>
    </row>
    <row r="14" spans="1:29" x14ac:dyDescent="0.3">
      <c r="A14" s="41" t="s">
        <v>35</v>
      </c>
      <c r="B14" s="94">
        <v>11.488863238304194</v>
      </c>
      <c r="C14" s="95">
        <v>12.066414999999999</v>
      </c>
      <c r="D14" s="97">
        <f t="shared" si="7"/>
        <v>5.0270575053085402E-2</v>
      </c>
      <c r="E14" s="94">
        <v>0</v>
      </c>
      <c r="F14" s="95">
        <v>5.0000000000000004E-6</v>
      </c>
      <c r="G14" s="97">
        <f t="shared" si="8"/>
        <v>0</v>
      </c>
      <c r="H14" s="94">
        <v>0</v>
      </c>
      <c r="I14" s="95">
        <v>0</v>
      </c>
      <c r="J14" s="97">
        <f t="shared" si="9"/>
        <v>0</v>
      </c>
      <c r="K14" s="95">
        <f t="shared" si="10"/>
        <v>11.488863238304194</v>
      </c>
      <c r="L14" s="95">
        <v>12.066419999999999</v>
      </c>
      <c r="M14" s="97">
        <f t="shared" si="11"/>
        <v>5.0271010257151819E-2</v>
      </c>
      <c r="N14" s="98">
        <f t="shared" si="5"/>
        <v>0</v>
      </c>
      <c r="O14" s="92">
        <f t="shared" si="6"/>
        <v>5.0000000000000004E-6</v>
      </c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3"/>
    </row>
    <row r="15" spans="1:29" x14ac:dyDescent="0.3">
      <c r="A15" s="41" t="s">
        <v>17</v>
      </c>
      <c r="B15" s="94">
        <v>8.8200009813154168</v>
      </c>
      <c r="C15" s="95">
        <v>5.9547999999999996</v>
      </c>
      <c r="D15" s="97">
        <f t="shared" si="7"/>
        <v>-0.32485268282681079</v>
      </c>
      <c r="E15" s="94">
        <v>0</v>
      </c>
      <c r="F15" s="95">
        <v>0</v>
      </c>
      <c r="G15" s="97">
        <f t="shared" si="8"/>
        <v>0</v>
      </c>
      <c r="H15" s="94">
        <v>0</v>
      </c>
      <c r="I15" s="95">
        <v>0</v>
      </c>
      <c r="J15" s="97">
        <f t="shared" si="9"/>
        <v>0</v>
      </c>
      <c r="K15" s="95">
        <f t="shared" si="10"/>
        <v>8.8200009813154168</v>
      </c>
      <c r="L15" s="95">
        <v>5.9547999999999996</v>
      </c>
      <c r="M15" s="97">
        <f t="shared" si="11"/>
        <v>-0.32485268282681079</v>
      </c>
      <c r="N15" s="98">
        <f t="shared" si="5"/>
        <v>0</v>
      </c>
      <c r="O15" s="92">
        <f t="shared" si="6"/>
        <v>0</v>
      </c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3"/>
    </row>
    <row r="16" spans="1:29" x14ac:dyDescent="0.3">
      <c r="A16" s="41" t="s">
        <v>55</v>
      </c>
      <c r="B16" s="94">
        <v>0</v>
      </c>
      <c r="C16" s="95">
        <v>0</v>
      </c>
      <c r="D16" s="97">
        <f t="shared" si="7"/>
        <v>0</v>
      </c>
      <c r="E16" s="94">
        <v>0</v>
      </c>
      <c r="F16" s="95">
        <v>0</v>
      </c>
      <c r="G16" s="97">
        <f t="shared" si="8"/>
        <v>0</v>
      </c>
      <c r="H16" s="94">
        <v>0</v>
      </c>
      <c r="I16" s="95">
        <v>0</v>
      </c>
      <c r="J16" s="97">
        <f t="shared" si="9"/>
        <v>0</v>
      </c>
      <c r="K16" s="95">
        <f t="shared" ref="K16:K17" si="12">+B16+E16+H16</f>
        <v>0</v>
      </c>
      <c r="L16" s="95">
        <v>0</v>
      </c>
      <c r="M16" s="97">
        <f t="shared" si="11"/>
        <v>0</v>
      </c>
      <c r="N16" s="98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3"/>
    </row>
    <row r="17" spans="1:29" x14ac:dyDescent="0.3">
      <c r="A17" s="41" t="s">
        <v>34</v>
      </c>
      <c r="B17" s="94">
        <v>0</v>
      </c>
      <c r="C17" s="95">
        <v>0</v>
      </c>
      <c r="D17" s="97">
        <f t="shared" si="7"/>
        <v>0</v>
      </c>
      <c r="E17" s="94">
        <v>0</v>
      </c>
      <c r="F17" s="95">
        <v>0</v>
      </c>
      <c r="G17" s="97">
        <f t="shared" si="8"/>
        <v>0</v>
      </c>
      <c r="H17" s="94">
        <v>0</v>
      </c>
      <c r="I17" s="95">
        <v>0</v>
      </c>
      <c r="J17" s="97">
        <f t="shared" si="9"/>
        <v>0</v>
      </c>
      <c r="K17" s="95">
        <f t="shared" si="12"/>
        <v>0</v>
      </c>
      <c r="L17" s="95">
        <v>0</v>
      </c>
      <c r="M17" s="97">
        <f t="shared" si="11"/>
        <v>0</v>
      </c>
      <c r="N17" s="98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3"/>
    </row>
    <row r="18" spans="1:29" x14ac:dyDescent="0.3">
      <c r="A18" s="41" t="s">
        <v>33</v>
      </c>
      <c r="B18" s="94">
        <v>4.9822826232500006</v>
      </c>
      <c r="C18" s="95">
        <v>4.0608399999999998</v>
      </c>
      <c r="D18" s="97">
        <f t="shared" si="7"/>
        <v>-0.1849438686898362</v>
      </c>
      <c r="E18" s="94">
        <v>0.35</v>
      </c>
      <c r="F18" s="95">
        <v>0.20784</v>
      </c>
      <c r="G18" s="97">
        <f t="shared" si="8"/>
        <v>-0.40617142857142852</v>
      </c>
      <c r="H18" s="94">
        <v>0</v>
      </c>
      <c r="I18" s="95">
        <v>0</v>
      </c>
      <c r="J18" s="97">
        <f t="shared" si="9"/>
        <v>0</v>
      </c>
      <c r="K18" s="95">
        <f t="shared" si="10"/>
        <v>5.3322826232500002</v>
      </c>
      <c r="L18" s="95">
        <v>4.2686799999999998</v>
      </c>
      <c r="M18" s="97">
        <f t="shared" si="11"/>
        <v>-0.19946478804638826</v>
      </c>
      <c r="N18" s="98">
        <f t="shared" si="5"/>
        <v>0.35</v>
      </c>
      <c r="O18" s="92">
        <f t="shared" si="6"/>
        <v>0.20784</v>
      </c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3"/>
    </row>
    <row r="19" spans="1:29" x14ac:dyDescent="0.3">
      <c r="A19" s="43" t="s">
        <v>3</v>
      </c>
      <c r="B19" s="99">
        <v>85.892482965612942</v>
      </c>
      <c r="C19" s="99">
        <v>116.87084</v>
      </c>
      <c r="D19" s="103">
        <f t="shared" si="7"/>
        <v>0.36066435577126399</v>
      </c>
      <c r="E19" s="99">
        <v>0</v>
      </c>
      <c r="F19" s="99">
        <v>0.39419499999999996</v>
      </c>
      <c r="G19" s="104">
        <f t="shared" si="8"/>
        <v>0</v>
      </c>
      <c r="H19" s="99">
        <v>0</v>
      </c>
      <c r="I19" s="100">
        <v>0</v>
      </c>
      <c r="J19" s="101">
        <f t="shared" si="9"/>
        <v>0</v>
      </c>
      <c r="K19" s="99">
        <f>SUM(K13:K18)</f>
        <v>117.47611301348262</v>
      </c>
      <c r="L19" s="99">
        <v>117.26503500000001</v>
      </c>
      <c r="M19" s="105">
        <f t="shared" si="11"/>
        <v>-1.7967738978423688E-3</v>
      </c>
      <c r="N19" s="98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3"/>
    </row>
    <row r="20" spans="1:29" x14ac:dyDescent="0.3">
      <c r="A20" s="41"/>
      <c r="B20" s="94"/>
      <c r="C20" s="95"/>
      <c r="D20" s="96"/>
      <c r="E20" s="95"/>
      <c r="F20" s="95"/>
      <c r="G20" s="95"/>
      <c r="H20" s="94"/>
      <c r="I20" s="95">
        <v>0</v>
      </c>
      <c r="J20" s="106"/>
      <c r="K20" s="95"/>
      <c r="L20" s="95"/>
      <c r="M20" s="96"/>
      <c r="N20" s="92">
        <f t="shared" si="5"/>
        <v>0</v>
      </c>
      <c r="O20" s="92">
        <f t="shared" si="6"/>
        <v>0</v>
      </c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3"/>
    </row>
    <row r="21" spans="1:29" x14ac:dyDescent="0.3">
      <c r="A21" s="41" t="s">
        <v>9</v>
      </c>
      <c r="B21" s="94">
        <v>5.6311946791347998</v>
      </c>
      <c r="C21" s="95">
        <v>5.7863699999999998</v>
      </c>
      <c r="D21" s="107">
        <f t="shared" ref="D21:D24" si="13">IFERROR((C21-B21)/B21,0)</f>
        <v>2.7556376525245938E-2</v>
      </c>
      <c r="E21" s="94">
        <v>3.7196722999999996</v>
      </c>
      <c r="F21" s="95">
        <v>1.6090100000000001</v>
      </c>
      <c r="G21" s="97">
        <f t="shared" ref="G21:G24" si="14">IFERROR((F21-E21)/E21,0)</f>
        <v>-0.56743232461633775</v>
      </c>
      <c r="H21" s="94">
        <v>0</v>
      </c>
      <c r="I21" s="95">
        <v>0</v>
      </c>
      <c r="J21" s="97">
        <f t="shared" ref="J21:J24" si="15">IFERROR((I21-H21)/H21,0)</f>
        <v>0</v>
      </c>
      <c r="K21" s="95">
        <f t="shared" ref="K21:K23" si="16">+B21+E21+H21</f>
        <v>9.3508669791347998</v>
      </c>
      <c r="L21" s="95">
        <v>7.3953799999999994</v>
      </c>
      <c r="M21" s="97">
        <f t="shared" ref="M21:M24" si="17">IFERROR((L21-K21)/K21,0)</f>
        <v>-0.20912360142628553</v>
      </c>
      <c r="N21" s="98">
        <f t="shared" si="5"/>
        <v>3.7196722999999996</v>
      </c>
      <c r="O21" s="92">
        <f t="shared" si="6"/>
        <v>1.6090100000000001</v>
      </c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3"/>
    </row>
    <row r="22" spans="1:29" x14ac:dyDescent="0.3">
      <c r="A22" s="41" t="s">
        <v>31</v>
      </c>
      <c r="B22" s="94">
        <v>6.5859200000000016</v>
      </c>
      <c r="C22" s="95">
        <v>8.4058700000000002</v>
      </c>
      <c r="D22" s="107">
        <f t="shared" si="13"/>
        <v>0.27633952431854597</v>
      </c>
      <c r="E22" s="94">
        <v>0</v>
      </c>
      <c r="F22" s="95">
        <v>0</v>
      </c>
      <c r="G22" s="97">
        <f t="shared" si="14"/>
        <v>0</v>
      </c>
      <c r="H22" s="94">
        <v>0</v>
      </c>
      <c r="I22" s="95">
        <v>0</v>
      </c>
      <c r="J22" s="97">
        <f t="shared" si="15"/>
        <v>0</v>
      </c>
      <c r="K22" s="95">
        <f t="shared" si="16"/>
        <v>6.5859200000000016</v>
      </c>
      <c r="L22" s="95">
        <v>8.4058700000000002</v>
      </c>
      <c r="M22" s="97">
        <f t="shared" si="17"/>
        <v>0.27633952431854597</v>
      </c>
      <c r="N22" s="98">
        <f t="shared" si="5"/>
        <v>0</v>
      </c>
      <c r="O22" s="92">
        <f t="shared" si="6"/>
        <v>0</v>
      </c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3"/>
    </row>
    <row r="23" spans="1:29" x14ac:dyDescent="0.3">
      <c r="A23" s="41" t="s">
        <v>22</v>
      </c>
      <c r="B23" s="94">
        <v>2.415</v>
      </c>
      <c r="C23" s="95">
        <v>2.1055799999999998</v>
      </c>
      <c r="D23" s="107">
        <f t="shared" si="13"/>
        <v>-0.12812422360248457</v>
      </c>
      <c r="E23" s="94">
        <v>3.1510948999999999</v>
      </c>
      <c r="F23" s="95">
        <v>0.11441999999999999</v>
      </c>
      <c r="G23" s="97">
        <f t="shared" si="14"/>
        <v>-0.96368881178411991</v>
      </c>
      <c r="H23" s="94">
        <v>0</v>
      </c>
      <c r="I23" s="95">
        <v>0</v>
      </c>
      <c r="J23" s="97">
        <f t="shared" si="15"/>
        <v>0</v>
      </c>
      <c r="K23" s="95">
        <f t="shared" si="16"/>
        <v>5.5660948999999995</v>
      </c>
      <c r="L23" s="95">
        <v>2.2199999999999998</v>
      </c>
      <c r="M23" s="97">
        <f t="shared" si="17"/>
        <v>-0.6011566385618039</v>
      </c>
      <c r="N23" s="98">
        <f t="shared" si="5"/>
        <v>3.1510948999999999</v>
      </c>
      <c r="O23" s="92">
        <f t="shared" si="6"/>
        <v>0.11441999999999999</v>
      </c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3"/>
    </row>
    <row r="24" spans="1:29" x14ac:dyDescent="0.3">
      <c r="A24" s="43" t="s">
        <v>3</v>
      </c>
      <c r="B24" s="99">
        <v>10.730217431365521</v>
      </c>
      <c r="C24" s="99">
        <v>16.297820000000002</v>
      </c>
      <c r="D24" s="108">
        <f t="shared" si="13"/>
        <v>0.51887136530521838</v>
      </c>
      <c r="E24" s="99">
        <v>5.0385625731781154</v>
      </c>
      <c r="F24" s="99">
        <v>1.72343</v>
      </c>
      <c r="G24" s="108">
        <f t="shared" si="14"/>
        <v>-0.65795204982183397</v>
      </c>
      <c r="H24" s="99">
        <v>0</v>
      </c>
      <c r="I24" s="100">
        <v>0</v>
      </c>
      <c r="J24" s="109">
        <f t="shared" si="15"/>
        <v>0</v>
      </c>
      <c r="K24" s="99">
        <f>SUM(K21:K23)</f>
        <v>21.502881879134801</v>
      </c>
      <c r="L24" s="99">
        <v>18.021249999999998</v>
      </c>
      <c r="M24" s="99">
        <f t="shared" si="17"/>
        <v>-0.16191466328581677</v>
      </c>
      <c r="N24" s="98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3"/>
    </row>
    <row r="25" spans="1:29" x14ac:dyDescent="0.3">
      <c r="A25" s="41"/>
      <c r="B25" s="94"/>
      <c r="C25" s="95"/>
      <c r="D25" s="96"/>
      <c r="E25" s="95"/>
      <c r="F25" s="95"/>
      <c r="G25" s="95"/>
      <c r="H25" s="94"/>
      <c r="I25" s="95"/>
      <c r="J25" s="96"/>
      <c r="K25" s="95"/>
      <c r="L25" s="95"/>
      <c r="M25" s="96"/>
      <c r="N25" s="92">
        <f t="shared" si="5"/>
        <v>0</v>
      </c>
      <c r="O25" s="92">
        <f t="shared" si="6"/>
        <v>0</v>
      </c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3"/>
    </row>
    <row r="26" spans="1:29" x14ac:dyDescent="0.3">
      <c r="A26" s="41" t="s">
        <v>25</v>
      </c>
      <c r="B26" s="94">
        <v>11.659439999999998</v>
      </c>
      <c r="C26" s="95">
        <v>10.20983</v>
      </c>
      <c r="D26" s="107">
        <f t="shared" ref="D26:D34" si="18">IFERROR((C26-B26)/B26,0)</f>
        <v>-0.12432929883424919</v>
      </c>
      <c r="E26" s="94">
        <v>0</v>
      </c>
      <c r="F26" s="95">
        <v>0.03</v>
      </c>
      <c r="G26" s="97">
        <f t="shared" ref="G26:G34" si="19">IFERROR((F26-E26)/E26,0)</f>
        <v>0</v>
      </c>
      <c r="H26" s="94">
        <v>0</v>
      </c>
      <c r="I26" s="95">
        <v>0</v>
      </c>
      <c r="J26" s="97">
        <f t="shared" ref="J26:J34" si="20">IFERROR((I26-H26)/H26,0)</f>
        <v>0</v>
      </c>
      <c r="K26" s="95">
        <f t="shared" ref="K26:K33" si="21">+B26+E26+H26</f>
        <v>11.659439999999998</v>
      </c>
      <c r="L26" s="95">
        <v>10.23983</v>
      </c>
      <c r="M26" s="97">
        <f t="shared" ref="M26:M34" si="22">IFERROR((L26-K26)/K26,0)</f>
        <v>-0.12175627645924667</v>
      </c>
      <c r="N26" s="98">
        <f t="shared" si="5"/>
        <v>0</v>
      </c>
      <c r="O26" s="92">
        <f t="shared" si="6"/>
        <v>0.03</v>
      </c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3"/>
    </row>
    <row r="27" spans="1:29" x14ac:dyDescent="0.3">
      <c r="A27" s="41" t="s">
        <v>27</v>
      </c>
      <c r="B27" s="94">
        <v>8.8351179094964944</v>
      </c>
      <c r="C27" s="95">
        <v>7.1534500000000003</v>
      </c>
      <c r="D27" s="107">
        <f t="shared" si="18"/>
        <v>-0.19033904546864513</v>
      </c>
      <c r="E27" s="94">
        <v>0</v>
      </c>
      <c r="F27" s="95">
        <v>0</v>
      </c>
      <c r="G27" s="97">
        <f t="shared" si="19"/>
        <v>0</v>
      </c>
      <c r="H27" s="94">
        <v>0</v>
      </c>
      <c r="I27" s="95">
        <v>0</v>
      </c>
      <c r="J27" s="97">
        <f t="shared" si="20"/>
        <v>0</v>
      </c>
      <c r="K27" s="95">
        <f t="shared" si="21"/>
        <v>8.8351179094964944</v>
      </c>
      <c r="L27" s="95">
        <v>7.1534500000000003</v>
      </c>
      <c r="M27" s="97">
        <f t="shared" si="22"/>
        <v>-0.19033904546864513</v>
      </c>
      <c r="N27" s="98">
        <f t="shared" si="5"/>
        <v>0</v>
      </c>
      <c r="O27" s="92">
        <f t="shared" si="6"/>
        <v>0</v>
      </c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3"/>
    </row>
    <row r="28" spans="1:29" x14ac:dyDescent="0.3">
      <c r="A28" s="41" t="s">
        <v>10</v>
      </c>
      <c r="B28" s="94">
        <v>4.2502400000000007</v>
      </c>
      <c r="C28" s="95">
        <v>3.3148499999999999</v>
      </c>
      <c r="D28" s="107">
        <f t="shared" si="18"/>
        <v>-0.22007933669628085</v>
      </c>
      <c r="E28" s="94">
        <v>0</v>
      </c>
      <c r="F28" s="95">
        <v>0.02</v>
      </c>
      <c r="G28" s="97">
        <f t="shared" si="19"/>
        <v>0</v>
      </c>
      <c r="H28" s="94">
        <v>0</v>
      </c>
      <c r="I28" s="95">
        <v>0</v>
      </c>
      <c r="J28" s="97">
        <f t="shared" si="20"/>
        <v>0</v>
      </c>
      <c r="K28" s="95">
        <f t="shared" si="21"/>
        <v>4.2502400000000007</v>
      </c>
      <c r="L28" s="95">
        <v>3.3348499999999999</v>
      </c>
      <c r="M28" s="97">
        <f t="shared" si="22"/>
        <v>-0.21537372007227842</v>
      </c>
      <c r="N28" s="98">
        <f t="shared" si="5"/>
        <v>0</v>
      </c>
      <c r="O28" s="92">
        <f t="shared" si="6"/>
        <v>0.02</v>
      </c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3"/>
    </row>
    <row r="29" spans="1:29" x14ac:dyDescent="0.3">
      <c r="A29" s="41" t="s">
        <v>24</v>
      </c>
      <c r="B29" s="94">
        <v>13.436159999999999</v>
      </c>
      <c r="C29" s="95">
        <v>15.71635</v>
      </c>
      <c r="D29" s="107">
        <f t="shared" si="18"/>
        <v>0.16970548132799856</v>
      </c>
      <c r="E29" s="94">
        <v>0</v>
      </c>
      <c r="F29" s="95">
        <v>3.5000000000000003E-2</v>
      </c>
      <c r="G29" s="97">
        <f t="shared" si="19"/>
        <v>0</v>
      </c>
      <c r="H29" s="94">
        <v>0</v>
      </c>
      <c r="I29" s="95">
        <v>0</v>
      </c>
      <c r="J29" s="97">
        <f t="shared" si="20"/>
        <v>0</v>
      </c>
      <c r="K29" s="95">
        <f t="shared" si="21"/>
        <v>13.436159999999999</v>
      </c>
      <c r="L29" s="95">
        <v>15.75135</v>
      </c>
      <c r="M29" s="97">
        <f t="shared" si="22"/>
        <v>0.17231039225493008</v>
      </c>
      <c r="N29" s="98">
        <f t="shared" si="5"/>
        <v>0</v>
      </c>
      <c r="O29" s="92">
        <f t="shared" si="6"/>
        <v>3.5000000000000003E-2</v>
      </c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3"/>
    </row>
    <row r="30" spans="1:29" x14ac:dyDescent="0.3">
      <c r="A30" s="41" t="s">
        <v>12</v>
      </c>
      <c r="B30" s="94">
        <v>4.078999999999998</v>
      </c>
      <c r="C30" s="95">
        <v>2.7815099999999999</v>
      </c>
      <c r="D30" s="107">
        <f t="shared" si="18"/>
        <v>-0.31809021819073269</v>
      </c>
      <c r="E30" s="94">
        <v>0.6</v>
      </c>
      <c r="F30" s="95">
        <v>0.309</v>
      </c>
      <c r="G30" s="97">
        <f t="shared" si="19"/>
        <v>-0.48499999999999999</v>
      </c>
      <c r="H30" s="94">
        <v>0</v>
      </c>
      <c r="I30" s="95">
        <v>0</v>
      </c>
      <c r="J30" s="97">
        <f t="shared" si="20"/>
        <v>0</v>
      </c>
      <c r="K30" s="95">
        <f t="shared" si="21"/>
        <v>4.6789999999999976</v>
      </c>
      <c r="L30" s="95">
        <v>3.0905100000000001</v>
      </c>
      <c r="M30" s="97">
        <f t="shared" si="22"/>
        <v>-0.33949348151314346</v>
      </c>
      <c r="N30" s="98">
        <f t="shared" si="5"/>
        <v>0.6</v>
      </c>
      <c r="O30" s="92">
        <f t="shared" si="6"/>
        <v>0.309</v>
      </c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3"/>
    </row>
    <row r="31" spans="1:29" x14ac:dyDescent="0.3">
      <c r="A31" s="41" t="s">
        <v>37</v>
      </c>
      <c r="B31" s="94">
        <v>4.3632</v>
      </c>
      <c r="C31" s="95">
        <v>1.59931</v>
      </c>
      <c r="D31" s="107">
        <f t="shared" si="18"/>
        <v>-0.63345480381371466</v>
      </c>
      <c r="E31" s="94">
        <v>0</v>
      </c>
      <c r="F31" s="95">
        <v>0</v>
      </c>
      <c r="G31" s="97">
        <f t="shared" si="19"/>
        <v>0</v>
      </c>
      <c r="H31" s="94">
        <v>0</v>
      </c>
      <c r="I31" s="95">
        <v>0</v>
      </c>
      <c r="J31" s="97">
        <f t="shared" si="20"/>
        <v>0</v>
      </c>
      <c r="K31" s="95">
        <f t="shared" si="21"/>
        <v>4.3632</v>
      </c>
      <c r="L31" s="95">
        <v>1.59931</v>
      </c>
      <c r="M31" s="97">
        <f t="shared" si="22"/>
        <v>-0.63345480381371466</v>
      </c>
      <c r="N31" s="98">
        <f t="shared" si="5"/>
        <v>0</v>
      </c>
      <c r="O31" s="92">
        <f t="shared" si="6"/>
        <v>0</v>
      </c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3"/>
    </row>
    <row r="32" spans="1:29" x14ac:dyDescent="0.3">
      <c r="A32" s="41" t="s">
        <v>14</v>
      </c>
      <c r="B32" s="94">
        <v>9.068144144359465</v>
      </c>
      <c r="C32" s="95">
        <v>6.0713999999999997</v>
      </c>
      <c r="D32" s="107">
        <f t="shared" si="18"/>
        <v>-0.33046939888174248</v>
      </c>
      <c r="E32" s="94">
        <v>3.9749788878266403</v>
      </c>
      <c r="F32" s="95">
        <v>1.647</v>
      </c>
      <c r="G32" s="97">
        <f t="shared" si="19"/>
        <v>-0.58565817669021292</v>
      </c>
      <c r="H32" s="94">
        <v>0</v>
      </c>
      <c r="I32" s="95">
        <v>0</v>
      </c>
      <c r="J32" s="97">
        <f t="shared" si="20"/>
        <v>0</v>
      </c>
      <c r="K32" s="95">
        <f t="shared" si="21"/>
        <v>13.043123032186106</v>
      </c>
      <c r="L32" s="95">
        <v>7.7183999999999999</v>
      </c>
      <c r="M32" s="97">
        <f t="shared" si="22"/>
        <v>-0.40823988388719895</v>
      </c>
      <c r="N32" s="98">
        <f t="shared" si="5"/>
        <v>3.9749788878266403</v>
      </c>
      <c r="O32" s="92">
        <f t="shared" si="6"/>
        <v>1.647</v>
      </c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3"/>
    </row>
    <row r="33" spans="1:29" x14ac:dyDescent="0.3">
      <c r="A33" s="41" t="s">
        <v>15</v>
      </c>
      <c r="B33" s="94">
        <v>3.3392789674952201</v>
      </c>
      <c r="C33" s="95">
        <v>2.4207399999999999</v>
      </c>
      <c r="D33" s="107">
        <f t="shared" si="18"/>
        <v>-0.27507104870133464</v>
      </c>
      <c r="E33" s="94">
        <v>0</v>
      </c>
      <c r="F33" s="95">
        <v>0</v>
      </c>
      <c r="G33" s="97">
        <f t="shared" si="19"/>
        <v>0</v>
      </c>
      <c r="H33" s="94">
        <v>0</v>
      </c>
      <c r="I33" s="95">
        <v>0</v>
      </c>
      <c r="J33" s="97">
        <f t="shared" si="20"/>
        <v>0</v>
      </c>
      <c r="K33" s="95">
        <f t="shared" si="21"/>
        <v>3.3392789674952201</v>
      </c>
      <c r="L33" s="95">
        <v>2.4207399999999999</v>
      </c>
      <c r="M33" s="97">
        <f t="shared" si="22"/>
        <v>-0.27507104870133464</v>
      </c>
      <c r="N33" s="98">
        <f t="shared" si="5"/>
        <v>0</v>
      </c>
      <c r="O33" s="92">
        <f t="shared" si="6"/>
        <v>0</v>
      </c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3"/>
    </row>
    <row r="34" spans="1:29" x14ac:dyDescent="0.3">
      <c r="A34" s="43" t="s">
        <v>3</v>
      </c>
      <c r="B34" s="99">
        <v>43.289092748990861</v>
      </c>
      <c r="C34" s="99">
        <v>49.267440000000001</v>
      </c>
      <c r="D34" s="108">
        <f t="shared" si="18"/>
        <v>0.13810285389149221</v>
      </c>
      <c r="E34" s="99">
        <v>3.354984517739537</v>
      </c>
      <c r="F34" s="99">
        <v>2.0409999999999999</v>
      </c>
      <c r="G34" s="108">
        <f t="shared" si="19"/>
        <v>-0.39165144005637637</v>
      </c>
      <c r="H34" s="99">
        <v>0</v>
      </c>
      <c r="I34" s="100">
        <v>0</v>
      </c>
      <c r="J34" s="109">
        <f t="shared" si="20"/>
        <v>0</v>
      </c>
      <c r="K34" s="99">
        <f>SUM(K26:K33)</f>
        <v>63.605559909177813</v>
      </c>
      <c r="L34" s="99">
        <v>51.308440000000012</v>
      </c>
      <c r="M34" s="99">
        <f t="shared" si="22"/>
        <v>-0.19333404071494414</v>
      </c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3"/>
    </row>
    <row r="35" spans="1:29" x14ac:dyDescent="0.3">
      <c r="A35" s="41"/>
      <c r="B35" s="94"/>
      <c r="C35" s="95"/>
      <c r="D35" s="96"/>
      <c r="E35" s="95"/>
      <c r="F35" s="95"/>
      <c r="G35" s="95"/>
      <c r="H35" s="94"/>
      <c r="I35" s="95"/>
      <c r="J35" s="96"/>
      <c r="K35" s="95"/>
      <c r="L35" s="95"/>
      <c r="M35" s="96"/>
      <c r="N35" s="92">
        <f t="shared" si="5"/>
        <v>0</v>
      </c>
      <c r="O35" s="92">
        <f t="shared" si="6"/>
        <v>0</v>
      </c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3"/>
    </row>
    <row r="36" spans="1:29" x14ac:dyDescent="0.3">
      <c r="A36" s="41" t="s">
        <v>16</v>
      </c>
      <c r="B36" s="94">
        <v>9.6428059273422573</v>
      </c>
      <c r="C36" s="95">
        <v>9.1954600000000006</v>
      </c>
      <c r="D36" s="107">
        <f t="shared" ref="D36:D41" si="23">IFERROR((C36-B36)/B36,0)</f>
        <v>-4.6391675899418811E-2</v>
      </c>
      <c r="E36" s="94">
        <v>0</v>
      </c>
      <c r="F36" s="95">
        <v>0</v>
      </c>
      <c r="G36" s="97">
        <f t="shared" ref="G36:G41" si="24">IFERROR((F36-E36)/E36,0)</f>
        <v>0</v>
      </c>
      <c r="H36" s="94">
        <v>0</v>
      </c>
      <c r="I36" s="95">
        <v>0</v>
      </c>
      <c r="J36" s="97">
        <f t="shared" ref="J36:J41" si="25">IFERROR((I36-H36)/H36,0)</f>
        <v>0</v>
      </c>
      <c r="K36" s="95">
        <f t="shared" ref="K36:K40" si="26">+B36+E36+H36</f>
        <v>9.6428059273422573</v>
      </c>
      <c r="L36" s="95">
        <v>9.1954600000000006</v>
      </c>
      <c r="M36" s="97">
        <f t="shared" ref="M36:M41" si="27">IFERROR((L36-K36)/K36,0)</f>
        <v>-4.6391675899418811E-2</v>
      </c>
      <c r="N36" s="98">
        <f t="shared" si="5"/>
        <v>0</v>
      </c>
      <c r="O36" s="92">
        <f t="shared" si="6"/>
        <v>0</v>
      </c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3"/>
    </row>
    <row r="37" spans="1:29" x14ac:dyDescent="0.3">
      <c r="A37" s="41" t="s">
        <v>38</v>
      </c>
      <c r="B37" s="94">
        <v>11.912574091778202</v>
      </c>
      <c r="C37" s="95">
        <v>9.9774700000000003</v>
      </c>
      <c r="D37" s="107">
        <f t="shared" si="23"/>
        <v>-0.16244214532220777</v>
      </c>
      <c r="E37" s="94">
        <v>0</v>
      </c>
      <c r="F37" s="95">
        <v>1.0800000000000001E-2</v>
      </c>
      <c r="G37" s="97">
        <f t="shared" si="24"/>
        <v>0</v>
      </c>
      <c r="H37" s="94">
        <v>0</v>
      </c>
      <c r="I37" s="95">
        <v>0</v>
      </c>
      <c r="J37" s="97">
        <f t="shared" si="25"/>
        <v>0</v>
      </c>
      <c r="K37" s="95">
        <f t="shared" si="26"/>
        <v>11.912574091778202</v>
      </c>
      <c r="L37" s="95">
        <v>9.98827</v>
      </c>
      <c r="M37" s="97">
        <f t="shared" si="27"/>
        <v>-0.161535540257946</v>
      </c>
      <c r="N37" s="98">
        <f t="shared" si="5"/>
        <v>0</v>
      </c>
      <c r="O37" s="92">
        <f t="shared" si="6"/>
        <v>1.0800000000000001E-2</v>
      </c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3"/>
    </row>
    <row r="38" spans="1:29" x14ac:dyDescent="0.3">
      <c r="A38" s="41" t="s">
        <v>39</v>
      </c>
      <c r="B38" s="94">
        <v>4.68</v>
      </c>
      <c r="C38" s="95">
        <v>2.48719</v>
      </c>
      <c r="D38" s="107">
        <f t="shared" si="23"/>
        <v>-0.46854914529914526</v>
      </c>
      <c r="E38" s="94">
        <v>0</v>
      </c>
      <c r="F38" s="95">
        <v>0</v>
      </c>
      <c r="G38" s="97">
        <f t="shared" si="24"/>
        <v>0</v>
      </c>
      <c r="H38" s="94">
        <v>0</v>
      </c>
      <c r="I38" s="95">
        <v>0</v>
      </c>
      <c r="J38" s="97">
        <f t="shared" si="25"/>
        <v>0</v>
      </c>
      <c r="K38" s="95">
        <f t="shared" si="26"/>
        <v>4.68</v>
      </c>
      <c r="L38" s="95">
        <v>2.48719</v>
      </c>
      <c r="M38" s="97">
        <f t="shared" si="27"/>
        <v>-0.46854914529914526</v>
      </c>
      <c r="N38" s="98">
        <f t="shared" si="5"/>
        <v>0</v>
      </c>
      <c r="O38" s="92">
        <f t="shared" si="6"/>
        <v>0</v>
      </c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3"/>
    </row>
    <row r="39" spans="1:29" x14ac:dyDescent="0.3">
      <c r="A39" s="41" t="s">
        <v>40</v>
      </c>
      <c r="B39" s="94">
        <v>2.88</v>
      </c>
      <c r="C39" s="95">
        <v>5.1333900000000003</v>
      </c>
      <c r="D39" s="107">
        <f t="shared" si="23"/>
        <v>0.78242708333333355</v>
      </c>
      <c r="E39" s="94">
        <v>0</v>
      </c>
      <c r="F39" s="95">
        <v>0</v>
      </c>
      <c r="G39" s="97">
        <f t="shared" si="24"/>
        <v>0</v>
      </c>
      <c r="H39" s="94">
        <v>0</v>
      </c>
      <c r="I39" s="95">
        <v>0</v>
      </c>
      <c r="J39" s="97">
        <f t="shared" si="25"/>
        <v>0</v>
      </c>
      <c r="K39" s="95">
        <f t="shared" si="26"/>
        <v>2.88</v>
      </c>
      <c r="L39" s="95">
        <v>5.1333900000000003</v>
      </c>
      <c r="M39" s="97">
        <f t="shared" si="27"/>
        <v>0.78242708333333355</v>
      </c>
      <c r="N39" s="98">
        <f t="shared" si="5"/>
        <v>0</v>
      </c>
      <c r="O39" s="92">
        <f t="shared" si="6"/>
        <v>0</v>
      </c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3"/>
    </row>
    <row r="40" spans="1:29" x14ac:dyDescent="0.3">
      <c r="A40" s="41" t="s">
        <v>41</v>
      </c>
      <c r="B40" s="94">
        <v>4.68</v>
      </c>
      <c r="C40" s="95">
        <v>3.5136799999999999</v>
      </c>
      <c r="D40" s="107">
        <f t="shared" si="23"/>
        <v>-0.24921367521367518</v>
      </c>
      <c r="E40" s="94">
        <v>0</v>
      </c>
      <c r="F40" s="95">
        <v>0</v>
      </c>
      <c r="G40" s="97">
        <f t="shared" si="24"/>
        <v>0</v>
      </c>
      <c r="H40" s="94">
        <v>0</v>
      </c>
      <c r="I40" s="95">
        <v>0</v>
      </c>
      <c r="J40" s="97">
        <f t="shared" si="25"/>
        <v>0</v>
      </c>
      <c r="K40" s="95">
        <f t="shared" si="26"/>
        <v>4.68</v>
      </c>
      <c r="L40" s="95">
        <v>3.5136799999999999</v>
      </c>
      <c r="M40" s="97">
        <f t="shared" si="27"/>
        <v>-0.24921367521367518</v>
      </c>
      <c r="N40" s="98">
        <f t="shared" si="5"/>
        <v>0</v>
      </c>
      <c r="O40" s="92">
        <f t="shared" si="6"/>
        <v>0</v>
      </c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3"/>
    </row>
    <row r="41" spans="1:29" x14ac:dyDescent="0.3">
      <c r="A41" s="43" t="s">
        <v>3</v>
      </c>
      <c r="B41" s="99">
        <v>24.783278680688337</v>
      </c>
      <c r="C41" s="100">
        <v>30.307189999999999</v>
      </c>
      <c r="D41" s="110">
        <f t="shared" si="23"/>
        <v>0.22288864159107455</v>
      </c>
      <c r="E41" s="100">
        <v>0</v>
      </c>
      <c r="F41" s="100">
        <v>1.0800000000000001E-2</v>
      </c>
      <c r="G41" s="111">
        <f t="shared" si="24"/>
        <v>0</v>
      </c>
      <c r="H41" s="99">
        <v>0</v>
      </c>
      <c r="I41" s="100">
        <v>0</v>
      </c>
      <c r="J41" s="110">
        <f t="shared" si="25"/>
        <v>0</v>
      </c>
      <c r="K41" s="100">
        <f>SUM(K36:K40)</f>
        <v>33.795380019120458</v>
      </c>
      <c r="L41" s="100">
        <v>30.317990000000002</v>
      </c>
      <c r="M41" s="110">
        <f t="shared" si="27"/>
        <v>-0.10289542585859512</v>
      </c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3"/>
    </row>
    <row r="42" spans="1:29" x14ac:dyDescent="0.3">
      <c r="A42" s="44"/>
      <c r="B42" s="112"/>
      <c r="C42" s="113"/>
      <c r="D42" s="114"/>
      <c r="E42" s="113"/>
      <c r="F42" s="113"/>
      <c r="G42" s="115"/>
      <c r="H42" s="112"/>
      <c r="I42" s="113"/>
      <c r="J42" s="116"/>
      <c r="K42" s="113"/>
      <c r="L42" s="113"/>
      <c r="M42" s="116"/>
      <c r="N42" s="92">
        <f t="shared" si="5"/>
        <v>0</v>
      </c>
      <c r="O42" s="92">
        <f t="shared" si="6"/>
        <v>0</v>
      </c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3"/>
    </row>
    <row r="43" spans="1:29" x14ac:dyDescent="0.3">
      <c r="A43" s="43" t="s">
        <v>19</v>
      </c>
      <c r="B43" s="99">
        <v>257.15505762541511</v>
      </c>
      <c r="C43" s="100">
        <v>328.8015833</v>
      </c>
      <c r="D43" s="110">
        <f t="shared" ref="D43" si="28">IFERROR((C43-B43)/B43,0)</f>
        <v>0.27861215850146254</v>
      </c>
      <c r="E43" s="100">
        <v>169.11529858689056</v>
      </c>
      <c r="F43" s="100">
        <v>200.54489129999996</v>
      </c>
      <c r="G43" s="111">
        <f t="shared" ref="G43" si="29">IFERROR((F43-E43)/E43,0)</f>
        <v>0.18584712900448233</v>
      </c>
      <c r="H43" s="99">
        <v>8.2346263999999998</v>
      </c>
      <c r="I43" s="100">
        <v>14.29664</v>
      </c>
      <c r="J43" s="110">
        <f t="shared" ref="J43" si="30">IFERROR((I43-H43)/H43,0)</f>
        <v>0.73616133938996919</v>
      </c>
      <c r="K43" s="100">
        <f>+K41+K34+K24+K19+K11</f>
        <v>593.32015415693309</v>
      </c>
      <c r="L43" s="100">
        <v>543.64311459999999</v>
      </c>
      <c r="M43" s="111">
        <f>IFERROR((L43-K43)/K43,0)</f>
        <v>-8.3727207324552688E-2</v>
      </c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3"/>
    </row>
    <row r="44" spans="1:29" x14ac:dyDescent="0.3">
      <c r="A44" s="41"/>
      <c r="B44" s="94"/>
      <c r="C44" s="95"/>
      <c r="D44" s="106"/>
      <c r="E44" s="95"/>
      <c r="F44" s="95"/>
      <c r="G44" s="118"/>
      <c r="H44" s="94"/>
      <c r="I44" s="95"/>
      <c r="J44" s="119"/>
      <c r="K44" s="95"/>
      <c r="L44" s="95"/>
      <c r="M44" s="119"/>
      <c r="N44" s="92">
        <f t="shared" si="5"/>
        <v>0</v>
      </c>
      <c r="O44" s="92">
        <f t="shared" si="6"/>
        <v>0</v>
      </c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3"/>
    </row>
    <row r="45" spans="1:29" x14ac:dyDescent="0.3">
      <c r="A45" s="41" t="s">
        <v>20</v>
      </c>
      <c r="B45" s="94"/>
      <c r="C45" s="95"/>
      <c r="D45" s="117"/>
      <c r="E45" s="95"/>
      <c r="F45" s="95"/>
      <c r="G45" s="107"/>
      <c r="H45" s="94"/>
      <c r="I45" s="95"/>
      <c r="J45" s="107"/>
      <c r="K45" s="95">
        <v>184.99999999999997</v>
      </c>
      <c r="L45" s="95">
        <v>184.11408389999997</v>
      </c>
      <c r="M45" s="107">
        <f t="shared" ref="M45:M48" si="31">IFERROR((L45-K45)/K45,0)</f>
        <v>-4.7887356756756922E-3</v>
      </c>
      <c r="N45" s="98">
        <f t="shared" si="5"/>
        <v>0</v>
      </c>
      <c r="O45" s="92">
        <f t="shared" si="6"/>
        <v>0</v>
      </c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3"/>
    </row>
    <row r="46" spans="1:29" x14ac:dyDescent="0.3">
      <c r="A46" s="41" t="s">
        <v>62</v>
      </c>
      <c r="B46" s="94"/>
      <c r="C46" s="95"/>
      <c r="D46" s="117"/>
      <c r="E46" s="95"/>
      <c r="F46" s="95"/>
      <c r="G46" s="156"/>
      <c r="H46" s="94"/>
      <c r="I46" s="95"/>
      <c r="J46" s="107"/>
      <c r="K46" s="95">
        <v>0</v>
      </c>
      <c r="L46" s="95">
        <v>0</v>
      </c>
      <c r="M46" s="107">
        <v>0</v>
      </c>
      <c r="N46" s="98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3"/>
    </row>
    <row r="47" spans="1:29" x14ac:dyDescent="0.3">
      <c r="A47" s="41" t="s">
        <v>61</v>
      </c>
      <c r="B47" s="94"/>
      <c r="C47" s="95"/>
      <c r="D47" s="117"/>
      <c r="E47" s="95"/>
      <c r="F47" s="95"/>
      <c r="G47" s="156"/>
      <c r="H47" s="94"/>
      <c r="I47" s="95"/>
      <c r="J47" s="107"/>
      <c r="K47" s="95">
        <v>23.56</v>
      </c>
      <c r="L47" s="95">
        <v>23.56</v>
      </c>
      <c r="M47" s="107">
        <f t="shared" si="31"/>
        <v>0</v>
      </c>
      <c r="N47" s="98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3"/>
    </row>
    <row r="48" spans="1:29" ht="16.2" thickBot="1" x14ac:dyDescent="0.35">
      <c r="A48" s="46" t="s">
        <v>21</v>
      </c>
      <c r="B48" s="120">
        <v>257.15505762541511</v>
      </c>
      <c r="C48" s="121">
        <v>328.8015833</v>
      </c>
      <c r="D48" s="122">
        <f t="shared" ref="D48" si="32">IFERROR((C48-B48)/B48,0)</f>
        <v>0.27861215850146254</v>
      </c>
      <c r="E48" s="121">
        <v>169.11529858689056</v>
      </c>
      <c r="F48" s="121">
        <v>200.54489129999996</v>
      </c>
      <c r="G48" s="123">
        <f t="shared" ref="G48" si="33">IFERROR((F48-E48)/E48,0)</f>
        <v>0.18584712900448233</v>
      </c>
      <c r="H48" s="120">
        <v>8.2346263999999998</v>
      </c>
      <c r="I48" s="121">
        <v>14.29664</v>
      </c>
      <c r="J48" s="122">
        <f t="shared" ref="J48" si="34">IFERROR((I48-H48)/H48,0)</f>
        <v>0.73616133938996919</v>
      </c>
      <c r="K48" s="121">
        <f>+K43+K45+K47</f>
        <v>801.88015415693303</v>
      </c>
      <c r="L48" s="121">
        <f>+L43+L45+L47</f>
        <v>751.3171984999999</v>
      </c>
      <c r="M48" s="122">
        <f t="shared" si="31"/>
        <v>-6.305550199093421E-2</v>
      </c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3"/>
    </row>
  </sheetData>
  <mergeCells count="1">
    <mergeCell ref="H1:J1"/>
  </mergeCells>
  <conditionalFormatting sqref="D4:D10">
    <cfRule type="cellIs" dxfId="53" priority="28" operator="lessThan">
      <formula>0</formula>
    </cfRule>
  </conditionalFormatting>
  <conditionalFormatting sqref="D13:D18">
    <cfRule type="cellIs" dxfId="52" priority="24" operator="lessThan">
      <formula>0</formula>
    </cfRule>
  </conditionalFormatting>
  <conditionalFormatting sqref="D21:D23">
    <cfRule type="cellIs" dxfId="51" priority="23" operator="lessThan">
      <formula>0</formula>
    </cfRule>
  </conditionalFormatting>
  <conditionalFormatting sqref="D26:D33">
    <cfRule type="cellIs" dxfId="50" priority="22" operator="lessThan">
      <formula>0</formula>
    </cfRule>
  </conditionalFormatting>
  <conditionalFormatting sqref="D36:D40">
    <cfRule type="cellIs" dxfId="49" priority="20" operator="lessThan">
      <formula>0</formula>
    </cfRule>
  </conditionalFormatting>
  <conditionalFormatting sqref="D45:D47">
    <cfRule type="cellIs" dxfId="48" priority="18" operator="lessThan">
      <formula>0</formula>
    </cfRule>
  </conditionalFormatting>
  <conditionalFormatting sqref="G4:G10">
    <cfRule type="cellIs" dxfId="47" priority="27" operator="lessThan">
      <formula>0</formula>
    </cfRule>
  </conditionalFormatting>
  <conditionalFormatting sqref="G13:G18">
    <cfRule type="cellIs" dxfId="46" priority="17" operator="lessThan">
      <formula>0</formula>
    </cfRule>
  </conditionalFormatting>
  <conditionalFormatting sqref="G21:G23">
    <cfRule type="cellIs" dxfId="45" priority="16" operator="lessThan">
      <formula>0</formula>
    </cfRule>
  </conditionalFormatting>
  <conditionalFormatting sqref="G26:G33">
    <cfRule type="cellIs" dxfId="44" priority="15" operator="lessThan">
      <formula>0</formula>
    </cfRule>
  </conditionalFormatting>
  <conditionalFormatting sqref="G36:G40">
    <cfRule type="cellIs" dxfId="43" priority="14" operator="lessThan">
      <formula>0</formula>
    </cfRule>
  </conditionalFormatting>
  <conditionalFormatting sqref="G45:G47">
    <cfRule type="cellIs" dxfId="42" priority="12" operator="lessThan">
      <formula>0</formula>
    </cfRule>
  </conditionalFormatting>
  <conditionalFormatting sqref="J4:J10">
    <cfRule type="cellIs" dxfId="41" priority="26" operator="lessThan">
      <formula>0</formula>
    </cfRule>
  </conditionalFormatting>
  <conditionalFormatting sqref="J13:J18">
    <cfRule type="cellIs" dxfId="40" priority="11" operator="lessThan">
      <formula>0</formula>
    </cfRule>
  </conditionalFormatting>
  <conditionalFormatting sqref="J21:J23">
    <cfRule type="cellIs" dxfId="39" priority="10" operator="lessThan">
      <formula>0</formula>
    </cfRule>
  </conditionalFormatting>
  <conditionalFormatting sqref="J26:J33">
    <cfRule type="cellIs" dxfId="38" priority="9" operator="lessThan">
      <formula>0</formula>
    </cfRule>
  </conditionalFormatting>
  <conditionalFormatting sqref="J36:J40">
    <cfRule type="cellIs" dxfId="37" priority="8" operator="lessThan">
      <formula>0</formula>
    </cfRule>
  </conditionalFormatting>
  <conditionalFormatting sqref="J45:J47">
    <cfRule type="cellIs" dxfId="36" priority="6" operator="lessThan">
      <formula>0</formula>
    </cfRule>
  </conditionalFormatting>
  <conditionalFormatting sqref="M4:M10">
    <cfRule type="cellIs" dxfId="35" priority="25" operator="lessThan">
      <formula>0</formula>
    </cfRule>
  </conditionalFormatting>
  <conditionalFormatting sqref="M13:M18">
    <cfRule type="cellIs" dxfId="34" priority="21" operator="lessThan">
      <formula>0</formula>
    </cfRule>
  </conditionalFormatting>
  <conditionalFormatting sqref="M21:M23">
    <cfRule type="cellIs" dxfId="33" priority="5" operator="lessThan">
      <formula>0</formula>
    </cfRule>
  </conditionalFormatting>
  <conditionalFormatting sqref="M26:M33">
    <cfRule type="cellIs" dxfId="32" priority="4" operator="lessThan">
      <formula>0</formula>
    </cfRule>
  </conditionalFormatting>
  <conditionalFormatting sqref="M36:M40">
    <cfRule type="cellIs" dxfId="31" priority="3" operator="lessThan">
      <formula>0</formula>
    </cfRule>
  </conditionalFormatting>
  <conditionalFormatting sqref="M45:M47">
    <cfRule type="cellIs" dxfId="30" priority="1" operator="less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8A3E-2DB0-4A43-9DC6-BB1E916EEE2B}">
  <dimension ref="A1:AC48"/>
  <sheetViews>
    <sheetView zoomScale="80" zoomScaleNormal="80" workbookViewId="0">
      <pane ySplit="2" topLeftCell="A27" activePane="bottomLeft" state="frozen"/>
      <selection activeCell="A4" sqref="A4:A10"/>
      <selection pane="bottomLeft" activeCell="A4" sqref="A4:A10"/>
    </sheetView>
  </sheetViews>
  <sheetFormatPr defaultColWidth="8.88671875" defaultRowHeight="15.6" x14ac:dyDescent="0.3"/>
  <cols>
    <col min="1" max="1" width="40.109375" style="37" bestFit="1" customWidth="1"/>
    <col min="2" max="3" width="13.77734375" style="37" bestFit="1" customWidth="1"/>
    <col min="4" max="4" width="13.5546875" style="37" bestFit="1" customWidth="1"/>
    <col min="5" max="6" width="13.77734375" style="37" bestFit="1" customWidth="1"/>
    <col min="7" max="7" width="13.5546875" style="37" bestFit="1" customWidth="1"/>
    <col min="8" max="9" width="11.6640625" style="37" bestFit="1" customWidth="1"/>
    <col min="10" max="10" width="13.5546875" style="37" bestFit="1" customWidth="1"/>
    <col min="11" max="12" width="13.77734375" style="37" bestFit="1" customWidth="1"/>
    <col min="13" max="13" width="13.5546875" style="37" bestFit="1" customWidth="1"/>
    <col min="14" max="15" width="0" style="37" hidden="1" customWidth="1"/>
    <col min="16" max="16384" width="8.88671875" style="37"/>
  </cols>
  <sheetData>
    <row r="1" spans="1:15" x14ac:dyDescent="0.3">
      <c r="A1" s="87"/>
      <c r="B1" s="139" t="s">
        <v>0</v>
      </c>
      <c r="C1" s="140"/>
      <c r="D1" s="141"/>
      <c r="E1" s="298" t="s">
        <v>1</v>
      </c>
      <c r="F1" s="298"/>
      <c r="G1" s="298"/>
      <c r="H1" s="297" t="s">
        <v>2</v>
      </c>
      <c r="I1" s="298"/>
      <c r="J1" s="299"/>
      <c r="K1" s="140" t="s">
        <v>3</v>
      </c>
      <c r="L1" s="140"/>
      <c r="M1" s="141"/>
    </row>
    <row r="2" spans="1:15" x14ac:dyDescent="0.3">
      <c r="A2" s="38" t="s">
        <v>4</v>
      </c>
      <c r="B2" s="90" t="s">
        <v>5</v>
      </c>
      <c r="C2" s="40" t="s">
        <v>6</v>
      </c>
      <c r="D2" s="124" t="s">
        <v>7</v>
      </c>
      <c r="E2" s="39" t="s">
        <v>5</v>
      </c>
      <c r="F2" s="40" t="s">
        <v>6</v>
      </c>
      <c r="G2" s="125" t="s">
        <v>7</v>
      </c>
      <c r="H2" s="90" t="s">
        <v>5</v>
      </c>
      <c r="I2" s="40" t="s">
        <v>6</v>
      </c>
      <c r="J2" s="124" t="s">
        <v>7</v>
      </c>
      <c r="K2" s="39" t="s">
        <v>5</v>
      </c>
      <c r="L2" s="40" t="s">
        <v>6</v>
      </c>
      <c r="M2" s="124" t="s">
        <v>7</v>
      </c>
      <c r="N2" s="39" t="s">
        <v>5</v>
      </c>
      <c r="O2" s="40" t="s">
        <v>6</v>
      </c>
    </row>
    <row r="3" spans="1:15" x14ac:dyDescent="0.3">
      <c r="A3" s="41"/>
      <c r="B3" s="94"/>
      <c r="C3" s="95"/>
      <c r="D3" s="106"/>
      <c r="E3" s="95"/>
      <c r="F3" s="95"/>
      <c r="G3" s="126"/>
      <c r="H3" s="94"/>
      <c r="I3" s="95"/>
      <c r="J3" s="106"/>
      <c r="K3" s="95"/>
      <c r="L3" s="95"/>
      <c r="M3" s="106"/>
    </row>
    <row r="4" spans="1:15" x14ac:dyDescent="0.3">
      <c r="A4" s="41" t="s">
        <v>8</v>
      </c>
      <c r="B4" s="94">
        <v>26.178121503047329</v>
      </c>
      <c r="C4" s="95">
        <v>22.693023000000007</v>
      </c>
      <c r="D4" s="117">
        <f>IFERROR((C4-B4)/B4,0)</f>
        <v>-0.13313019815580085</v>
      </c>
      <c r="E4" s="94">
        <v>45.570604894326358</v>
      </c>
      <c r="F4" s="95">
        <v>38.898644199999772</v>
      </c>
      <c r="G4" s="117">
        <f>IFERROR((F4-E4)/E4,0)</f>
        <v>-0.14640930726722173</v>
      </c>
      <c r="H4" s="127">
        <v>0</v>
      </c>
      <c r="I4" s="95">
        <v>0</v>
      </c>
      <c r="J4" s="117">
        <f>IFERROR((I4-H4)/H4,0)</f>
        <v>0</v>
      </c>
      <c r="K4" s="95">
        <f>+B4+E4+H4</f>
        <v>71.748726397373687</v>
      </c>
      <c r="L4" s="95">
        <v>61.591667199999776</v>
      </c>
      <c r="M4" s="117">
        <f>IFERROR((L4-K4)/K4,0)</f>
        <v>-0.14156431350599838</v>
      </c>
      <c r="N4" s="42">
        <f>+E4+H4</f>
        <v>45.570604894326358</v>
      </c>
      <c r="O4" s="42">
        <f>+F4+I4</f>
        <v>38.898644199999772</v>
      </c>
    </row>
    <row r="5" spans="1:15" x14ac:dyDescent="0.3">
      <c r="A5" s="41" t="s">
        <v>30</v>
      </c>
      <c r="B5" s="94">
        <v>84.759785500000007</v>
      </c>
      <c r="C5" s="95">
        <v>66.809653000000012</v>
      </c>
      <c r="D5" s="117">
        <f t="shared" ref="D5:D11" si="0">IFERROR((C5-B5)/B5,0)</f>
        <v>-0.21177652107201231</v>
      </c>
      <c r="E5" s="94">
        <v>94.497761266466497</v>
      </c>
      <c r="F5" s="95">
        <v>76.853151100000005</v>
      </c>
      <c r="G5" s="117">
        <f t="shared" ref="G5:G11" si="1">IFERROR((F5-E5)/E5,0)</f>
        <v>-0.18671987494721595</v>
      </c>
      <c r="H5" s="127">
        <v>0</v>
      </c>
      <c r="I5" s="95">
        <v>0</v>
      </c>
      <c r="J5" s="117">
        <f t="shared" ref="J5:J11" si="2">IFERROR((I5-H5)/H5,0)</f>
        <v>0</v>
      </c>
      <c r="K5" s="95">
        <f t="shared" ref="K5:K10" si="3">+B5+E5+H5</f>
        <v>179.2575467664665</v>
      </c>
      <c r="L5" s="95">
        <v>143.66280410000002</v>
      </c>
      <c r="M5" s="117">
        <f t="shared" ref="M5:M11" si="4">IFERROR((L5-K5)/K5,0)</f>
        <v>-0.19856761017062605</v>
      </c>
      <c r="N5" s="37">
        <f t="shared" ref="N5:N46" si="5">+E5+H5</f>
        <v>94.497761266466497</v>
      </c>
      <c r="O5" s="37">
        <f t="shared" ref="O5:O46" si="6">+F5+I5</f>
        <v>76.853151100000005</v>
      </c>
    </row>
    <row r="6" spans="1:15" x14ac:dyDescent="0.3">
      <c r="A6" s="41" t="s">
        <v>29</v>
      </c>
      <c r="B6" s="94">
        <v>0</v>
      </c>
      <c r="C6" s="95">
        <v>1.68832</v>
      </c>
      <c r="D6" s="117">
        <f t="shared" si="0"/>
        <v>0</v>
      </c>
      <c r="E6" s="94">
        <v>22.084653077759999</v>
      </c>
      <c r="F6" s="95">
        <v>20.506699999999999</v>
      </c>
      <c r="G6" s="117">
        <f t="shared" si="1"/>
        <v>-7.1450208984675107E-2</v>
      </c>
      <c r="H6" s="127">
        <v>0</v>
      </c>
      <c r="I6" s="95">
        <v>0</v>
      </c>
      <c r="J6" s="117">
        <f t="shared" si="2"/>
        <v>0</v>
      </c>
      <c r="K6" s="95">
        <f t="shared" si="3"/>
        <v>22.084653077759999</v>
      </c>
      <c r="L6" s="95">
        <v>22.19502</v>
      </c>
      <c r="M6" s="117">
        <f t="shared" si="4"/>
        <v>4.9974487645968067E-3</v>
      </c>
      <c r="N6" s="37">
        <f t="shared" si="5"/>
        <v>22.084653077759999</v>
      </c>
      <c r="O6" s="37">
        <f t="shared" si="6"/>
        <v>20.506699999999999</v>
      </c>
    </row>
    <row r="7" spans="1:15" x14ac:dyDescent="0.3">
      <c r="A7" s="41" t="s">
        <v>18</v>
      </c>
      <c r="B7" s="94">
        <v>5.76</v>
      </c>
      <c r="C7" s="95">
        <v>4.2430678999999998</v>
      </c>
      <c r="D7" s="117">
        <f t="shared" si="0"/>
        <v>-0.26335626736111112</v>
      </c>
      <c r="E7" s="94">
        <v>14.004937212405535</v>
      </c>
      <c r="F7" s="95">
        <v>13.888729200000002</v>
      </c>
      <c r="G7" s="117">
        <f t="shared" si="1"/>
        <v>-8.2976460831681691E-3</v>
      </c>
      <c r="H7" s="127">
        <v>0</v>
      </c>
      <c r="I7" s="95">
        <v>0</v>
      </c>
      <c r="J7" s="117">
        <f t="shared" si="2"/>
        <v>0</v>
      </c>
      <c r="K7" s="95">
        <f t="shared" si="3"/>
        <v>19.764937212405535</v>
      </c>
      <c r="L7" s="95">
        <v>18.1317971</v>
      </c>
      <c r="M7" s="117">
        <f t="shared" si="4"/>
        <v>-8.2628145733773861E-2</v>
      </c>
      <c r="N7" s="37">
        <f t="shared" si="5"/>
        <v>14.004937212405535</v>
      </c>
      <c r="O7" s="37">
        <f t="shared" si="6"/>
        <v>13.888729200000002</v>
      </c>
    </row>
    <row r="8" spans="1:15" x14ac:dyDescent="0.3">
      <c r="A8" s="41" t="s">
        <v>36</v>
      </c>
      <c r="B8" s="94">
        <v>7.7704000000000004</v>
      </c>
      <c r="C8" s="95">
        <v>5.9633730000000007</v>
      </c>
      <c r="D8" s="117">
        <f t="shared" si="0"/>
        <v>-0.2325526356429527</v>
      </c>
      <c r="E8" s="94">
        <f>17.2388081729753-H8</f>
        <v>9.378808172975301</v>
      </c>
      <c r="F8" s="95">
        <v>1.40448</v>
      </c>
      <c r="G8" s="117">
        <f t="shared" si="1"/>
        <v>-0.85024962936687865</v>
      </c>
      <c r="H8" s="127">
        <v>7.86</v>
      </c>
      <c r="I8" s="95">
        <v>6.8190519999999992</v>
      </c>
      <c r="J8" s="117">
        <f t="shared" si="2"/>
        <v>-0.13243613231552176</v>
      </c>
      <c r="K8" s="95">
        <f t="shared" si="3"/>
        <v>25.009208172975299</v>
      </c>
      <c r="L8" s="95">
        <v>14.186904999999999</v>
      </c>
      <c r="M8" s="117">
        <f t="shared" si="4"/>
        <v>-0.43273273980220506</v>
      </c>
      <c r="N8" s="37">
        <f t="shared" si="5"/>
        <v>17.2388081729753</v>
      </c>
      <c r="O8" s="37">
        <f t="shared" si="6"/>
        <v>8.2235319999999987</v>
      </c>
    </row>
    <row r="9" spans="1:15" x14ac:dyDescent="0.3">
      <c r="A9" s="41" t="s">
        <v>28</v>
      </c>
      <c r="B9" s="94">
        <v>10.00751</v>
      </c>
      <c r="C9" s="95">
        <v>5.8156376000000005</v>
      </c>
      <c r="D9" s="117">
        <f t="shared" si="0"/>
        <v>-0.41887266662736278</v>
      </c>
      <c r="E9" s="94">
        <v>48.614900471307074</v>
      </c>
      <c r="F9" s="95">
        <v>35.997957</v>
      </c>
      <c r="G9" s="117">
        <f t="shared" si="1"/>
        <v>-0.25952832051468872</v>
      </c>
      <c r="H9" s="127">
        <v>0</v>
      </c>
      <c r="I9" s="95">
        <v>0</v>
      </c>
      <c r="J9" s="117">
        <f t="shared" si="2"/>
        <v>0</v>
      </c>
      <c r="K9" s="95">
        <f t="shared" si="3"/>
        <v>58.622410471307077</v>
      </c>
      <c r="L9" s="95">
        <v>41.813594600000002</v>
      </c>
      <c r="M9" s="117">
        <f t="shared" si="4"/>
        <v>-0.28673020669346588</v>
      </c>
      <c r="N9" s="37">
        <f t="shared" si="5"/>
        <v>48.614900471307074</v>
      </c>
      <c r="O9" s="37">
        <f t="shared" si="6"/>
        <v>35.997957</v>
      </c>
    </row>
    <row r="10" spans="1:15" x14ac:dyDescent="0.3">
      <c r="A10" s="41" t="s">
        <v>23</v>
      </c>
      <c r="B10" s="94">
        <v>7.76919</v>
      </c>
      <c r="C10" s="95">
        <v>9.5112900000000007</v>
      </c>
      <c r="D10" s="117">
        <f t="shared" si="0"/>
        <v>0.22423186973159373</v>
      </c>
      <c r="E10" s="94">
        <f>31.017168-H10</f>
        <v>20.067168000000002</v>
      </c>
      <c r="F10" s="95">
        <v>23.89669</v>
      </c>
      <c r="G10" s="117">
        <f t="shared" si="1"/>
        <v>0.19083519906745172</v>
      </c>
      <c r="H10" s="127">
        <v>10.95</v>
      </c>
      <c r="I10" s="95">
        <v>9.44</v>
      </c>
      <c r="J10" s="117">
        <f t="shared" si="2"/>
        <v>-0.13789954337899543</v>
      </c>
      <c r="K10" s="95">
        <f t="shared" si="3"/>
        <v>38.786358000000007</v>
      </c>
      <c r="L10" s="95">
        <v>42.84798</v>
      </c>
      <c r="M10" s="117">
        <f t="shared" si="4"/>
        <v>0.10471779794328696</v>
      </c>
      <c r="N10" s="37">
        <f t="shared" si="5"/>
        <v>31.017168000000002</v>
      </c>
      <c r="O10" s="37">
        <f t="shared" si="6"/>
        <v>33.336689999999997</v>
      </c>
    </row>
    <row r="11" spans="1:15" x14ac:dyDescent="0.3">
      <c r="A11" s="43" t="s">
        <v>3</v>
      </c>
      <c r="B11" s="99">
        <f>SUM(B4:B10)</f>
        <v>142.24500700304736</v>
      </c>
      <c r="C11" s="100">
        <v>116.72436450000004</v>
      </c>
      <c r="D11" s="109">
        <f t="shared" si="0"/>
        <v>-0.17941327460794873</v>
      </c>
      <c r="E11" s="100">
        <v>273.02883309524071</v>
      </c>
      <c r="F11" s="100">
        <v>211.44635149999979</v>
      </c>
      <c r="G11" s="128">
        <f t="shared" si="1"/>
        <v>-0.22555303371112856</v>
      </c>
      <c r="H11" s="99">
        <v>18.809999999999999</v>
      </c>
      <c r="I11" s="100">
        <v>16.259051999999997</v>
      </c>
      <c r="J11" s="109">
        <f t="shared" si="2"/>
        <v>-0.13561658692185019</v>
      </c>
      <c r="K11" s="100">
        <f>SUM(K4:K10)</f>
        <v>415.27384009828813</v>
      </c>
      <c r="L11" s="100">
        <v>344.4297679999998</v>
      </c>
      <c r="M11" s="109">
        <f t="shared" si="4"/>
        <v>-0.17059603870429393</v>
      </c>
    </row>
    <row r="12" spans="1:15" x14ac:dyDescent="0.3">
      <c r="A12" s="41"/>
      <c r="B12" s="94"/>
      <c r="C12" s="95"/>
      <c r="D12" s="106"/>
      <c r="E12" s="95"/>
      <c r="F12" s="95"/>
      <c r="G12" s="126"/>
      <c r="H12" s="94"/>
      <c r="I12" s="95"/>
      <c r="J12" s="106"/>
      <c r="K12" s="95"/>
      <c r="L12" s="95"/>
      <c r="M12" s="106"/>
      <c r="N12" s="37">
        <f t="shared" si="5"/>
        <v>0</v>
      </c>
      <c r="O12" s="37">
        <f t="shared" si="6"/>
        <v>0</v>
      </c>
    </row>
    <row r="13" spans="1:15" x14ac:dyDescent="0.3">
      <c r="A13" s="41" t="s">
        <v>26</v>
      </c>
      <c r="B13" s="94">
        <v>101.86624</v>
      </c>
      <c r="C13" s="95">
        <v>95.644904999999994</v>
      </c>
      <c r="D13" s="117">
        <f t="shared" ref="D13:D19" si="7">IFERROR((C13-B13)/B13,0)</f>
        <v>-6.107357059610731E-2</v>
      </c>
      <c r="E13" s="94">
        <v>0</v>
      </c>
      <c r="F13" s="95">
        <v>0.30664999999999998</v>
      </c>
      <c r="G13" s="117">
        <f t="shared" ref="G13:G19" si="8">IFERROR((F13-E13)/E13,0)</f>
        <v>0</v>
      </c>
      <c r="H13" s="127">
        <v>0</v>
      </c>
      <c r="I13" s="95">
        <v>0</v>
      </c>
      <c r="J13" s="117">
        <f t="shared" ref="J13:J19" si="9">IFERROR((I13-H13)/H13,0)</f>
        <v>0</v>
      </c>
      <c r="K13" s="95">
        <f t="shared" ref="K13:K16" si="10">+B13+E13+H13</f>
        <v>101.86624</v>
      </c>
      <c r="L13" s="95">
        <v>95.951554999999999</v>
      </c>
      <c r="M13" s="117">
        <f t="shared" ref="M13:M19" si="11">IFERROR((L13-K13)/K13,0)</f>
        <v>-5.8063250395813233E-2</v>
      </c>
      <c r="N13" s="37">
        <f t="shared" si="5"/>
        <v>0</v>
      </c>
      <c r="O13" s="37">
        <f t="shared" si="6"/>
        <v>0.30664999999999998</v>
      </c>
    </row>
    <row r="14" spans="1:15" x14ac:dyDescent="0.3">
      <c r="A14" s="41" t="s">
        <v>35</v>
      </c>
      <c r="B14" s="94">
        <v>12.74381</v>
      </c>
      <c r="C14" s="95">
        <v>13.606645699999994</v>
      </c>
      <c r="D14" s="117">
        <f t="shared" si="7"/>
        <v>6.7706258960232024E-2</v>
      </c>
      <c r="E14" s="94">
        <v>0</v>
      </c>
      <c r="F14" s="95">
        <v>0</v>
      </c>
      <c r="G14" s="117">
        <f t="shared" si="8"/>
        <v>0</v>
      </c>
      <c r="H14" s="127">
        <v>0</v>
      </c>
      <c r="I14" s="95">
        <v>0</v>
      </c>
      <c r="J14" s="117">
        <f t="shared" si="9"/>
        <v>0</v>
      </c>
      <c r="K14" s="95">
        <f t="shared" si="10"/>
        <v>12.74381</v>
      </c>
      <c r="L14" s="95">
        <v>13.606645699999994</v>
      </c>
      <c r="M14" s="117">
        <f t="shared" si="11"/>
        <v>6.7706258960232024E-2</v>
      </c>
      <c r="N14" s="37">
        <f t="shared" si="5"/>
        <v>0</v>
      </c>
      <c r="O14" s="37">
        <f t="shared" si="6"/>
        <v>0</v>
      </c>
    </row>
    <row r="15" spans="1:15" x14ac:dyDescent="0.3">
      <c r="A15" s="41" t="s">
        <v>17</v>
      </c>
      <c r="B15" s="94">
        <v>10.08</v>
      </c>
      <c r="C15" s="95">
        <v>9.9560400000000016</v>
      </c>
      <c r="D15" s="117">
        <f t="shared" si="7"/>
        <v>-1.2297619047618901E-2</v>
      </c>
      <c r="E15" s="94">
        <v>0</v>
      </c>
      <c r="F15" s="95">
        <v>0</v>
      </c>
      <c r="G15" s="117">
        <f t="shared" si="8"/>
        <v>0</v>
      </c>
      <c r="H15" s="127">
        <v>0</v>
      </c>
      <c r="I15" s="95">
        <v>0</v>
      </c>
      <c r="J15" s="117">
        <f t="shared" si="9"/>
        <v>0</v>
      </c>
      <c r="K15" s="95">
        <f t="shared" si="10"/>
        <v>10.08</v>
      </c>
      <c r="L15" s="95">
        <v>9.9560400000000016</v>
      </c>
      <c r="M15" s="117">
        <f t="shared" si="11"/>
        <v>-1.2297619047618901E-2</v>
      </c>
      <c r="N15" s="37">
        <f t="shared" si="5"/>
        <v>0</v>
      </c>
      <c r="O15" s="37">
        <f t="shared" si="6"/>
        <v>0</v>
      </c>
    </row>
    <row r="16" spans="1:15" x14ac:dyDescent="0.3">
      <c r="A16" s="41" t="s">
        <v>33</v>
      </c>
      <c r="B16" s="94">
        <v>5.9787299999999997</v>
      </c>
      <c r="C16" s="95">
        <v>5.2811417</v>
      </c>
      <c r="D16" s="117">
        <f t="shared" si="7"/>
        <v>-0.11667834138688311</v>
      </c>
      <c r="E16" s="94">
        <v>0.35</v>
      </c>
      <c r="F16" s="95">
        <v>0.12889999999999999</v>
      </c>
      <c r="G16" s="117">
        <f t="shared" si="8"/>
        <v>-0.63171428571428578</v>
      </c>
      <c r="H16" s="127">
        <v>0</v>
      </c>
      <c r="I16" s="95">
        <v>0</v>
      </c>
      <c r="J16" s="117">
        <f t="shared" si="9"/>
        <v>0</v>
      </c>
      <c r="K16" s="95">
        <f t="shared" si="10"/>
        <v>6.3287299999999993</v>
      </c>
      <c r="L16" s="95">
        <v>5.4100416999999998</v>
      </c>
      <c r="M16" s="117">
        <f t="shared" si="11"/>
        <v>-0.14516155690004148</v>
      </c>
      <c r="N16" s="37">
        <f t="shared" si="5"/>
        <v>0.35</v>
      </c>
      <c r="O16" s="37">
        <f t="shared" si="6"/>
        <v>0.12889999999999999</v>
      </c>
    </row>
    <row r="17" spans="1:15" x14ac:dyDescent="0.3">
      <c r="A17" s="43" t="s">
        <v>3</v>
      </c>
      <c r="B17" s="99">
        <f>SUM(B13:B16)</f>
        <v>130.66878</v>
      </c>
      <c r="C17" s="99">
        <v>124.4887324</v>
      </c>
      <c r="D17" s="108">
        <f t="shared" si="7"/>
        <v>-4.7295517720453158E-2</v>
      </c>
      <c r="E17" s="99">
        <v>0.35</v>
      </c>
      <c r="F17" s="99">
        <v>0.43554999999999999</v>
      </c>
      <c r="G17" s="108">
        <f t="shared" si="8"/>
        <v>0.24442857142857149</v>
      </c>
      <c r="H17" s="99">
        <v>0</v>
      </c>
      <c r="I17" s="100">
        <v>0</v>
      </c>
      <c r="J17" s="109">
        <f t="shared" si="9"/>
        <v>0</v>
      </c>
      <c r="K17" s="99">
        <f>SUM(K13:K16)</f>
        <v>131.01877999999999</v>
      </c>
      <c r="L17" s="99">
        <v>124.92428239999998</v>
      </c>
      <c r="M17" s="129">
        <f t="shared" si="11"/>
        <v>-4.6516213935132132E-2</v>
      </c>
    </row>
    <row r="18" spans="1:15" x14ac:dyDescent="0.3">
      <c r="A18" s="41"/>
      <c r="B18" s="94"/>
      <c r="C18" s="95"/>
      <c r="D18" s="106">
        <f t="shared" si="7"/>
        <v>0</v>
      </c>
      <c r="E18" s="95"/>
      <c r="F18" s="95"/>
      <c r="G18" s="126">
        <f t="shared" si="8"/>
        <v>0</v>
      </c>
      <c r="H18" s="94"/>
      <c r="I18" s="95">
        <v>0</v>
      </c>
      <c r="J18" s="106">
        <f t="shared" si="9"/>
        <v>0</v>
      </c>
      <c r="K18" s="95"/>
      <c r="L18" s="95"/>
      <c r="M18" s="106">
        <f t="shared" si="11"/>
        <v>0</v>
      </c>
      <c r="N18" s="37">
        <f t="shared" si="5"/>
        <v>0</v>
      </c>
      <c r="O18" s="37">
        <f t="shared" si="6"/>
        <v>0</v>
      </c>
    </row>
    <row r="19" spans="1:15" x14ac:dyDescent="0.3">
      <c r="A19" s="41" t="s">
        <v>9</v>
      </c>
      <c r="B19" s="94">
        <v>6.2462985928537291</v>
      </c>
      <c r="C19" s="95">
        <v>5.8872675000000001</v>
      </c>
      <c r="D19" s="117">
        <f t="shared" si="7"/>
        <v>-5.7479015374719618E-2</v>
      </c>
      <c r="E19" s="94">
        <v>2.6619211001418721</v>
      </c>
      <c r="F19" s="95">
        <v>2.3638044999999988</v>
      </c>
      <c r="G19" s="117">
        <f t="shared" si="8"/>
        <v>-0.11199302643717902</v>
      </c>
      <c r="H19" s="127">
        <v>0</v>
      </c>
      <c r="I19" s="95">
        <v>0</v>
      </c>
      <c r="J19" s="117">
        <f t="shared" si="9"/>
        <v>0</v>
      </c>
      <c r="K19" s="95">
        <f t="shared" ref="K19:K21" si="12">+B19+E19+H19</f>
        <v>8.9082196929956012</v>
      </c>
      <c r="L19" s="95">
        <v>8.2510719999999989</v>
      </c>
      <c r="M19" s="117">
        <f t="shared" si="11"/>
        <v>-7.3768689552224195E-2</v>
      </c>
      <c r="N19" s="37">
        <f t="shared" si="5"/>
        <v>2.6619211001418721</v>
      </c>
      <c r="O19" s="37">
        <f t="shared" si="6"/>
        <v>2.3638044999999988</v>
      </c>
    </row>
    <row r="20" spans="1:15" x14ac:dyDescent="0.3">
      <c r="A20" s="41" t="s">
        <v>31</v>
      </c>
      <c r="B20" s="94">
        <v>6.9975399999999999</v>
      </c>
      <c r="C20" s="95">
        <v>8.6113300000000006</v>
      </c>
      <c r="D20" s="117"/>
      <c r="E20" s="94">
        <v>0</v>
      </c>
      <c r="F20" s="95">
        <v>0</v>
      </c>
      <c r="G20" s="117"/>
      <c r="H20" s="127">
        <v>0</v>
      </c>
      <c r="I20" s="95">
        <v>0</v>
      </c>
      <c r="J20" s="117"/>
      <c r="K20" s="95">
        <f t="shared" si="12"/>
        <v>6.9975399999999999</v>
      </c>
      <c r="L20" s="95">
        <v>8.6113300000000006</v>
      </c>
      <c r="M20" s="117"/>
      <c r="N20" s="37">
        <f t="shared" si="5"/>
        <v>0</v>
      </c>
      <c r="O20" s="37">
        <f t="shared" si="6"/>
        <v>0</v>
      </c>
    </row>
    <row r="21" spans="1:15" x14ac:dyDescent="0.3">
      <c r="A21" s="41" t="s">
        <v>22</v>
      </c>
      <c r="B21" s="94">
        <v>2.76</v>
      </c>
      <c r="C21" s="95">
        <v>2.5873599999999999</v>
      </c>
      <c r="D21" s="117">
        <f t="shared" ref="D21:D24" si="13">IFERROR((C21-B21)/B21,0)</f>
        <v>-6.2550724637681132E-2</v>
      </c>
      <c r="E21" s="94">
        <v>2.3233879224464942</v>
      </c>
      <c r="F21" s="95">
        <v>0.16234000000000001</v>
      </c>
      <c r="G21" s="117">
        <f t="shared" ref="G21:G24" si="14">IFERROR((F21-E21)/E21,0)</f>
        <v>-0.9301278970973309</v>
      </c>
      <c r="H21" s="127">
        <v>0</v>
      </c>
      <c r="I21" s="95">
        <v>0</v>
      </c>
      <c r="J21" s="117">
        <f t="shared" ref="J21:J24" si="15">IFERROR((I21-H21)/H21,0)</f>
        <v>0</v>
      </c>
      <c r="K21" s="95">
        <f t="shared" si="12"/>
        <v>5.0833879224464944</v>
      </c>
      <c r="L21" s="95">
        <v>2.7496999999999998</v>
      </c>
      <c r="M21" s="117">
        <f t="shared" ref="M21:M24" si="16">IFERROR((L21-K21)/K21,0)</f>
        <v>-0.45908121867735702</v>
      </c>
      <c r="N21" s="37">
        <f t="shared" si="5"/>
        <v>2.3233879224464942</v>
      </c>
      <c r="O21" s="37">
        <f t="shared" si="6"/>
        <v>0.16234000000000001</v>
      </c>
    </row>
    <row r="22" spans="1:15" x14ac:dyDescent="0.3">
      <c r="A22" s="43" t="s">
        <v>3</v>
      </c>
      <c r="B22" s="99">
        <f>SUM(B19:B21)</f>
        <v>16.003838592853729</v>
      </c>
      <c r="C22" s="99">
        <v>17.085957499999999</v>
      </c>
      <c r="D22" s="108">
        <f t="shared" si="13"/>
        <v>6.7616209752919793E-2</v>
      </c>
      <c r="E22" s="99">
        <v>4.9853090225883658</v>
      </c>
      <c r="F22" s="99">
        <v>2.5261444999999987</v>
      </c>
      <c r="G22" s="108">
        <f t="shared" si="14"/>
        <v>-0.49328226423796939</v>
      </c>
      <c r="H22" s="99">
        <v>0</v>
      </c>
      <c r="I22" s="100">
        <v>0</v>
      </c>
      <c r="J22" s="109">
        <f t="shared" si="15"/>
        <v>0</v>
      </c>
      <c r="K22" s="99">
        <f>SUM(K19:K21)</f>
        <v>20.989147615442096</v>
      </c>
      <c r="L22" s="99">
        <v>19.612102</v>
      </c>
      <c r="M22" s="129">
        <f t="shared" si="16"/>
        <v>-6.5607505396216223E-2</v>
      </c>
    </row>
    <row r="23" spans="1:15" x14ac:dyDescent="0.3">
      <c r="A23" s="41"/>
      <c r="B23" s="94"/>
      <c r="C23" s="95"/>
      <c r="D23" s="106">
        <f t="shared" si="13"/>
        <v>0</v>
      </c>
      <c r="E23" s="95"/>
      <c r="F23" s="95"/>
      <c r="G23" s="126">
        <f t="shared" si="14"/>
        <v>0</v>
      </c>
      <c r="H23" s="94"/>
      <c r="I23" s="95"/>
      <c r="J23" s="106">
        <f t="shared" si="15"/>
        <v>0</v>
      </c>
      <c r="K23" s="95"/>
      <c r="L23" s="95"/>
      <c r="M23" s="106">
        <f t="shared" si="16"/>
        <v>0</v>
      </c>
      <c r="N23" s="37">
        <f t="shared" si="5"/>
        <v>0</v>
      </c>
      <c r="O23" s="37">
        <f t="shared" si="6"/>
        <v>0</v>
      </c>
    </row>
    <row r="24" spans="1:15" x14ac:dyDescent="0.3">
      <c r="A24" s="41" t="s">
        <v>25</v>
      </c>
      <c r="B24" s="94">
        <v>13.116869999999997</v>
      </c>
      <c r="C24" s="95">
        <v>10.554160100000001</v>
      </c>
      <c r="D24" s="117">
        <f t="shared" si="13"/>
        <v>-0.19537510854342513</v>
      </c>
      <c r="E24" s="94">
        <v>2.6619211001418721</v>
      </c>
      <c r="F24" s="95">
        <v>0</v>
      </c>
      <c r="G24" s="117">
        <f t="shared" si="14"/>
        <v>-1</v>
      </c>
      <c r="H24" s="127">
        <v>0</v>
      </c>
      <c r="I24" s="95">
        <v>0</v>
      </c>
      <c r="J24" s="117">
        <f t="shared" si="15"/>
        <v>0</v>
      </c>
      <c r="K24" s="95">
        <f t="shared" ref="K24:K32" si="17">+B24+E24+H24</f>
        <v>15.77879110014187</v>
      </c>
      <c r="L24" s="95">
        <v>10.554160100000001</v>
      </c>
      <c r="M24" s="117">
        <f t="shared" si="16"/>
        <v>-0.33111731861985888</v>
      </c>
      <c r="N24" s="37">
        <f t="shared" si="5"/>
        <v>2.6619211001418721</v>
      </c>
      <c r="O24" s="37">
        <f t="shared" si="6"/>
        <v>0</v>
      </c>
    </row>
    <row r="25" spans="1:15" x14ac:dyDescent="0.3">
      <c r="A25" s="41" t="s">
        <v>27</v>
      </c>
      <c r="B25" s="94">
        <v>9.8001900000000006</v>
      </c>
      <c r="C25" s="95">
        <v>9.0205900000000003</v>
      </c>
      <c r="D25" s="117"/>
      <c r="E25" s="94">
        <v>0</v>
      </c>
      <c r="F25" s="95">
        <v>0</v>
      </c>
      <c r="G25" s="117"/>
      <c r="H25" s="127">
        <v>0</v>
      </c>
      <c r="I25" s="95">
        <v>0</v>
      </c>
      <c r="J25" s="117"/>
      <c r="K25" s="95">
        <f t="shared" si="17"/>
        <v>9.8001900000000006</v>
      </c>
      <c r="L25" s="95">
        <v>9.0205900000000003</v>
      </c>
      <c r="M25" s="117"/>
      <c r="N25" s="37">
        <f t="shared" si="5"/>
        <v>0</v>
      </c>
      <c r="O25" s="37">
        <f t="shared" si="6"/>
        <v>0</v>
      </c>
    </row>
    <row r="26" spans="1:15" x14ac:dyDescent="0.3">
      <c r="A26" s="41" t="s">
        <v>10</v>
      </c>
      <c r="B26" s="94">
        <v>4.8569455066921607</v>
      </c>
      <c r="C26" s="95">
        <v>5.0465999999999998</v>
      </c>
      <c r="D26" s="117">
        <f t="shared" ref="D26:D34" si="18">IFERROR((C26-B26)/B26,0)</f>
        <v>3.9048099890460548E-2</v>
      </c>
      <c r="E26" s="94">
        <v>2.3233879224464942</v>
      </c>
      <c r="F26" s="95">
        <v>0</v>
      </c>
      <c r="G26" s="117">
        <f t="shared" ref="G26:G34" si="19">IFERROR((F26-E26)/E26,0)</f>
        <v>-1</v>
      </c>
      <c r="H26" s="127">
        <v>0</v>
      </c>
      <c r="I26" s="95">
        <v>0</v>
      </c>
      <c r="J26" s="117">
        <f t="shared" ref="J26:J34" si="20">IFERROR((I26-H26)/H26,0)</f>
        <v>0</v>
      </c>
      <c r="K26" s="95">
        <f t="shared" si="17"/>
        <v>7.1803334291386545</v>
      </c>
      <c r="L26" s="95">
        <v>5.0465999999999998</v>
      </c>
      <c r="M26" s="117">
        <f t="shared" ref="M26:M34" si="21">IFERROR((L26-K26)/K26,0)</f>
        <v>-0.29716355795953825</v>
      </c>
      <c r="N26" s="37">
        <f t="shared" si="5"/>
        <v>2.3233879224464942</v>
      </c>
      <c r="O26" s="37">
        <f t="shared" si="6"/>
        <v>0</v>
      </c>
    </row>
    <row r="27" spans="1:15" x14ac:dyDescent="0.3">
      <c r="A27" s="41" t="s">
        <v>24</v>
      </c>
      <c r="B27" s="94">
        <v>15.35412</v>
      </c>
      <c r="C27" s="95">
        <v>17.106919999999999</v>
      </c>
      <c r="D27" s="117">
        <f t="shared" si="18"/>
        <v>0.11415828455163818</v>
      </c>
      <c r="E27" s="94">
        <v>2.6619211001418721</v>
      </c>
      <c r="F27" s="95">
        <v>0</v>
      </c>
      <c r="G27" s="117">
        <f t="shared" si="19"/>
        <v>-1</v>
      </c>
      <c r="H27" s="127">
        <v>0</v>
      </c>
      <c r="I27" s="95">
        <v>0</v>
      </c>
      <c r="J27" s="117">
        <f t="shared" si="20"/>
        <v>0</v>
      </c>
      <c r="K27" s="95">
        <f t="shared" si="17"/>
        <v>18.016041100141873</v>
      </c>
      <c r="L27" s="95">
        <v>17.106919999999999</v>
      </c>
      <c r="M27" s="117">
        <f t="shared" si="21"/>
        <v>-5.0461757668543231E-2</v>
      </c>
      <c r="N27" s="37">
        <f t="shared" si="5"/>
        <v>2.6619211001418721</v>
      </c>
      <c r="O27" s="37">
        <f t="shared" si="6"/>
        <v>0</v>
      </c>
    </row>
    <row r="28" spans="1:15" x14ac:dyDescent="0.3">
      <c r="A28" s="41" t="s">
        <v>12</v>
      </c>
      <c r="B28" s="94">
        <v>4.7588333333333317</v>
      </c>
      <c r="C28" s="95">
        <v>3.8551500000000001</v>
      </c>
      <c r="D28" s="117">
        <f t="shared" si="18"/>
        <v>-0.189895982908976</v>
      </c>
      <c r="E28" s="94">
        <v>0</v>
      </c>
      <c r="F28" s="95">
        <v>0.45</v>
      </c>
      <c r="G28" s="117">
        <f t="shared" si="19"/>
        <v>0</v>
      </c>
      <c r="H28" s="127">
        <v>0</v>
      </c>
      <c r="I28" s="95">
        <v>0</v>
      </c>
      <c r="J28" s="117">
        <f t="shared" si="20"/>
        <v>0</v>
      </c>
      <c r="K28" s="95">
        <f t="shared" si="17"/>
        <v>4.7588333333333317</v>
      </c>
      <c r="L28" s="95">
        <v>4.3051500000000003</v>
      </c>
      <c r="M28" s="117">
        <f t="shared" si="21"/>
        <v>-9.5334991069239289E-2</v>
      </c>
      <c r="N28" s="37">
        <f t="shared" si="5"/>
        <v>0</v>
      </c>
      <c r="O28" s="37">
        <f t="shared" si="6"/>
        <v>0.45</v>
      </c>
    </row>
    <row r="29" spans="1:15" x14ac:dyDescent="0.3">
      <c r="A29" s="41" t="s">
        <v>37</v>
      </c>
      <c r="B29" s="94">
        <v>5.0904000000000007</v>
      </c>
      <c r="C29" s="95">
        <v>3.5031099999999999</v>
      </c>
      <c r="D29" s="117">
        <f t="shared" si="18"/>
        <v>-0.3118202891717744</v>
      </c>
      <c r="E29" s="94">
        <v>2.3233879224464942</v>
      </c>
      <c r="F29" s="95">
        <v>0</v>
      </c>
      <c r="G29" s="117">
        <f t="shared" si="19"/>
        <v>-1</v>
      </c>
      <c r="H29" s="127">
        <v>0</v>
      </c>
      <c r="I29" s="95">
        <v>0</v>
      </c>
      <c r="J29" s="117">
        <f t="shared" si="20"/>
        <v>0</v>
      </c>
      <c r="K29" s="95">
        <f t="shared" si="17"/>
        <v>7.4137879224464953</v>
      </c>
      <c r="L29" s="95">
        <v>3.5031099999999999</v>
      </c>
      <c r="M29" s="117">
        <f t="shared" si="21"/>
        <v>-0.52748715816462155</v>
      </c>
      <c r="N29" s="37">
        <f t="shared" si="5"/>
        <v>2.3233879224464942</v>
      </c>
      <c r="O29" s="37">
        <f t="shared" si="6"/>
        <v>0</v>
      </c>
    </row>
    <row r="30" spans="1:15" x14ac:dyDescent="0.3">
      <c r="A30" s="41" t="s">
        <v>45</v>
      </c>
      <c r="B30" s="94">
        <v>2.64</v>
      </c>
      <c r="C30" s="95">
        <v>10.453099999999999</v>
      </c>
      <c r="D30" s="117">
        <f t="shared" si="18"/>
        <v>2.9595075757575753</v>
      </c>
      <c r="E30" s="94">
        <v>2.6619211001418721</v>
      </c>
      <c r="F30" s="95">
        <v>0</v>
      </c>
      <c r="G30" s="117">
        <f t="shared" si="19"/>
        <v>-1</v>
      </c>
      <c r="H30" s="127">
        <v>0</v>
      </c>
      <c r="I30" s="95">
        <v>0</v>
      </c>
      <c r="J30" s="117">
        <f t="shared" si="20"/>
        <v>0</v>
      </c>
      <c r="K30" s="95">
        <f t="shared" si="17"/>
        <v>5.3019211001418718</v>
      </c>
      <c r="L30" s="95">
        <v>10.453099999999999</v>
      </c>
      <c r="M30" s="117">
        <f t="shared" si="21"/>
        <v>0.97156838107611398</v>
      </c>
      <c r="N30" s="37">
        <f t="shared" si="5"/>
        <v>2.6619211001418721</v>
      </c>
      <c r="O30" s="37">
        <f t="shared" si="6"/>
        <v>0</v>
      </c>
    </row>
    <row r="31" spans="1:15" x14ac:dyDescent="0.3">
      <c r="A31" s="41" t="s">
        <v>14</v>
      </c>
      <c r="B31" s="94">
        <v>10.058671247609942</v>
      </c>
      <c r="C31" s="95">
        <v>11.03276</v>
      </c>
      <c r="D31" s="117">
        <f t="shared" si="18"/>
        <v>9.6840698777337295E-2</v>
      </c>
      <c r="E31" s="94">
        <v>0</v>
      </c>
      <c r="F31" s="95">
        <v>1.101</v>
      </c>
      <c r="G31" s="117">
        <f t="shared" si="19"/>
        <v>0</v>
      </c>
      <c r="H31" s="127">
        <v>0</v>
      </c>
      <c r="I31" s="95">
        <v>0</v>
      </c>
      <c r="J31" s="117">
        <f t="shared" si="20"/>
        <v>0</v>
      </c>
      <c r="K31" s="95">
        <f t="shared" si="17"/>
        <v>10.058671247609942</v>
      </c>
      <c r="L31" s="95">
        <v>12.133759999999999</v>
      </c>
      <c r="M31" s="117">
        <f t="shared" si="21"/>
        <v>0.20629849622365601</v>
      </c>
      <c r="N31" s="37">
        <f t="shared" si="5"/>
        <v>0</v>
      </c>
      <c r="O31" s="37">
        <f t="shared" si="6"/>
        <v>1.101</v>
      </c>
    </row>
    <row r="32" spans="1:15" x14ac:dyDescent="0.3">
      <c r="A32" s="41" t="s">
        <v>15</v>
      </c>
      <c r="B32" s="94">
        <v>3.7040334608030601</v>
      </c>
      <c r="C32" s="95">
        <v>6.35947</v>
      </c>
      <c r="D32" s="117">
        <f t="shared" si="18"/>
        <v>0.71690403645036804</v>
      </c>
      <c r="E32" s="94">
        <v>2.3233879224464942</v>
      </c>
      <c r="F32" s="95">
        <v>0</v>
      </c>
      <c r="G32" s="117">
        <f t="shared" si="19"/>
        <v>-1</v>
      </c>
      <c r="H32" s="127">
        <v>0</v>
      </c>
      <c r="I32" s="95">
        <v>0</v>
      </c>
      <c r="J32" s="117">
        <f t="shared" si="20"/>
        <v>0</v>
      </c>
      <c r="K32" s="95">
        <f t="shared" si="17"/>
        <v>6.0274213832495542</v>
      </c>
      <c r="L32" s="95">
        <v>6.35947</v>
      </c>
      <c r="M32" s="117">
        <f t="shared" si="21"/>
        <v>5.5089663661681616E-2</v>
      </c>
      <c r="N32" s="37">
        <f t="shared" si="5"/>
        <v>2.3233879224464942</v>
      </c>
      <c r="O32" s="37">
        <f t="shared" si="6"/>
        <v>0</v>
      </c>
    </row>
    <row r="33" spans="1:29" x14ac:dyDescent="0.3">
      <c r="A33" s="43" t="s">
        <v>3</v>
      </c>
      <c r="B33" s="99">
        <f>SUM(B24:B32)</f>
        <v>69.380063548438486</v>
      </c>
      <c r="C33" s="99">
        <v>76.931860100000009</v>
      </c>
      <c r="D33" s="108">
        <f t="shared" si="18"/>
        <v>0.10884678054941749</v>
      </c>
      <c r="E33" s="99">
        <v>14.955927067765098</v>
      </c>
      <c r="F33" s="99">
        <v>1.5509999999999999</v>
      </c>
      <c r="G33" s="108">
        <f t="shared" si="19"/>
        <v>-0.8962952953051696</v>
      </c>
      <c r="H33" s="99">
        <v>0</v>
      </c>
      <c r="I33" s="100">
        <v>0</v>
      </c>
      <c r="J33" s="109">
        <f t="shared" si="20"/>
        <v>0</v>
      </c>
      <c r="K33" s="99">
        <f>SUM(K24:K32)</f>
        <v>84.335990616203588</v>
      </c>
      <c r="L33" s="99">
        <v>78.482860099999996</v>
      </c>
      <c r="M33" s="129">
        <f t="shared" si="21"/>
        <v>-6.9402522854566703E-2</v>
      </c>
    </row>
    <row r="34" spans="1:29" x14ac:dyDescent="0.3">
      <c r="A34" s="41"/>
      <c r="B34" s="94"/>
      <c r="C34" s="95"/>
      <c r="D34" s="106">
        <f t="shared" si="18"/>
        <v>0</v>
      </c>
      <c r="E34" s="95"/>
      <c r="F34" s="95"/>
      <c r="G34" s="126">
        <f t="shared" si="19"/>
        <v>0</v>
      </c>
      <c r="H34" s="94"/>
      <c r="I34" s="95"/>
      <c r="J34" s="106">
        <f t="shared" si="20"/>
        <v>0</v>
      </c>
      <c r="K34" s="95"/>
      <c r="L34" s="95"/>
      <c r="M34" s="106">
        <f t="shared" si="21"/>
        <v>0</v>
      </c>
      <c r="N34" s="37">
        <f t="shared" si="5"/>
        <v>0</v>
      </c>
      <c r="O34" s="37">
        <f t="shared" si="6"/>
        <v>0</v>
      </c>
    </row>
    <row r="35" spans="1:29" x14ac:dyDescent="0.3">
      <c r="A35" s="41" t="s">
        <v>16</v>
      </c>
      <c r="B35" s="94">
        <v>10.696099999999999</v>
      </c>
      <c r="C35" s="95">
        <v>12.157360000000001</v>
      </c>
      <c r="D35" s="117"/>
      <c r="E35" s="94">
        <v>2.6619211001418721</v>
      </c>
      <c r="F35" s="95">
        <v>0</v>
      </c>
      <c r="G35" s="117"/>
      <c r="H35" s="127">
        <v>0</v>
      </c>
      <c r="I35" s="95">
        <v>0</v>
      </c>
      <c r="J35" s="117"/>
      <c r="K35" s="95">
        <f t="shared" ref="K35:K41" si="22">+B35+E35+H35</f>
        <v>13.358021100141872</v>
      </c>
      <c r="L35" s="95">
        <v>12.157360000000001</v>
      </c>
      <c r="M35" s="117"/>
      <c r="N35" s="37">
        <f t="shared" si="5"/>
        <v>2.6619211001418721</v>
      </c>
      <c r="O35" s="37">
        <f t="shared" si="6"/>
        <v>0</v>
      </c>
    </row>
    <row r="36" spans="1:29" x14ac:dyDescent="0.3">
      <c r="A36" s="41" t="s">
        <v>38</v>
      </c>
      <c r="B36" s="94">
        <v>13.213800000000001</v>
      </c>
      <c r="C36" s="95">
        <v>10.769019999999999</v>
      </c>
      <c r="D36" s="117">
        <f t="shared" ref="D36:D42" si="23">IFERROR((C36-B36)/B36,0)</f>
        <v>-0.18501717900982317</v>
      </c>
      <c r="E36" s="94">
        <v>0</v>
      </c>
      <c r="F36" s="95">
        <v>0</v>
      </c>
      <c r="G36" s="117">
        <f t="shared" ref="G36:G44" si="24">IFERROR((F36-E36)/E36,0)</f>
        <v>0</v>
      </c>
      <c r="H36" s="127">
        <v>0</v>
      </c>
      <c r="I36" s="95">
        <v>0</v>
      </c>
      <c r="J36" s="117">
        <f t="shared" ref="J36:J44" si="25">IFERROR((I36-H36)/H36,0)</f>
        <v>0</v>
      </c>
      <c r="K36" s="95">
        <f t="shared" si="22"/>
        <v>13.213800000000001</v>
      </c>
      <c r="L36" s="95">
        <v>10.769019999999999</v>
      </c>
      <c r="M36" s="117">
        <f t="shared" ref="M36:M48" si="26">IFERROR((L36-K36)/K36,0)</f>
        <v>-0.18501717900982317</v>
      </c>
      <c r="N36" s="37">
        <f t="shared" si="5"/>
        <v>0</v>
      </c>
      <c r="O36" s="37">
        <f t="shared" si="6"/>
        <v>0</v>
      </c>
    </row>
    <row r="37" spans="1:29" x14ac:dyDescent="0.3">
      <c r="A37" s="41" t="s">
        <v>39</v>
      </c>
      <c r="B37" s="94">
        <v>5.6159999999999997</v>
      </c>
      <c r="C37" s="95">
        <v>4.3030299999999997</v>
      </c>
      <c r="D37" s="117">
        <f t="shared" si="23"/>
        <v>-0.23379095441595443</v>
      </c>
      <c r="E37" s="94">
        <v>2.3233879224464942</v>
      </c>
      <c r="F37" s="95">
        <v>0</v>
      </c>
      <c r="G37" s="117">
        <f t="shared" si="24"/>
        <v>-1</v>
      </c>
      <c r="H37" s="127">
        <v>0</v>
      </c>
      <c r="I37" s="95">
        <v>0</v>
      </c>
      <c r="J37" s="117">
        <f t="shared" si="25"/>
        <v>0</v>
      </c>
      <c r="K37" s="95">
        <f t="shared" si="22"/>
        <v>7.9393879224464943</v>
      </c>
      <c r="L37" s="95">
        <v>4.3030299999999997</v>
      </c>
      <c r="M37" s="117">
        <f t="shared" si="26"/>
        <v>-0.45801489459479183</v>
      </c>
      <c r="N37" s="37">
        <f t="shared" si="5"/>
        <v>2.3233879224464942</v>
      </c>
      <c r="O37" s="37">
        <f t="shared" si="6"/>
        <v>0</v>
      </c>
    </row>
    <row r="38" spans="1:29" x14ac:dyDescent="0.3">
      <c r="A38" s="41" t="s">
        <v>40</v>
      </c>
      <c r="B38" s="94">
        <v>4.32</v>
      </c>
      <c r="C38" s="95">
        <v>6.59795</v>
      </c>
      <c r="D38" s="117">
        <f t="shared" si="23"/>
        <v>0.52730324074074064</v>
      </c>
      <c r="E38" s="94">
        <v>0</v>
      </c>
      <c r="F38" s="95">
        <v>0</v>
      </c>
      <c r="G38" s="117">
        <f t="shared" si="24"/>
        <v>0</v>
      </c>
      <c r="H38" s="127">
        <v>0</v>
      </c>
      <c r="I38" s="95">
        <v>0</v>
      </c>
      <c r="J38" s="117">
        <f t="shared" si="25"/>
        <v>0</v>
      </c>
      <c r="K38" s="95">
        <f t="shared" si="22"/>
        <v>4.32</v>
      </c>
      <c r="L38" s="95">
        <v>6.59795</v>
      </c>
      <c r="M38" s="117">
        <f t="shared" si="26"/>
        <v>0.52730324074074064</v>
      </c>
      <c r="N38" s="37">
        <f t="shared" si="5"/>
        <v>0</v>
      </c>
      <c r="O38" s="37">
        <f t="shared" si="6"/>
        <v>0</v>
      </c>
    </row>
    <row r="39" spans="1:29" x14ac:dyDescent="0.3">
      <c r="A39" s="41" t="s">
        <v>42</v>
      </c>
      <c r="B39" s="94">
        <v>2.34</v>
      </c>
      <c r="C39" s="95">
        <v>1.87415</v>
      </c>
      <c r="D39" s="117">
        <f t="shared" si="23"/>
        <v>-0.19908119658119655</v>
      </c>
      <c r="E39" s="94">
        <v>0</v>
      </c>
      <c r="F39" s="95">
        <v>0</v>
      </c>
      <c r="G39" s="117">
        <f t="shared" si="24"/>
        <v>0</v>
      </c>
      <c r="H39" s="127">
        <v>0</v>
      </c>
      <c r="I39" s="95">
        <v>0</v>
      </c>
      <c r="J39" s="117">
        <f t="shared" si="25"/>
        <v>0</v>
      </c>
      <c r="K39" s="95">
        <f t="shared" si="22"/>
        <v>2.34</v>
      </c>
      <c r="L39" s="95">
        <v>1.87415</v>
      </c>
      <c r="M39" s="117">
        <f t="shared" si="26"/>
        <v>-0.19908119658119655</v>
      </c>
      <c r="N39" s="37">
        <f t="shared" si="5"/>
        <v>0</v>
      </c>
      <c r="O39" s="37">
        <f t="shared" si="6"/>
        <v>0</v>
      </c>
    </row>
    <row r="40" spans="1:29" x14ac:dyDescent="0.3">
      <c r="A40" s="41" t="s">
        <v>41</v>
      </c>
      <c r="B40" s="94">
        <v>5.6159999999999997</v>
      </c>
      <c r="C40" s="95">
        <v>3.72689</v>
      </c>
      <c r="D40" s="117">
        <f t="shared" si="23"/>
        <v>-0.33637998575498573</v>
      </c>
      <c r="E40" s="94">
        <v>0</v>
      </c>
      <c r="F40" s="95">
        <v>0</v>
      </c>
      <c r="G40" s="117">
        <f t="shared" si="24"/>
        <v>0</v>
      </c>
      <c r="H40" s="127">
        <v>0</v>
      </c>
      <c r="I40" s="95">
        <v>0</v>
      </c>
      <c r="J40" s="117">
        <f t="shared" si="25"/>
        <v>0</v>
      </c>
      <c r="K40" s="95">
        <f t="shared" si="22"/>
        <v>5.6159999999999997</v>
      </c>
      <c r="L40" s="95">
        <v>3.72689</v>
      </c>
      <c r="M40" s="117">
        <f t="shared" si="26"/>
        <v>-0.33637998575498573</v>
      </c>
      <c r="N40" s="37">
        <f t="shared" si="5"/>
        <v>0</v>
      </c>
      <c r="O40" s="37">
        <f t="shared" si="6"/>
        <v>0</v>
      </c>
    </row>
    <row r="41" spans="1:29" x14ac:dyDescent="0.3">
      <c r="A41" s="41" t="s">
        <v>43</v>
      </c>
      <c r="B41" s="94">
        <v>2.34</v>
      </c>
      <c r="C41" s="95">
        <v>1.8700000000000001E-2</v>
      </c>
      <c r="D41" s="117">
        <f t="shared" si="23"/>
        <v>-0.99200854700854701</v>
      </c>
      <c r="E41" s="95">
        <v>0</v>
      </c>
      <c r="F41" s="95">
        <v>0</v>
      </c>
      <c r="G41" s="138">
        <f t="shared" si="24"/>
        <v>0</v>
      </c>
      <c r="H41" s="127">
        <v>0</v>
      </c>
      <c r="I41" s="95">
        <v>0</v>
      </c>
      <c r="J41" s="117">
        <f t="shared" si="25"/>
        <v>0</v>
      </c>
      <c r="K41" s="95">
        <f t="shared" si="22"/>
        <v>2.34</v>
      </c>
      <c r="L41" s="95">
        <v>1.8700000000000001E-2</v>
      </c>
      <c r="M41" s="117">
        <f t="shared" si="26"/>
        <v>-0.99200854700854701</v>
      </c>
      <c r="N41" s="37">
        <f t="shared" si="5"/>
        <v>0</v>
      </c>
      <c r="O41" s="37">
        <f t="shared" si="6"/>
        <v>0</v>
      </c>
    </row>
    <row r="42" spans="1:29" x14ac:dyDescent="0.3">
      <c r="A42" s="43" t="s">
        <v>3</v>
      </c>
      <c r="B42" s="99">
        <f>SUM(B35:B41)</f>
        <v>44.141900000000007</v>
      </c>
      <c r="C42" s="99">
        <v>39.447099999999999</v>
      </c>
      <c r="D42" s="109">
        <f t="shared" si="23"/>
        <v>-0.10635699867925955</v>
      </c>
      <c r="E42" s="99">
        <v>4.9853090225883658</v>
      </c>
      <c r="F42" s="99">
        <v>0</v>
      </c>
      <c r="G42" s="128">
        <f t="shared" si="24"/>
        <v>-1</v>
      </c>
      <c r="H42" s="99">
        <v>0</v>
      </c>
      <c r="I42" s="99">
        <v>0</v>
      </c>
      <c r="J42" s="109">
        <f t="shared" si="25"/>
        <v>0</v>
      </c>
      <c r="K42" s="99">
        <f>SUM(K35:K41)</f>
        <v>49.127209022588374</v>
      </c>
      <c r="L42" s="99">
        <v>39.447099999999999</v>
      </c>
      <c r="M42" s="109">
        <f t="shared" si="26"/>
        <v>-0.19704170489590653</v>
      </c>
    </row>
    <row r="43" spans="1:29" x14ac:dyDescent="0.3">
      <c r="A43" s="44"/>
      <c r="B43" s="112"/>
      <c r="C43" s="113"/>
      <c r="D43" s="130">
        <f t="shared" ref="D43:D44" si="27">IFERROR((C43-B43)/B43,0)</f>
        <v>0</v>
      </c>
      <c r="E43" s="113"/>
      <c r="F43" s="113"/>
      <c r="G43" s="131">
        <f t="shared" ref="G43" si="28">IFERROR((F43-E43)/E43,0)</f>
        <v>0</v>
      </c>
      <c r="H43" s="112"/>
      <c r="I43" s="113"/>
      <c r="J43" s="130">
        <f t="shared" ref="J43" si="29">IFERROR((I43-H43)/H43,0)</f>
        <v>0</v>
      </c>
      <c r="K43" s="113"/>
      <c r="L43" s="113"/>
      <c r="M43" s="130">
        <f t="shared" ref="M43" si="30">IFERROR((L43-K43)/K43,0)</f>
        <v>0</v>
      </c>
      <c r="N43" s="37">
        <f t="shared" si="5"/>
        <v>0</v>
      </c>
      <c r="O43" s="37">
        <f t="shared" si="6"/>
        <v>0</v>
      </c>
    </row>
    <row r="44" spans="1:29" x14ac:dyDescent="0.3">
      <c r="A44" s="43" t="s">
        <v>19</v>
      </c>
      <c r="B44" s="99">
        <f>+B42+B33+B22+B17+B11</f>
        <v>402.43958914433961</v>
      </c>
      <c r="C44" s="100">
        <v>374.67801450000002</v>
      </c>
      <c r="D44" s="109">
        <f t="shared" si="27"/>
        <v>-6.898320988590062E-2</v>
      </c>
      <c r="E44" s="100">
        <v>298.30537820818256</v>
      </c>
      <c r="F44" s="100">
        <v>215.95904599999977</v>
      </c>
      <c r="G44" s="128">
        <f t="shared" si="24"/>
        <v>-0.276047092086669</v>
      </c>
      <c r="H44" s="100">
        <v>18.809999999999999</v>
      </c>
      <c r="I44" s="100">
        <v>16.259051999999997</v>
      </c>
      <c r="J44" s="109">
        <f t="shared" si="25"/>
        <v>-0.13561658692185019</v>
      </c>
      <c r="K44" s="100">
        <f>+K42+K33+K22+K17+K11</f>
        <v>700.74496735252217</v>
      </c>
      <c r="L44" s="100">
        <v>606.89611249999973</v>
      </c>
      <c r="M44" s="128">
        <f t="shared" si="26"/>
        <v>-0.13392726202100586</v>
      </c>
    </row>
    <row r="45" spans="1:29" x14ac:dyDescent="0.3">
      <c r="A45" s="41"/>
      <c r="B45" s="94"/>
      <c r="C45" s="95"/>
      <c r="D45" s="106"/>
      <c r="E45" s="95"/>
      <c r="F45" s="95"/>
      <c r="G45" s="126"/>
      <c r="H45" s="94"/>
      <c r="I45" s="95"/>
      <c r="J45" s="106"/>
      <c r="K45" s="95"/>
      <c r="L45" s="95"/>
      <c r="M45" s="106"/>
      <c r="N45" s="37">
        <f t="shared" si="5"/>
        <v>0</v>
      </c>
      <c r="O45" s="37">
        <f t="shared" si="6"/>
        <v>0</v>
      </c>
    </row>
    <row r="46" spans="1:29" x14ac:dyDescent="0.3">
      <c r="A46" s="41" t="s">
        <v>20</v>
      </c>
      <c r="B46" s="94"/>
      <c r="C46" s="95"/>
      <c r="D46" s="117"/>
      <c r="E46" s="95"/>
      <c r="F46" s="95"/>
      <c r="G46" s="117"/>
      <c r="H46" s="94"/>
      <c r="I46" s="95"/>
      <c r="J46" s="117"/>
      <c r="K46" s="95">
        <v>185.96199999999999</v>
      </c>
      <c r="L46" s="95">
        <v>208.36001372881356</v>
      </c>
      <c r="M46" s="117">
        <f t="shared" si="26"/>
        <v>0.12044403549549676</v>
      </c>
      <c r="N46" s="37">
        <f t="shared" si="5"/>
        <v>0</v>
      </c>
      <c r="O46" s="37">
        <f t="shared" si="6"/>
        <v>0</v>
      </c>
    </row>
    <row r="47" spans="1:29" x14ac:dyDescent="0.3">
      <c r="A47" s="41" t="s">
        <v>61</v>
      </c>
      <c r="B47" s="94"/>
      <c r="C47" s="95"/>
      <c r="D47" s="117">
        <f t="shared" ref="D47:D48" si="31">IFERROR((C47-B47)/B47,0)</f>
        <v>0</v>
      </c>
      <c r="E47" s="95"/>
      <c r="F47" s="95"/>
      <c r="G47" s="156">
        <f t="shared" ref="G47:G48" si="32">IFERROR((F47-E47)/E47,0)</f>
        <v>0</v>
      </c>
      <c r="H47" s="94"/>
      <c r="I47" s="95"/>
      <c r="J47" s="107">
        <f t="shared" ref="J47:J48" si="33">IFERROR((I47-H47)/H47,0)</f>
        <v>0</v>
      </c>
      <c r="K47" s="95">
        <v>23.56</v>
      </c>
      <c r="L47" s="95">
        <v>23.56</v>
      </c>
      <c r="M47" s="117">
        <f t="shared" si="26"/>
        <v>0</v>
      </c>
      <c r="N47" s="98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3"/>
    </row>
    <row r="48" spans="1:29" ht="16.2" thickBot="1" x14ac:dyDescent="0.35">
      <c r="A48" s="46" t="s">
        <v>21</v>
      </c>
      <c r="B48" s="120">
        <f>+B46+B44</f>
        <v>402.43958914433961</v>
      </c>
      <c r="C48" s="121">
        <f>+C46+C44</f>
        <v>374.67801450000002</v>
      </c>
      <c r="D48" s="134">
        <f t="shared" si="31"/>
        <v>-6.898320988590062E-2</v>
      </c>
      <c r="E48" s="121">
        <v>298.30537820818256</v>
      </c>
      <c r="F48" s="121">
        <f t="shared" ref="F48" si="34">+F46+F44</f>
        <v>215.95904599999977</v>
      </c>
      <c r="G48" s="135">
        <f t="shared" si="32"/>
        <v>-0.276047092086669</v>
      </c>
      <c r="H48" s="120">
        <f t="shared" ref="H48:I48" si="35">+H46+H44</f>
        <v>18.809999999999999</v>
      </c>
      <c r="I48" s="121">
        <f t="shared" si="35"/>
        <v>16.259051999999997</v>
      </c>
      <c r="J48" s="134">
        <f t="shared" si="33"/>
        <v>-0.13561658692185019</v>
      </c>
      <c r="K48" s="121">
        <f>+K46+K44+K47</f>
        <v>910.2669673525221</v>
      </c>
      <c r="L48" s="121">
        <f>+L46+L44+L47</f>
        <v>838.81612622881323</v>
      </c>
      <c r="M48" s="134">
        <f t="shared" si="26"/>
        <v>-7.8494379875742398E-2</v>
      </c>
    </row>
  </sheetData>
  <autoFilter ref="A2:O48" xr:uid="{367A8A3E-2DB0-4A43-9DC6-BB1E916EEE2B}"/>
  <mergeCells count="2">
    <mergeCell ref="H1:J1"/>
    <mergeCell ref="E1:G1"/>
  </mergeCells>
  <conditionalFormatting sqref="D4:D10">
    <cfRule type="cellIs" dxfId="29" priority="28" operator="lessThan">
      <formula>0</formula>
    </cfRule>
  </conditionalFormatting>
  <conditionalFormatting sqref="D13:D16">
    <cfRule type="cellIs" dxfId="28" priority="24" operator="lessThan">
      <formula>0</formula>
    </cfRule>
  </conditionalFormatting>
  <conditionalFormatting sqref="D19:D21">
    <cfRule type="cellIs" dxfId="27" priority="23" operator="lessThan">
      <formula>0</formula>
    </cfRule>
  </conditionalFormatting>
  <conditionalFormatting sqref="D24:D32">
    <cfRule type="cellIs" dxfId="26" priority="22" operator="lessThan">
      <formula>0</formula>
    </cfRule>
  </conditionalFormatting>
  <conditionalFormatting sqref="D35:D41 G35:G41 J35:J41 M35:M41">
    <cfRule type="cellIs" dxfId="25" priority="29" operator="lessThan">
      <formula>0</formula>
    </cfRule>
  </conditionalFormatting>
  <conditionalFormatting sqref="D46:D47">
    <cfRule type="cellIs" dxfId="24" priority="4" operator="lessThan">
      <formula>0</formula>
    </cfRule>
  </conditionalFormatting>
  <conditionalFormatting sqref="G4:G10">
    <cfRule type="cellIs" dxfId="23" priority="27" operator="lessThan">
      <formula>0</formula>
    </cfRule>
  </conditionalFormatting>
  <conditionalFormatting sqref="G13:G16">
    <cfRule type="cellIs" dxfId="22" priority="19" operator="lessThan">
      <formula>0</formula>
    </cfRule>
  </conditionalFormatting>
  <conditionalFormatting sqref="G19:G21">
    <cfRule type="cellIs" dxfId="21" priority="18" operator="lessThan">
      <formula>0</formula>
    </cfRule>
  </conditionalFormatting>
  <conditionalFormatting sqref="G24:G32">
    <cfRule type="cellIs" dxfId="20" priority="17" operator="lessThan">
      <formula>0</formula>
    </cfRule>
  </conditionalFormatting>
  <conditionalFormatting sqref="G46:G47">
    <cfRule type="cellIs" dxfId="19" priority="3" operator="lessThan">
      <formula>0</formula>
    </cfRule>
  </conditionalFormatting>
  <conditionalFormatting sqref="J4:J10">
    <cfRule type="cellIs" dxfId="18" priority="26" operator="lessThan">
      <formula>0</formula>
    </cfRule>
  </conditionalFormatting>
  <conditionalFormatting sqref="J13:J16">
    <cfRule type="cellIs" dxfId="17" priority="15" operator="lessThan">
      <formula>0</formula>
    </cfRule>
  </conditionalFormatting>
  <conditionalFormatting sqref="J19:J21">
    <cfRule type="cellIs" dxfId="16" priority="14" operator="lessThan">
      <formula>0</formula>
    </cfRule>
  </conditionalFormatting>
  <conditionalFormatting sqref="J24:J32">
    <cfRule type="cellIs" dxfId="15" priority="13" operator="lessThan">
      <formula>0</formula>
    </cfRule>
  </conditionalFormatting>
  <conditionalFormatting sqref="J46:J47">
    <cfRule type="cellIs" dxfId="14" priority="2" operator="lessThan">
      <formula>0</formula>
    </cfRule>
  </conditionalFormatting>
  <conditionalFormatting sqref="M4:M10">
    <cfRule type="cellIs" dxfId="13" priority="25" operator="lessThan">
      <formula>0</formula>
    </cfRule>
  </conditionalFormatting>
  <conditionalFormatting sqref="M13:M16">
    <cfRule type="cellIs" dxfId="12" priority="21" operator="lessThan">
      <formula>0</formula>
    </cfRule>
  </conditionalFormatting>
  <conditionalFormatting sqref="M19:M21">
    <cfRule type="cellIs" dxfId="11" priority="11" operator="lessThan">
      <formula>0</formula>
    </cfRule>
  </conditionalFormatting>
  <conditionalFormatting sqref="M24:M32">
    <cfRule type="cellIs" dxfId="10" priority="10" operator="lessThan">
      <formula>0</formula>
    </cfRule>
  </conditionalFormatting>
  <conditionalFormatting sqref="M46:M47">
    <cfRule type="cellIs" dxfId="9" priority="9" operator="less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9746-0E8C-42FF-8AFB-797EAA5C6120}">
  <dimension ref="A1:AC53"/>
  <sheetViews>
    <sheetView zoomScale="80" zoomScaleNormal="80" workbookViewId="0">
      <pane ySplit="2" topLeftCell="A3" activePane="bottomLeft" state="frozen"/>
      <selection activeCell="A4" sqref="A4:A10"/>
      <selection pane="bottomLeft" activeCell="A4" sqref="A4:A10"/>
    </sheetView>
  </sheetViews>
  <sheetFormatPr defaultColWidth="9" defaultRowHeight="15.6" x14ac:dyDescent="0.3"/>
  <cols>
    <col min="1" max="1" width="40.109375" style="37" bestFit="1" customWidth="1"/>
    <col min="2" max="3" width="13.77734375" style="37" bestFit="1" customWidth="1"/>
    <col min="4" max="4" width="13.5546875" style="37" bestFit="1" customWidth="1"/>
    <col min="5" max="6" width="13.77734375" style="37" bestFit="1" customWidth="1"/>
    <col min="7" max="7" width="13.5546875" style="37" bestFit="1" customWidth="1"/>
    <col min="8" max="9" width="11.6640625" style="37" bestFit="1" customWidth="1"/>
    <col min="10" max="10" width="13.5546875" style="37" bestFit="1" customWidth="1"/>
    <col min="11" max="12" width="13.77734375" style="37" bestFit="1" customWidth="1"/>
    <col min="13" max="13" width="13.5546875" style="37" bestFit="1" customWidth="1"/>
    <col min="14" max="15" width="0" style="37" hidden="1" customWidth="1"/>
    <col min="16" max="16384" width="9" style="37"/>
  </cols>
  <sheetData>
    <row r="1" spans="1:15" x14ac:dyDescent="0.3">
      <c r="A1" s="87"/>
      <c r="B1" s="139" t="s">
        <v>0</v>
      </c>
      <c r="C1" s="140"/>
      <c r="D1" s="141"/>
      <c r="E1" s="298" t="s">
        <v>1</v>
      </c>
      <c r="F1" s="298"/>
      <c r="G1" s="298"/>
      <c r="H1" s="297" t="s">
        <v>2</v>
      </c>
      <c r="I1" s="298"/>
      <c r="J1" s="299"/>
      <c r="K1" s="140" t="s">
        <v>3</v>
      </c>
      <c r="L1" s="140"/>
      <c r="M1" s="141"/>
    </row>
    <row r="2" spans="1:15" x14ac:dyDescent="0.3">
      <c r="A2" s="38" t="s">
        <v>4</v>
      </c>
      <c r="B2" s="90" t="s">
        <v>5</v>
      </c>
      <c r="C2" s="40" t="s">
        <v>6</v>
      </c>
      <c r="D2" s="124" t="s">
        <v>7</v>
      </c>
      <c r="E2" s="39" t="s">
        <v>5</v>
      </c>
      <c r="F2" s="40" t="s">
        <v>6</v>
      </c>
      <c r="G2" s="125" t="s">
        <v>7</v>
      </c>
      <c r="H2" s="90" t="s">
        <v>5</v>
      </c>
      <c r="I2" s="40" t="s">
        <v>6</v>
      </c>
      <c r="J2" s="124" t="s">
        <v>7</v>
      </c>
      <c r="K2" s="39" t="s">
        <v>5</v>
      </c>
      <c r="L2" s="40" t="s">
        <v>6</v>
      </c>
      <c r="M2" s="124" t="s">
        <v>7</v>
      </c>
      <c r="N2" s="39" t="s">
        <v>5</v>
      </c>
      <c r="O2" s="40" t="s">
        <v>6</v>
      </c>
    </row>
    <row r="3" spans="1:15" x14ac:dyDescent="0.3">
      <c r="A3" s="41"/>
      <c r="B3" s="94"/>
      <c r="C3" s="95"/>
      <c r="D3" s="106"/>
      <c r="E3" s="95"/>
      <c r="F3" s="95"/>
      <c r="G3" s="126"/>
      <c r="H3" s="94"/>
      <c r="I3" s="95"/>
      <c r="J3" s="106"/>
      <c r="K3" s="95"/>
      <c r="L3" s="95"/>
      <c r="M3" s="106"/>
    </row>
    <row r="4" spans="1:15" x14ac:dyDescent="0.3">
      <c r="A4" s="41" t="s">
        <v>30</v>
      </c>
      <c r="B4" s="94">
        <v>75.526677744502877</v>
      </c>
      <c r="C4" s="95">
        <v>51.830187499999994</v>
      </c>
      <c r="D4" s="117">
        <f>IFERROR((C4-B4)/B4,0)</f>
        <v>-0.31374993515092892</v>
      </c>
      <c r="E4" s="94">
        <v>84.203887490162941</v>
      </c>
      <c r="F4" s="95">
        <v>58.906271799999999</v>
      </c>
      <c r="G4" s="117">
        <f>IFERROR((F4-E4)/E4,0)</f>
        <v>-0.30043287126284185</v>
      </c>
      <c r="H4" s="127">
        <v>0</v>
      </c>
      <c r="I4" s="95">
        <v>0</v>
      </c>
      <c r="J4" s="117">
        <f>IFERROR((I4-H4)/H4,0)</f>
        <v>0</v>
      </c>
      <c r="K4" s="95">
        <f>+B4+E4+H4</f>
        <v>159.73056523466582</v>
      </c>
      <c r="L4" s="95">
        <v>110.73645929999999</v>
      </c>
      <c r="M4" s="117">
        <f>IFERROR((L4-K4)/K4,0)</f>
        <v>-0.30672968484577046</v>
      </c>
      <c r="N4" s="42">
        <f>+E4+H4</f>
        <v>84.203887490162941</v>
      </c>
      <c r="O4" s="42">
        <f>+F4+I4</f>
        <v>58.906271799999999</v>
      </c>
    </row>
    <row r="5" spans="1:15" x14ac:dyDescent="0.3">
      <c r="A5" s="41" t="s">
        <v>8</v>
      </c>
      <c r="B5" s="94">
        <v>23.326474280493148</v>
      </c>
      <c r="C5" s="95">
        <v>22.020458400000006</v>
      </c>
      <c r="D5" s="117">
        <f t="shared" ref="D5:D11" si="0">IFERROR((C5-B5)/B5,0)</f>
        <v>-5.5988567530126168E-2</v>
      </c>
      <c r="E5" s="94">
        <v>40.606486714116514</v>
      </c>
      <c r="F5" s="95">
        <v>39.277211799999996</v>
      </c>
      <c r="G5" s="117">
        <f t="shared" ref="G5:G11" si="1">IFERROR((F5-E5)/E5,0)</f>
        <v>-3.2735531233594899E-2</v>
      </c>
      <c r="H5" s="127">
        <v>0</v>
      </c>
      <c r="I5" s="95">
        <v>0</v>
      </c>
      <c r="J5" s="117">
        <f t="shared" ref="J5:J11" si="2">IFERROR((I5-H5)/H5,0)</f>
        <v>0</v>
      </c>
      <c r="K5" s="95">
        <f t="shared" ref="K5:K10" si="3">+B5+E5+H5</f>
        <v>63.932960994609658</v>
      </c>
      <c r="L5" s="95">
        <v>61.297670199999999</v>
      </c>
      <c r="M5" s="117">
        <f t="shared" ref="M5:M11" si="4">IFERROR((L5-K5)/K5,0)</f>
        <v>-4.1219595551531658E-2</v>
      </c>
      <c r="N5" s="37">
        <f t="shared" ref="N5:N51" si="5">+E5+H5</f>
        <v>40.606486714116514</v>
      </c>
      <c r="O5" s="37">
        <f t="shared" ref="O5:O51" si="6">+F5+I5</f>
        <v>39.277211799999996</v>
      </c>
    </row>
    <row r="6" spans="1:15" x14ac:dyDescent="0.3">
      <c r="A6" s="41" t="s">
        <v>28</v>
      </c>
      <c r="B6" s="94">
        <v>11.646040391969406</v>
      </c>
      <c r="C6" s="95">
        <v>5.5901829999999997</v>
      </c>
      <c r="D6" s="117">
        <f t="shared" si="0"/>
        <v>-0.51999282057661911</v>
      </c>
      <c r="E6" s="94">
        <v>43.319159679225677</v>
      </c>
      <c r="F6" s="95">
        <v>34.313030900000001</v>
      </c>
      <c r="G6" s="117">
        <f t="shared" si="1"/>
        <v>-0.20790174246026971</v>
      </c>
      <c r="H6" s="127">
        <v>0</v>
      </c>
      <c r="I6" s="95">
        <v>0</v>
      </c>
      <c r="J6" s="117">
        <f t="shared" si="2"/>
        <v>0</v>
      </c>
      <c r="K6" s="95">
        <f t="shared" si="3"/>
        <v>54.965200071195085</v>
      </c>
      <c r="L6" s="95">
        <v>39.903213899999997</v>
      </c>
      <c r="M6" s="117">
        <f t="shared" si="4"/>
        <v>-0.27402767845265119</v>
      </c>
      <c r="N6" s="37">
        <f t="shared" si="5"/>
        <v>43.319159679225677</v>
      </c>
      <c r="O6" s="37">
        <f t="shared" si="6"/>
        <v>34.313030900000001</v>
      </c>
    </row>
    <row r="7" spans="1:15" x14ac:dyDescent="0.3">
      <c r="A7" s="41" t="s">
        <v>23</v>
      </c>
      <c r="B7" s="94">
        <v>10.3589248</v>
      </c>
      <c r="C7" s="95">
        <v>8.6699300000000008</v>
      </c>
      <c r="D7" s="117">
        <f t="shared" si="0"/>
        <v>-0.16304730776692186</v>
      </c>
      <c r="E7" s="94">
        <f>41.356224-H7</f>
        <v>29.000495999999998</v>
      </c>
      <c r="F7" s="95">
        <v>30.026979999999998</v>
      </c>
      <c r="G7" s="117">
        <f t="shared" si="1"/>
        <v>3.5395394616698973E-2</v>
      </c>
      <c r="H7" s="127">
        <v>12.355728000000001</v>
      </c>
      <c r="I7" s="95">
        <v>9.1682000000000006</v>
      </c>
      <c r="J7" s="117">
        <f t="shared" si="2"/>
        <v>-0.25797978071385191</v>
      </c>
      <c r="K7" s="95">
        <f t="shared" si="3"/>
        <v>51.715148799999994</v>
      </c>
      <c r="L7" s="95">
        <v>47.865110000000001</v>
      </c>
      <c r="M7" s="117">
        <f t="shared" si="4"/>
        <v>-7.4447021604624936E-2</v>
      </c>
      <c r="N7" s="37">
        <f t="shared" si="5"/>
        <v>41.356223999999997</v>
      </c>
      <c r="O7" s="37">
        <f t="shared" si="6"/>
        <v>39.195180000000001</v>
      </c>
    </row>
    <row r="8" spans="1:15" x14ac:dyDescent="0.3">
      <c r="A8" s="41" t="s">
        <v>36</v>
      </c>
      <c r="B8" s="94">
        <v>9.3244799999999994</v>
      </c>
      <c r="C8" s="95">
        <v>4.7512843000000009</v>
      </c>
      <c r="D8" s="117">
        <f t="shared" si="0"/>
        <v>-0.49045048088472482</v>
      </c>
      <c r="E8" s="94">
        <f>21.5485102162191-H8</f>
        <v>13.2394402162191</v>
      </c>
      <c r="F8" s="95">
        <v>1.2210000000000001</v>
      </c>
      <c r="G8" s="117">
        <f t="shared" si="1"/>
        <v>-0.90777555696771817</v>
      </c>
      <c r="H8" s="127">
        <v>8.3090700000000002</v>
      </c>
      <c r="I8" s="95">
        <v>7.1453857000000003</v>
      </c>
      <c r="J8" s="117">
        <f t="shared" si="2"/>
        <v>-0.14004988524588188</v>
      </c>
      <c r="K8" s="95">
        <f t="shared" si="3"/>
        <v>30.872990216219101</v>
      </c>
      <c r="L8" s="95">
        <v>13.11767</v>
      </c>
      <c r="M8" s="117">
        <f t="shared" si="4"/>
        <v>-0.57510853635717341</v>
      </c>
      <c r="N8" s="37">
        <f t="shared" si="5"/>
        <v>21.5485102162191</v>
      </c>
      <c r="O8" s="37">
        <f t="shared" si="6"/>
        <v>8.3663857000000004</v>
      </c>
    </row>
    <row r="9" spans="1:15" x14ac:dyDescent="0.3">
      <c r="A9" s="41" t="s">
        <v>18</v>
      </c>
      <c r="B9" s="94">
        <v>6.72</v>
      </c>
      <c r="C9" s="95">
        <v>4.6482953</v>
      </c>
      <c r="D9" s="117">
        <f t="shared" si="0"/>
        <v>-0.30828938988095234</v>
      </c>
      <c r="E9" s="94">
        <v>16.339093414473123</v>
      </c>
      <c r="F9" s="95">
        <v>13.887141300000003</v>
      </c>
      <c r="G9" s="117">
        <f t="shared" si="1"/>
        <v>-0.15006659502302538</v>
      </c>
      <c r="H9" s="127">
        <v>0</v>
      </c>
      <c r="I9" s="95">
        <v>0</v>
      </c>
      <c r="J9" s="117">
        <f t="shared" si="2"/>
        <v>0</v>
      </c>
      <c r="K9" s="95">
        <f t="shared" si="3"/>
        <v>23.059093414473121</v>
      </c>
      <c r="L9" s="95">
        <v>18.535436600000004</v>
      </c>
      <c r="M9" s="117">
        <f t="shared" si="4"/>
        <v>-0.19617669841407678</v>
      </c>
      <c r="N9" s="37">
        <f t="shared" si="5"/>
        <v>16.339093414473123</v>
      </c>
      <c r="O9" s="37">
        <f t="shared" si="6"/>
        <v>13.887141300000003</v>
      </c>
    </row>
    <row r="10" spans="1:15" x14ac:dyDescent="0.3">
      <c r="A10" s="41" t="s">
        <v>29</v>
      </c>
      <c r="B10" s="94">
        <v>0</v>
      </c>
      <c r="C10" s="95">
        <v>1.6121300000000001</v>
      </c>
      <c r="D10" s="117">
        <f t="shared" si="0"/>
        <v>0</v>
      </c>
      <c r="E10" s="94">
        <v>22.084653077759999</v>
      </c>
      <c r="F10" s="95">
        <v>17.969159999999999</v>
      </c>
      <c r="G10" s="117">
        <f t="shared" si="1"/>
        <v>-0.1863508139914791</v>
      </c>
      <c r="H10" s="127">
        <v>0</v>
      </c>
      <c r="I10" s="95">
        <v>0</v>
      </c>
      <c r="J10" s="117">
        <f t="shared" si="2"/>
        <v>0</v>
      </c>
      <c r="K10" s="95">
        <f t="shared" si="3"/>
        <v>22.084653077759999</v>
      </c>
      <c r="L10" s="95">
        <v>19.581289999999999</v>
      </c>
      <c r="M10" s="117">
        <f t="shared" si="4"/>
        <v>-0.11335306327636958</v>
      </c>
      <c r="N10" s="37">
        <f t="shared" si="5"/>
        <v>22.084653077759999</v>
      </c>
      <c r="O10" s="37">
        <f t="shared" si="6"/>
        <v>17.969159999999999</v>
      </c>
    </row>
    <row r="11" spans="1:15" x14ac:dyDescent="0.3">
      <c r="A11" s="43" t="s">
        <v>3</v>
      </c>
      <c r="B11" s="99">
        <v>136.90259721696543</v>
      </c>
      <c r="C11" s="100">
        <v>99.122468499999997</v>
      </c>
      <c r="D11" s="109">
        <f t="shared" si="0"/>
        <v>-0.27596356449754478</v>
      </c>
      <c r="E11" s="100">
        <v>269.45801459195729</v>
      </c>
      <c r="F11" s="100">
        <v>195.60079579999999</v>
      </c>
      <c r="G11" s="128">
        <f t="shared" si="1"/>
        <v>-0.27409546123094525</v>
      </c>
      <c r="H11" s="99">
        <v>20.664798000000001</v>
      </c>
      <c r="I11" s="100">
        <v>16.313585700000001</v>
      </c>
      <c r="J11" s="109">
        <f t="shared" si="2"/>
        <v>-0.21056156948642807</v>
      </c>
      <c r="K11" s="100">
        <f>SUM(K4:K10)</f>
        <v>406.36061180892278</v>
      </c>
      <c r="L11" s="100">
        <v>311.03685000000002</v>
      </c>
      <c r="M11" s="109">
        <f t="shared" si="4"/>
        <v>-0.23457923587767782</v>
      </c>
    </row>
    <row r="12" spans="1:15" x14ac:dyDescent="0.3">
      <c r="A12" s="41"/>
      <c r="B12" s="94"/>
      <c r="C12" s="95"/>
      <c r="D12" s="106"/>
      <c r="E12" s="95"/>
      <c r="F12" s="95"/>
      <c r="G12" s="126"/>
      <c r="H12" s="94"/>
      <c r="I12" s="95"/>
      <c r="J12" s="106"/>
      <c r="K12" s="95"/>
      <c r="L12" s="95"/>
      <c r="M12" s="106"/>
      <c r="N12" s="37">
        <f t="shared" si="5"/>
        <v>0</v>
      </c>
      <c r="O12" s="37">
        <f t="shared" si="6"/>
        <v>0</v>
      </c>
    </row>
    <row r="13" spans="1:15" x14ac:dyDescent="0.3">
      <c r="A13" s="41" t="s">
        <v>26</v>
      </c>
      <c r="B13" s="94">
        <v>90.769700406309738</v>
      </c>
      <c r="C13" s="95">
        <v>84.395544099999995</v>
      </c>
      <c r="D13" s="117">
        <f t="shared" ref="D13:D19" si="7">IFERROR((C13-B13)/B13,0)</f>
        <v>-7.0223392583398367E-2</v>
      </c>
      <c r="E13" s="94">
        <v>0</v>
      </c>
      <c r="F13" s="95">
        <v>0.29682569999999997</v>
      </c>
      <c r="G13" s="117">
        <f t="shared" ref="G13:G19" si="8">IFERROR((F13-E13)/E13,0)</f>
        <v>0</v>
      </c>
      <c r="H13" s="127">
        <v>0</v>
      </c>
      <c r="I13" s="95">
        <v>0</v>
      </c>
      <c r="J13" s="117">
        <f t="shared" ref="J13:J19" si="9">IFERROR((I13-H13)/H13,0)</f>
        <v>0</v>
      </c>
      <c r="K13" s="95">
        <f t="shared" ref="K13:K16" si="10">+B13+E13+H13</f>
        <v>90.769700406309738</v>
      </c>
      <c r="L13" s="95">
        <v>84.692369799999994</v>
      </c>
      <c r="M13" s="117">
        <f t="shared" ref="M13:M19" si="11">IFERROR((L13-K13)/K13,0)</f>
        <v>-6.6953295858705797E-2</v>
      </c>
      <c r="N13" s="37">
        <f t="shared" si="5"/>
        <v>0</v>
      </c>
      <c r="O13" s="37">
        <f t="shared" si="6"/>
        <v>0.29682569999999997</v>
      </c>
    </row>
    <row r="14" spans="1:15" x14ac:dyDescent="0.3">
      <c r="A14" s="41" t="s">
        <v>35</v>
      </c>
      <c r="B14" s="94">
        <v>11.355598908540472</v>
      </c>
      <c r="C14" s="95">
        <v>11.792299999999997</v>
      </c>
      <c r="D14" s="117">
        <f t="shared" si="7"/>
        <v>3.845689645933914E-2</v>
      </c>
      <c r="E14" s="94">
        <v>0</v>
      </c>
      <c r="F14" s="95">
        <v>0</v>
      </c>
      <c r="G14" s="117">
        <f t="shared" si="8"/>
        <v>0</v>
      </c>
      <c r="H14" s="127">
        <v>0</v>
      </c>
      <c r="I14" s="95">
        <v>0</v>
      </c>
      <c r="J14" s="117">
        <f t="shared" si="9"/>
        <v>0</v>
      </c>
      <c r="K14" s="95">
        <f t="shared" si="10"/>
        <v>11.355598908540472</v>
      </c>
      <c r="L14" s="95">
        <v>11.792299999999997</v>
      </c>
      <c r="M14" s="117">
        <f t="shared" si="11"/>
        <v>3.845689645933914E-2</v>
      </c>
      <c r="N14" s="37">
        <f t="shared" si="5"/>
        <v>0</v>
      </c>
      <c r="O14" s="37">
        <f t="shared" si="6"/>
        <v>0</v>
      </c>
    </row>
    <row r="15" spans="1:15" x14ac:dyDescent="0.3">
      <c r="A15" s="41" t="s">
        <v>17</v>
      </c>
      <c r="B15" s="94">
        <v>11.34</v>
      </c>
      <c r="C15" s="95">
        <v>9.5897700999999955</v>
      </c>
      <c r="D15" s="117">
        <f t="shared" si="7"/>
        <v>-0.15434126102292808</v>
      </c>
      <c r="E15" s="94">
        <v>0</v>
      </c>
      <c r="F15" s="95">
        <v>0</v>
      </c>
      <c r="G15" s="117">
        <f t="shared" si="8"/>
        <v>0</v>
      </c>
      <c r="H15" s="127">
        <v>0</v>
      </c>
      <c r="I15" s="95">
        <v>0</v>
      </c>
      <c r="J15" s="117">
        <f t="shared" si="9"/>
        <v>0</v>
      </c>
      <c r="K15" s="95">
        <f t="shared" si="10"/>
        <v>11.34</v>
      </c>
      <c r="L15" s="95">
        <v>9.5897700999999955</v>
      </c>
      <c r="M15" s="117">
        <f t="shared" si="11"/>
        <v>-0.15434126102292808</v>
      </c>
      <c r="N15" s="37">
        <f t="shared" si="5"/>
        <v>0</v>
      </c>
      <c r="O15" s="37">
        <f t="shared" si="6"/>
        <v>0</v>
      </c>
    </row>
    <row r="16" spans="1:15" x14ac:dyDescent="0.3">
      <c r="A16" s="41" t="s">
        <v>33</v>
      </c>
      <c r="B16" s="94">
        <v>6.9751882199999997</v>
      </c>
      <c r="C16" s="95">
        <v>4.9856123999999999</v>
      </c>
      <c r="D16" s="117">
        <f t="shared" si="7"/>
        <v>-0.28523614807916964</v>
      </c>
      <c r="E16" s="94">
        <v>0.35</v>
      </c>
      <c r="F16" s="95">
        <v>0.15305750000000001</v>
      </c>
      <c r="G16" s="117">
        <f t="shared" si="8"/>
        <v>-0.56269285714285711</v>
      </c>
      <c r="H16" s="127">
        <v>0</v>
      </c>
      <c r="I16" s="95">
        <v>0</v>
      </c>
      <c r="J16" s="117">
        <f t="shared" si="9"/>
        <v>0</v>
      </c>
      <c r="K16" s="95">
        <f t="shared" si="10"/>
        <v>7.3251882199999994</v>
      </c>
      <c r="L16" s="95">
        <v>5.1386699</v>
      </c>
      <c r="M16" s="117">
        <f t="shared" si="11"/>
        <v>-0.29849312459031935</v>
      </c>
      <c r="N16" s="37">
        <f t="shared" si="5"/>
        <v>0.35</v>
      </c>
      <c r="O16" s="37">
        <f t="shared" si="6"/>
        <v>0.15305750000000001</v>
      </c>
    </row>
    <row r="17" spans="1:15" x14ac:dyDescent="0.3">
      <c r="A17" s="43" t="s">
        <v>3</v>
      </c>
      <c r="B17" s="99">
        <v>120.44048753485021</v>
      </c>
      <c r="C17" s="99">
        <v>110.76322659999998</v>
      </c>
      <c r="D17" s="108">
        <f t="shared" si="7"/>
        <v>-8.0348902042181189E-2</v>
      </c>
      <c r="E17" s="99">
        <v>0.35</v>
      </c>
      <c r="F17" s="99">
        <v>0.44988319999999998</v>
      </c>
      <c r="G17" s="108">
        <f t="shared" si="8"/>
        <v>0.28538057142857148</v>
      </c>
      <c r="H17" s="99">
        <v>0</v>
      </c>
      <c r="I17" s="100">
        <v>0</v>
      </c>
      <c r="J17" s="109">
        <f t="shared" si="9"/>
        <v>0</v>
      </c>
      <c r="K17" s="99">
        <f>SUM(K13:K16)</f>
        <v>120.79048753485021</v>
      </c>
      <c r="L17" s="99">
        <v>111.21310979999998</v>
      </c>
      <c r="M17" s="129">
        <f t="shared" si="11"/>
        <v>-7.9289171939859807E-2</v>
      </c>
    </row>
    <row r="18" spans="1:15" x14ac:dyDescent="0.3">
      <c r="A18" s="41"/>
      <c r="B18" s="94"/>
      <c r="C18" s="95"/>
      <c r="D18" s="106">
        <f t="shared" si="7"/>
        <v>0</v>
      </c>
      <c r="E18" s="95"/>
      <c r="F18" s="95"/>
      <c r="G18" s="126">
        <f t="shared" si="8"/>
        <v>0</v>
      </c>
      <c r="H18" s="94"/>
      <c r="I18" s="95">
        <v>0</v>
      </c>
      <c r="J18" s="106">
        <f t="shared" si="9"/>
        <v>0</v>
      </c>
      <c r="K18" s="95"/>
      <c r="L18" s="95"/>
      <c r="M18" s="106">
        <f t="shared" si="11"/>
        <v>0</v>
      </c>
      <c r="N18" s="37">
        <f t="shared" si="5"/>
        <v>0</v>
      </c>
      <c r="O18" s="37">
        <f t="shared" si="6"/>
        <v>0</v>
      </c>
    </row>
    <row r="19" spans="1:15" x14ac:dyDescent="0.3">
      <c r="A19" s="41" t="s">
        <v>9</v>
      </c>
      <c r="B19" s="94">
        <v>5.5658739095363288</v>
      </c>
      <c r="C19" s="95">
        <v>4.8724884000000008</v>
      </c>
      <c r="D19" s="117">
        <f t="shared" si="7"/>
        <v>-0.12457801251090346</v>
      </c>
      <c r="E19" s="94">
        <v>3.6765247961545526</v>
      </c>
      <c r="F19" s="95">
        <v>1.8622715999999997</v>
      </c>
      <c r="G19" s="117">
        <f t="shared" si="8"/>
        <v>-0.49346959336495277</v>
      </c>
      <c r="H19" s="127">
        <v>0</v>
      </c>
      <c r="I19" s="95">
        <v>0</v>
      </c>
      <c r="J19" s="117">
        <f t="shared" si="9"/>
        <v>0</v>
      </c>
      <c r="K19" s="95">
        <f t="shared" ref="K19:K21" si="12">+B19+E19+H19</f>
        <v>9.2423987056908814</v>
      </c>
      <c r="L19" s="95">
        <v>6.7347600000000005</v>
      </c>
      <c r="M19" s="117">
        <f t="shared" si="11"/>
        <v>-0.27131903584151118</v>
      </c>
      <c r="N19" s="37">
        <f t="shared" si="5"/>
        <v>3.6765247961545526</v>
      </c>
      <c r="O19" s="37">
        <f t="shared" si="6"/>
        <v>1.8622715999999997</v>
      </c>
    </row>
    <row r="20" spans="1:15" x14ac:dyDescent="0.3">
      <c r="A20" s="41" t="s">
        <v>31</v>
      </c>
      <c r="B20" s="94">
        <v>6.9975400000000008</v>
      </c>
      <c r="C20" s="95">
        <v>9.5404101000000026</v>
      </c>
      <c r="D20" s="117"/>
      <c r="E20" s="94">
        <v>0</v>
      </c>
      <c r="F20" s="95">
        <v>0</v>
      </c>
      <c r="G20" s="117"/>
      <c r="H20" s="127">
        <v>0</v>
      </c>
      <c r="I20" s="95">
        <v>0</v>
      </c>
      <c r="J20" s="117"/>
      <c r="K20" s="95">
        <f t="shared" si="12"/>
        <v>6.9975400000000008</v>
      </c>
      <c r="L20" s="95">
        <v>9.5404101000000026</v>
      </c>
      <c r="M20" s="117"/>
      <c r="N20" s="37">
        <f t="shared" si="5"/>
        <v>0</v>
      </c>
      <c r="O20" s="37">
        <f t="shared" si="6"/>
        <v>0</v>
      </c>
    </row>
    <row r="21" spans="1:15" x14ac:dyDescent="0.3">
      <c r="A21" s="41" t="s">
        <v>22</v>
      </c>
      <c r="B21" s="94">
        <v>2.76</v>
      </c>
      <c r="C21" s="95">
        <v>2.62039</v>
      </c>
      <c r="D21" s="117">
        <f t="shared" ref="D21:D24" si="13">IFERROR((C21-B21)/B21,0)</f>
        <v>-5.0583333333333258E-2</v>
      </c>
      <c r="E21" s="94">
        <v>3.6012512797920664</v>
      </c>
      <c r="F21" s="95">
        <v>0.11812</v>
      </c>
      <c r="G21" s="117">
        <f t="shared" ref="G21:G24" si="14">IFERROR((F21-E21)/E21,0)</f>
        <v>-0.9672002893375381</v>
      </c>
      <c r="H21" s="127">
        <v>0</v>
      </c>
      <c r="I21" s="95">
        <v>0</v>
      </c>
      <c r="J21" s="117">
        <f t="shared" ref="J21:J24" si="15">IFERROR((I21-H21)/H21,0)</f>
        <v>0</v>
      </c>
      <c r="K21" s="95">
        <f t="shared" si="12"/>
        <v>6.3612512797920662</v>
      </c>
      <c r="L21" s="95">
        <v>2.7385099999999998</v>
      </c>
      <c r="M21" s="117">
        <f t="shared" ref="M21:M24" si="16">IFERROR((L21-K21)/K21,0)</f>
        <v>-0.56950136387482642</v>
      </c>
      <c r="N21" s="37">
        <f t="shared" si="5"/>
        <v>3.6012512797920664</v>
      </c>
      <c r="O21" s="37">
        <f t="shared" si="6"/>
        <v>0.11812</v>
      </c>
    </row>
    <row r="22" spans="1:15" x14ac:dyDescent="0.3">
      <c r="A22" s="43" t="s">
        <v>3</v>
      </c>
      <c r="B22" s="99">
        <v>15.323413909536329</v>
      </c>
      <c r="C22" s="99">
        <v>17.033288500000005</v>
      </c>
      <c r="D22" s="108">
        <f t="shared" si="13"/>
        <v>0.11158574718128295</v>
      </c>
      <c r="E22" s="99">
        <v>7.277776075946619</v>
      </c>
      <c r="F22" s="99">
        <v>1.9803915999999997</v>
      </c>
      <c r="G22" s="108">
        <f t="shared" si="14"/>
        <v>-0.72788506003292897</v>
      </c>
      <c r="H22" s="99">
        <v>0</v>
      </c>
      <c r="I22" s="100">
        <v>0</v>
      </c>
      <c r="J22" s="109">
        <f t="shared" si="15"/>
        <v>0</v>
      </c>
      <c r="K22" s="99">
        <f>SUM(K19:K21)</f>
        <v>22.601189985482947</v>
      </c>
      <c r="L22" s="99">
        <v>19.013680100000002</v>
      </c>
      <c r="M22" s="129">
        <f t="shared" si="16"/>
        <v>-0.15873101760514607</v>
      </c>
    </row>
    <row r="23" spans="1:15" x14ac:dyDescent="0.3">
      <c r="A23" s="41"/>
      <c r="B23" s="94"/>
      <c r="C23" s="95"/>
      <c r="D23" s="106">
        <f t="shared" si="13"/>
        <v>0</v>
      </c>
      <c r="E23" s="95"/>
      <c r="F23" s="95"/>
      <c r="G23" s="126">
        <f t="shared" si="14"/>
        <v>0</v>
      </c>
      <c r="H23" s="94"/>
      <c r="I23" s="95"/>
      <c r="J23" s="106">
        <f t="shared" si="15"/>
        <v>0</v>
      </c>
      <c r="K23" s="95"/>
      <c r="L23" s="95"/>
      <c r="M23" s="106">
        <f t="shared" si="16"/>
        <v>0</v>
      </c>
      <c r="N23" s="37">
        <f t="shared" si="5"/>
        <v>0</v>
      </c>
      <c r="O23" s="37">
        <f t="shared" si="6"/>
        <v>0</v>
      </c>
    </row>
    <row r="24" spans="1:15" x14ac:dyDescent="0.3">
      <c r="A24" s="41" t="s">
        <v>24</v>
      </c>
      <c r="B24" s="94">
        <v>13.681558317399618</v>
      </c>
      <c r="C24" s="95">
        <v>17.120200000000001</v>
      </c>
      <c r="D24" s="117">
        <f t="shared" si="13"/>
        <v>0.25133406610760595</v>
      </c>
      <c r="E24" s="94">
        <v>0</v>
      </c>
      <c r="F24" s="95">
        <v>0</v>
      </c>
      <c r="G24" s="117">
        <f t="shared" si="14"/>
        <v>0</v>
      </c>
      <c r="H24" s="127">
        <v>0</v>
      </c>
      <c r="I24" s="95">
        <v>0</v>
      </c>
      <c r="J24" s="117">
        <f t="shared" si="15"/>
        <v>0</v>
      </c>
      <c r="K24" s="95">
        <f t="shared" ref="K24:K32" si="17">+B24+E24+H24</f>
        <v>13.681558317399618</v>
      </c>
      <c r="L24" s="95">
        <v>17.120200000000001</v>
      </c>
      <c r="M24" s="117">
        <f t="shared" si="16"/>
        <v>0.25133406610760595</v>
      </c>
      <c r="N24" s="37">
        <f t="shared" si="5"/>
        <v>0</v>
      </c>
      <c r="O24" s="37">
        <f t="shared" si="6"/>
        <v>0</v>
      </c>
    </row>
    <row r="25" spans="1:15" x14ac:dyDescent="0.3">
      <c r="A25" s="41" t="s">
        <v>25</v>
      </c>
      <c r="B25" s="94">
        <v>13.116869999999997</v>
      </c>
      <c r="C25" s="95">
        <v>10.582850000000001</v>
      </c>
      <c r="D25" s="117"/>
      <c r="E25" s="94">
        <v>0</v>
      </c>
      <c r="F25" s="95">
        <v>0</v>
      </c>
      <c r="G25" s="117"/>
      <c r="H25" s="127">
        <v>0</v>
      </c>
      <c r="I25" s="95">
        <v>0</v>
      </c>
      <c r="J25" s="117"/>
      <c r="K25" s="95">
        <f t="shared" si="17"/>
        <v>13.116869999999997</v>
      </c>
      <c r="L25" s="95">
        <v>10.582850000000001</v>
      </c>
      <c r="M25" s="117"/>
      <c r="N25" s="37">
        <f t="shared" si="5"/>
        <v>0</v>
      </c>
      <c r="O25" s="37">
        <f t="shared" si="6"/>
        <v>0</v>
      </c>
    </row>
    <row r="26" spans="1:15" x14ac:dyDescent="0.3">
      <c r="A26" s="41" t="s">
        <v>14</v>
      </c>
      <c r="B26" s="94">
        <v>8.9629554254302093</v>
      </c>
      <c r="C26" s="95">
        <v>13.063549999999999</v>
      </c>
      <c r="D26" s="117">
        <f t="shared" ref="D26:D34" si="18">IFERROR((C26-B26)/B26,0)</f>
        <v>0.457504738106289</v>
      </c>
      <c r="E26" s="94">
        <v>3.928869901210962</v>
      </c>
      <c r="F26" s="95">
        <v>1.5680000000000001</v>
      </c>
      <c r="G26" s="117">
        <f t="shared" ref="G26:G34" si="19">IFERROR((F26-E26)/E26,0)</f>
        <v>-0.60090304860522137</v>
      </c>
      <c r="H26" s="127">
        <v>0</v>
      </c>
      <c r="I26" s="95">
        <v>0</v>
      </c>
      <c r="J26" s="117">
        <f t="shared" ref="J26:J34" si="20">IFERROR((I26-H26)/H26,0)</f>
        <v>0</v>
      </c>
      <c r="K26" s="95">
        <f t="shared" si="17"/>
        <v>12.891825326641172</v>
      </c>
      <c r="L26" s="95">
        <v>14.631549999999999</v>
      </c>
      <c r="M26" s="117">
        <f t="shared" ref="M26:M34" si="21">IFERROR((L26-K26)/K26,0)</f>
        <v>0.13494789366744345</v>
      </c>
      <c r="N26" s="37">
        <f t="shared" si="5"/>
        <v>3.928869901210962</v>
      </c>
      <c r="O26" s="37">
        <f t="shared" si="6"/>
        <v>1.5680000000000001</v>
      </c>
    </row>
    <row r="27" spans="1:15" x14ac:dyDescent="0.3">
      <c r="A27" s="41" t="s">
        <v>27</v>
      </c>
      <c r="B27" s="94">
        <v>8.7326322498406626</v>
      </c>
      <c r="C27" s="95">
        <v>6.3539700000000003</v>
      </c>
      <c r="D27" s="117">
        <f t="shared" si="18"/>
        <v>-0.27238777287158333</v>
      </c>
      <c r="E27" s="94">
        <v>0</v>
      </c>
      <c r="F27" s="95">
        <v>0</v>
      </c>
      <c r="G27" s="117">
        <f t="shared" si="19"/>
        <v>0</v>
      </c>
      <c r="H27" s="127">
        <v>0</v>
      </c>
      <c r="I27" s="95">
        <v>0</v>
      </c>
      <c r="J27" s="117">
        <f t="shared" si="20"/>
        <v>0</v>
      </c>
      <c r="K27" s="95">
        <f t="shared" si="17"/>
        <v>8.7326322498406626</v>
      </c>
      <c r="L27" s="95">
        <v>6.3539700000000003</v>
      </c>
      <c r="M27" s="117">
        <f t="shared" si="21"/>
        <v>-0.27238777287158333</v>
      </c>
      <c r="N27" s="37">
        <f t="shared" si="5"/>
        <v>0</v>
      </c>
      <c r="O27" s="37">
        <f t="shared" si="6"/>
        <v>0</v>
      </c>
    </row>
    <row r="28" spans="1:15" x14ac:dyDescent="0.3">
      <c r="A28" s="41" t="s">
        <v>12</v>
      </c>
      <c r="B28" s="94">
        <v>4.7588333333333317</v>
      </c>
      <c r="C28" s="95">
        <v>3.6479300000000001</v>
      </c>
      <c r="D28" s="117">
        <f t="shared" si="18"/>
        <v>-0.2334402689734876</v>
      </c>
      <c r="E28" s="94">
        <v>0.84000000000000019</v>
      </c>
      <c r="F28" s="95">
        <v>0.3</v>
      </c>
      <c r="G28" s="117">
        <f t="shared" si="19"/>
        <v>-0.64285714285714302</v>
      </c>
      <c r="H28" s="127">
        <v>0</v>
      </c>
      <c r="I28" s="95">
        <v>0</v>
      </c>
      <c r="J28" s="117">
        <f t="shared" si="20"/>
        <v>0</v>
      </c>
      <c r="K28" s="95">
        <f t="shared" si="17"/>
        <v>5.5988333333333316</v>
      </c>
      <c r="L28" s="95">
        <v>3.9479299999999999</v>
      </c>
      <c r="M28" s="117">
        <f t="shared" si="21"/>
        <v>-0.29486559699937465</v>
      </c>
      <c r="N28" s="37">
        <f t="shared" si="5"/>
        <v>0.84000000000000019</v>
      </c>
      <c r="O28" s="37">
        <f t="shared" si="6"/>
        <v>0.3</v>
      </c>
    </row>
    <row r="29" spans="1:15" x14ac:dyDescent="0.3">
      <c r="A29" s="41" t="s">
        <v>37</v>
      </c>
      <c r="B29" s="94">
        <v>5.0904000000000007</v>
      </c>
      <c r="C29" s="95">
        <v>3.6261000000000001</v>
      </c>
      <c r="D29" s="117">
        <f t="shared" si="18"/>
        <v>-0.28765912305516272</v>
      </c>
      <c r="E29" s="94">
        <v>0</v>
      </c>
      <c r="F29" s="95">
        <v>0</v>
      </c>
      <c r="G29" s="117">
        <f t="shared" si="19"/>
        <v>0</v>
      </c>
      <c r="H29" s="127">
        <v>0</v>
      </c>
      <c r="I29" s="95">
        <v>0</v>
      </c>
      <c r="J29" s="117">
        <f t="shared" si="20"/>
        <v>0</v>
      </c>
      <c r="K29" s="95">
        <f t="shared" si="17"/>
        <v>5.0904000000000007</v>
      </c>
      <c r="L29" s="95">
        <v>3.6261000000000001</v>
      </c>
      <c r="M29" s="117">
        <f t="shared" si="21"/>
        <v>-0.28765912305516272</v>
      </c>
      <c r="N29" s="37">
        <f t="shared" si="5"/>
        <v>0</v>
      </c>
      <c r="O29" s="37">
        <f t="shared" si="6"/>
        <v>0</v>
      </c>
    </row>
    <row r="30" spans="1:15" x14ac:dyDescent="0.3">
      <c r="A30" s="41" t="s">
        <v>10</v>
      </c>
      <c r="B30" s="94">
        <v>4.3278664754620779</v>
      </c>
      <c r="C30" s="95">
        <v>4.8650500000000001</v>
      </c>
      <c r="D30" s="117">
        <f t="shared" si="18"/>
        <v>0.12412201891708503</v>
      </c>
      <c r="E30" s="94">
        <v>0</v>
      </c>
      <c r="F30" s="95">
        <v>0</v>
      </c>
      <c r="G30" s="117">
        <f t="shared" si="19"/>
        <v>0</v>
      </c>
      <c r="H30" s="127">
        <v>0</v>
      </c>
      <c r="I30" s="95">
        <v>0</v>
      </c>
      <c r="J30" s="117">
        <f t="shared" si="20"/>
        <v>0</v>
      </c>
      <c r="K30" s="95">
        <f t="shared" si="17"/>
        <v>4.3278664754620779</v>
      </c>
      <c r="L30" s="95">
        <v>4.8650500000000001</v>
      </c>
      <c r="M30" s="117">
        <f t="shared" si="21"/>
        <v>0.12412201891708503</v>
      </c>
      <c r="N30" s="37">
        <f t="shared" si="5"/>
        <v>0</v>
      </c>
      <c r="O30" s="37">
        <f t="shared" si="6"/>
        <v>0</v>
      </c>
    </row>
    <row r="31" spans="1:15" x14ac:dyDescent="0.3">
      <c r="A31" s="41" t="s">
        <v>45</v>
      </c>
      <c r="B31" s="94">
        <v>3.96</v>
      </c>
      <c r="C31" s="95">
        <v>8.6871500000000008</v>
      </c>
      <c r="D31" s="117">
        <f t="shared" si="18"/>
        <v>1.1937247474747477</v>
      </c>
      <c r="E31" s="94">
        <v>0</v>
      </c>
      <c r="F31" s="95">
        <v>0</v>
      </c>
      <c r="G31" s="117">
        <f t="shared" si="19"/>
        <v>0</v>
      </c>
      <c r="H31" s="127">
        <v>0</v>
      </c>
      <c r="I31" s="95">
        <v>0</v>
      </c>
      <c r="J31" s="117">
        <f t="shared" si="20"/>
        <v>0</v>
      </c>
      <c r="K31" s="95">
        <f t="shared" si="17"/>
        <v>3.96</v>
      </c>
      <c r="L31" s="95">
        <v>8.6871500000000008</v>
      </c>
      <c r="M31" s="117">
        <f t="shared" si="21"/>
        <v>1.1937247474747477</v>
      </c>
      <c r="N31" s="37">
        <f t="shared" si="5"/>
        <v>0</v>
      </c>
      <c r="O31" s="37">
        <f t="shared" si="6"/>
        <v>0</v>
      </c>
    </row>
    <row r="32" spans="1:15" x14ac:dyDescent="0.3">
      <c r="A32" s="41" t="s">
        <v>15</v>
      </c>
      <c r="B32" s="94">
        <v>3.3005439770554497</v>
      </c>
      <c r="C32" s="95">
        <v>5.9034500000000003</v>
      </c>
      <c r="D32" s="117">
        <f t="shared" si="18"/>
        <v>0.78862940201351583</v>
      </c>
      <c r="E32" s="94">
        <v>0</v>
      </c>
      <c r="F32" s="95">
        <v>0</v>
      </c>
      <c r="G32" s="117">
        <f t="shared" si="19"/>
        <v>0</v>
      </c>
      <c r="H32" s="127">
        <v>0</v>
      </c>
      <c r="I32" s="95">
        <v>0</v>
      </c>
      <c r="J32" s="117">
        <f t="shared" si="20"/>
        <v>0</v>
      </c>
      <c r="K32" s="95">
        <f t="shared" si="17"/>
        <v>3.3005439770554497</v>
      </c>
      <c r="L32" s="95">
        <v>5.9034500000000003</v>
      </c>
      <c r="M32" s="117">
        <f t="shared" si="21"/>
        <v>0.78862940201351583</v>
      </c>
      <c r="N32" s="37">
        <f t="shared" si="5"/>
        <v>0</v>
      </c>
      <c r="O32" s="37">
        <f t="shared" si="6"/>
        <v>0</v>
      </c>
    </row>
    <row r="33" spans="1:15" x14ac:dyDescent="0.3">
      <c r="A33" s="43" t="s">
        <v>3</v>
      </c>
      <c r="B33" s="99">
        <v>65.93165977852135</v>
      </c>
      <c r="C33" s="99">
        <v>73.850250000000017</v>
      </c>
      <c r="D33" s="108">
        <f t="shared" si="18"/>
        <v>0.12010300132104845</v>
      </c>
      <c r="E33" s="99">
        <v>4.7688699012109623</v>
      </c>
      <c r="F33" s="99">
        <v>1.8680000000000001</v>
      </c>
      <c r="G33" s="108">
        <f t="shared" si="19"/>
        <v>-0.60829294178781057</v>
      </c>
      <c r="H33" s="99">
        <v>0</v>
      </c>
      <c r="I33" s="100">
        <v>0</v>
      </c>
      <c r="J33" s="109">
        <f t="shared" si="20"/>
        <v>0</v>
      </c>
      <c r="K33" s="99">
        <f>SUM(K24:K32)</f>
        <v>70.700529679732313</v>
      </c>
      <c r="L33" s="99">
        <v>75.718250000000012</v>
      </c>
      <c r="M33" s="129">
        <f t="shared" si="21"/>
        <v>7.0971467158698343E-2</v>
      </c>
    </row>
    <row r="34" spans="1:15" x14ac:dyDescent="0.3">
      <c r="A34" s="41"/>
      <c r="B34" s="94"/>
      <c r="C34" s="95"/>
      <c r="D34" s="106">
        <f t="shared" si="18"/>
        <v>0</v>
      </c>
      <c r="E34" s="95"/>
      <c r="F34" s="95"/>
      <c r="G34" s="126">
        <f t="shared" si="19"/>
        <v>0</v>
      </c>
      <c r="H34" s="94"/>
      <c r="I34" s="95"/>
      <c r="J34" s="106">
        <f t="shared" si="20"/>
        <v>0</v>
      </c>
      <c r="K34" s="95"/>
      <c r="L34" s="95"/>
      <c r="M34" s="106">
        <f t="shared" si="21"/>
        <v>0</v>
      </c>
      <c r="N34" s="37">
        <f t="shared" si="5"/>
        <v>0</v>
      </c>
      <c r="O34" s="37">
        <f t="shared" si="6"/>
        <v>0</v>
      </c>
    </row>
    <row r="35" spans="1:15" x14ac:dyDescent="0.3">
      <c r="A35" s="41" t="s">
        <v>38</v>
      </c>
      <c r="B35" s="94">
        <v>11.77439053537285</v>
      </c>
      <c r="C35" s="95">
        <v>9.0852199999999996</v>
      </c>
      <c r="D35" s="117"/>
      <c r="E35" s="94">
        <v>0</v>
      </c>
      <c r="F35" s="95">
        <v>0</v>
      </c>
      <c r="G35" s="117"/>
      <c r="H35" s="127">
        <v>0</v>
      </c>
      <c r="I35" s="95">
        <v>0</v>
      </c>
      <c r="J35" s="117"/>
      <c r="K35" s="95">
        <f t="shared" ref="K35:K42" si="22">+B35+E35+H35</f>
        <v>11.77439053537285</v>
      </c>
      <c r="L35" s="95">
        <v>9.0852199999999996</v>
      </c>
      <c r="M35" s="117"/>
      <c r="N35" s="37">
        <f t="shared" si="5"/>
        <v>0</v>
      </c>
      <c r="O35" s="37">
        <f t="shared" si="6"/>
        <v>0</v>
      </c>
    </row>
    <row r="36" spans="1:15" x14ac:dyDescent="0.3">
      <c r="A36" s="41" t="s">
        <v>16</v>
      </c>
      <c r="B36" s="94">
        <v>9.5309512428298273</v>
      </c>
      <c r="C36" s="95">
        <v>10.848990000000001</v>
      </c>
      <c r="D36" s="117">
        <f t="shared" ref="D36:D45" si="23">IFERROR((C36-B36)/B36,0)</f>
        <v>0.13829036825277424</v>
      </c>
      <c r="E36" s="94">
        <v>0</v>
      </c>
      <c r="F36" s="95">
        <v>0</v>
      </c>
      <c r="G36" s="117">
        <f t="shared" ref="G36:G45" si="24">IFERROR((F36-E36)/E36,0)</f>
        <v>0</v>
      </c>
      <c r="H36" s="127">
        <v>0</v>
      </c>
      <c r="I36" s="95">
        <v>0</v>
      </c>
      <c r="J36" s="117">
        <f t="shared" ref="J36:J45" si="25">IFERROR((I36-H36)/H36,0)</f>
        <v>0</v>
      </c>
      <c r="K36" s="95">
        <f t="shared" si="22"/>
        <v>9.5309512428298273</v>
      </c>
      <c r="L36" s="95">
        <v>10.848990000000001</v>
      </c>
      <c r="M36" s="117">
        <f t="shared" ref="M36:M44" si="26">IFERROR((L36-K36)/K36,0)</f>
        <v>0.13829036825277424</v>
      </c>
      <c r="N36" s="37">
        <f t="shared" si="5"/>
        <v>0</v>
      </c>
      <c r="O36" s="37">
        <f t="shared" si="6"/>
        <v>0</v>
      </c>
    </row>
    <row r="37" spans="1:15" x14ac:dyDescent="0.3">
      <c r="A37" s="41" t="s">
        <v>39</v>
      </c>
      <c r="B37" s="94">
        <v>6.5519999999999996</v>
      </c>
      <c r="C37" s="95">
        <v>4.2154001000000001</v>
      </c>
      <c r="D37" s="117">
        <f t="shared" si="23"/>
        <v>-0.35662391636141633</v>
      </c>
      <c r="E37" s="94">
        <v>0</v>
      </c>
      <c r="F37" s="95">
        <v>9.3990000000000013E-4</v>
      </c>
      <c r="G37" s="117">
        <f t="shared" si="24"/>
        <v>0</v>
      </c>
      <c r="H37" s="127">
        <v>0</v>
      </c>
      <c r="I37" s="95">
        <v>0</v>
      </c>
      <c r="J37" s="117">
        <f t="shared" si="25"/>
        <v>0</v>
      </c>
      <c r="K37" s="95">
        <f t="shared" si="22"/>
        <v>6.5519999999999996</v>
      </c>
      <c r="L37" s="95">
        <v>4.2163399999999998</v>
      </c>
      <c r="M37" s="117">
        <f t="shared" si="26"/>
        <v>-0.35648046398046396</v>
      </c>
      <c r="N37" s="37">
        <f t="shared" si="5"/>
        <v>0</v>
      </c>
      <c r="O37" s="37">
        <f t="shared" si="6"/>
        <v>9.3990000000000013E-4</v>
      </c>
    </row>
    <row r="38" spans="1:15" x14ac:dyDescent="0.3">
      <c r="A38" s="41" t="s">
        <v>41</v>
      </c>
      <c r="B38" s="94">
        <v>6.5520000000000014</v>
      </c>
      <c r="C38" s="95">
        <v>3.1012900000000001</v>
      </c>
      <c r="D38" s="117">
        <f t="shared" si="23"/>
        <v>-0.52666514041514045</v>
      </c>
      <c r="E38" s="94">
        <v>0</v>
      </c>
      <c r="F38" s="95">
        <v>0</v>
      </c>
      <c r="G38" s="117">
        <f t="shared" si="24"/>
        <v>0</v>
      </c>
      <c r="H38" s="127">
        <v>0</v>
      </c>
      <c r="I38" s="95">
        <v>0</v>
      </c>
      <c r="J38" s="117">
        <f t="shared" si="25"/>
        <v>0</v>
      </c>
      <c r="K38" s="95">
        <f t="shared" si="22"/>
        <v>6.5520000000000014</v>
      </c>
      <c r="L38" s="95">
        <v>3.1012900000000001</v>
      </c>
      <c r="M38" s="117">
        <f t="shared" si="26"/>
        <v>-0.52666514041514045</v>
      </c>
      <c r="N38" s="37">
        <f t="shared" si="5"/>
        <v>0</v>
      </c>
      <c r="O38" s="37">
        <f t="shared" si="6"/>
        <v>0</v>
      </c>
    </row>
    <row r="39" spans="1:15" x14ac:dyDescent="0.3">
      <c r="A39" s="41" t="s">
        <v>40</v>
      </c>
      <c r="B39" s="94">
        <v>5.0400000000000009</v>
      </c>
      <c r="C39" s="95">
        <v>5.2948798999999998</v>
      </c>
      <c r="D39" s="117">
        <f t="shared" si="23"/>
        <v>5.0571408730158487E-2</v>
      </c>
      <c r="E39" s="94">
        <v>0</v>
      </c>
      <c r="F39" s="95">
        <v>0</v>
      </c>
      <c r="G39" s="117">
        <f t="shared" si="24"/>
        <v>0</v>
      </c>
      <c r="H39" s="127">
        <v>0</v>
      </c>
      <c r="I39" s="95">
        <v>0</v>
      </c>
      <c r="J39" s="117">
        <f t="shared" si="25"/>
        <v>0</v>
      </c>
      <c r="K39" s="95">
        <f t="shared" si="22"/>
        <v>5.0400000000000009</v>
      </c>
      <c r="L39" s="95">
        <v>5.2948798999999998</v>
      </c>
      <c r="M39" s="117">
        <f t="shared" si="26"/>
        <v>5.0571408730158487E-2</v>
      </c>
      <c r="N39" s="37">
        <f t="shared" si="5"/>
        <v>0</v>
      </c>
      <c r="O39" s="37">
        <f t="shared" si="6"/>
        <v>0</v>
      </c>
    </row>
    <row r="40" spans="1:15" x14ac:dyDescent="0.3">
      <c r="A40" s="41" t="s">
        <v>42</v>
      </c>
      <c r="B40" s="94">
        <v>4.68</v>
      </c>
      <c r="C40" s="95">
        <v>3.2961005000000014</v>
      </c>
      <c r="D40" s="117">
        <f t="shared" si="23"/>
        <v>-0.29570502136752103</v>
      </c>
      <c r="E40" s="94">
        <v>0</v>
      </c>
      <c r="F40" s="95">
        <v>0.108</v>
      </c>
      <c r="G40" s="117">
        <f t="shared" si="24"/>
        <v>0</v>
      </c>
      <c r="H40" s="127">
        <v>0</v>
      </c>
      <c r="I40" s="95">
        <v>0</v>
      </c>
      <c r="J40" s="117">
        <f t="shared" si="25"/>
        <v>0</v>
      </c>
      <c r="K40" s="95">
        <f t="shared" si="22"/>
        <v>4.68</v>
      </c>
      <c r="L40" s="95">
        <v>3.4041005000000015</v>
      </c>
      <c r="M40" s="117">
        <f t="shared" si="26"/>
        <v>-0.27262809829059792</v>
      </c>
      <c r="N40" s="37">
        <f t="shared" si="5"/>
        <v>0</v>
      </c>
      <c r="O40" s="37">
        <f t="shared" si="6"/>
        <v>0.108</v>
      </c>
    </row>
    <row r="41" spans="1:15" x14ac:dyDescent="0.3">
      <c r="A41" s="41" t="s">
        <v>43</v>
      </c>
      <c r="B41" s="94">
        <v>3.9000000000000008</v>
      </c>
      <c r="C41" s="95">
        <v>0</v>
      </c>
      <c r="D41" s="117">
        <f t="shared" si="23"/>
        <v>-1</v>
      </c>
      <c r="E41" s="95">
        <v>0</v>
      </c>
      <c r="F41" s="95">
        <v>0</v>
      </c>
      <c r="G41" s="117">
        <f t="shared" si="24"/>
        <v>0</v>
      </c>
      <c r="H41" s="127">
        <v>0</v>
      </c>
      <c r="I41" s="95">
        <v>0</v>
      </c>
      <c r="J41" s="117">
        <f t="shared" si="25"/>
        <v>0</v>
      </c>
      <c r="K41" s="95">
        <f t="shared" si="22"/>
        <v>3.9000000000000008</v>
      </c>
      <c r="L41" s="95">
        <v>0</v>
      </c>
      <c r="M41" s="117">
        <f t="shared" si="26"/>
        <v>-1</v>
      </c>
      <c r="N41" s="37">
        <f t="shared" si="5"/>
        <v>0</v>
      </c>
      <c r="O41" s="37">
        <f t="shared" si="6"/>
        <v>0</v>
      </c>
    </row>
    <row r="42" spans="1:15" x14ac:dyDescent="0.3">
      <c r="A42" s="41" t="s">
        <v>44</v>
      </c>
      <c r="B42" s="94">
        <v>3.6</v>
      </c>
      <c r="C42" s="95">
        <v>0.18484999999999999</v>
      </c>
      <c r="D42" s="117">
        <f t="shared" si="23"/>
        <v>-0.94865277777777779</v>
      </c>
      <c r="E42" s="95">
        <v>0</v>
      </c>
      <c r="F42" s="95">
        <v>0</v>
      </c>
      <c r="G42" s="117">
        <f t="shared" si="24"/>
        <v>0</v>
      </c>
      <c r="H42" s="127">
        <v>0</v>
      </c>
      <c r="I42" s="95">
        <v>0</v>
      </c>
      <c r="J42" s="117">
        <f t="shared" si="25"/>
        <v>0</v>
      </c>
      <c r="K42" s="95">
        <f t="shared" si="22"/>
        <v>3.6</v>
      </c>
      <c r="L42" s="95">
        <v>0.18484999999999999</v>
      </c>
      <c r="M42" s="117">
        <f t="shared" si="26"/>
        <v>-0.94865277777777779</v>
      </c>
      <c r="N42" s="37">
        <f t="shared" si="5"/>
        <v>0</v>
      </c>
      <c r="O42" s="37">
        <f t="shared" si="6"/>
        <v>0</v>
      </c>
    </row>
    <row r="43" spans="1:15" x14ac:dyDescent="0.3">
      <c r="A43" s="43" t="s">
        <v>3</v>
      </c>
      <c r="B43" s="99">
        <v>51.629341778202679</v>
      </c>
      <c r="C43" s="100">
        <v>36.026730499999999</v>
      </c>
      <c r="D43" s="109">
        <f t="shared" si="23"/>
        <v>-0.30220434235305177</v>
      </c>
      <c r="E43" s="100">
        <v>0</v>
      </c>
      <c r="F43" s="100">
        <v>0.10893989999999999</v>
      </c>
      <c r="G43" s="128">
        <f t="shared" si="24"/>
        <v>0</v>
      </c>
      <c r="H43" s="99">
        <v>0</v>
      </c>
      <c r="I43" s="100">
        <v>0</v>
      </c>
      <c r="J43" s="109">
        <f t="shared" si="25"/>
        <v>0</v>
      </c>
      <c r="K43" s="100">
        <f>SUM(K35:K42)</f>
        <v>51.629341778202679</v>
      </c>
      <c r="L43" s="100">
        <v>36.135670399999995</v>
      </c>
      <c r="M43" s="109">
        <f t="shared" si="26"/>
        <v>-0.30009430383139102</v>
      </c>
    </row>
    <row r="44" spans="1:15" x14ac:dyDescent="0.3">
      <c r="A44" s="44"/>
      <c r="B44" s="112"/>
      <c r="C44" s="113"/>
      <c r="D44" s="130">
        <f t="shared" si="23"/>
        <v>0</v>
      </c>
      <c r="E44" s="113"/>
      <c r="F44" s="113"/>
      <c r="G44" s="131">
        <f t="shared" si="24"/>
        <v>0</v>
      </c>
      <c r="H44" s="112"/>
      <c r="I44" s="113"/>
      <c r="J44" s="130">
        <f t="shared" si="25"/>
        <v>0</v>
      </c>
      <c r="K44" s="113"/>
      <c r="L44" s="113"/>
      <c r="M44" s="130">
        <f t="shared" si="26"/>
        <v>0</v>
      </c>
      <c r="N44" s="37">
        <f t="shared" si="5"/>
        <v>0</v>
      </c>
      <c r="O44" s="37">
        <f t="shared" si="6"/>
        <v>0</v>
      </c>
    </row>
    <row r="45" spans="1:15" x14ac:dyDescent="0.3">
      <c r="A45" s="43" t="s">
        <v>3</v>
      </c>
      <c r="B45" s="99">
        <v>286.16683349325575</v>
      </c>
      <c r="C45" s="100">
        <v>336.79596409999999</v>
      </c>
      <c r="D45" s="132">
        <f t="shared" si="23"/>
        <v>0.17692172775129597</v>
      </c>
      <c r="E45" s="100">
        <v>188.78392615068427</v>
      </c>
      <c r="F45" s="100">
        <v>200.00801049999995</v>
      </c>
      <c r="G45" s="128">
        <f t="shared" si="24"/>
        <v>5.9454661094169671E-2</v>
      </c>
      <c r="H45" s="99">
        <v>20.664798000000001</v>
      </c>
      <c r="I45" s="100">
        <v>16.313585700000001</v>
      </c>
      <c r="J45" s="109">
        <f t="shared" si="25"/>
        <v>-0.21056156948642807</v>
      </c>
      <c r="K45" s="100">
        <v>491.86555764394001</v>
      </c>
      <c r="L45" s="100">
        <v>553.11756029999992</v>
      </c>
      <c r="M45" s="128"/>
    </row>
    <row r="46" spans="1:15" x14ac:dyDescent="0.3">
      <c r="A46" s="133" t="s">
        <v>46</v>
      </c>
      <c r="B46" s="94">
        <v>3</v>
      </c>
      <c r="C46" s="95">
        <v>0</v>
      </c>
      <c r="D46" s="117"/>
      <c r="E46" s="94">
        <v>50.675675675675691</v>
      </c>
      <c r="F46" s="95">
        <v>0</v>
      </c>
      <c r="G46" s="117"/>
      <c r="H46" s="127">
        <v>0</v>
      </c>
      <c r="I46" s="95">
        <v>0</v>
      </c>
      <c r="J46" s="117"/>
      <c r="K46" s="95">
        <f t="shared" ref="K46" si="27">+B46+E46+H46</f>
        <v>53.675675675675691</v>
      </c>
      <c r="L46" s="95">
        <v>0</v>
      </c>
      <c r="M46" s="117"/>
      <c r="N46" s="37">
        <f t="shared" si="5"/>
        <v>50.675675675675691</v>
      </c>
      <c r="O46" s="37">
        <f t="shared" si="6"/>
        <v>0</v>
      </c>
    </row>
    <row r="47" spans="1:15" x14ac:dyDescent="0.3">
      <c r="A47" s="45" t="s">
        <v>47</v>
      </c>
      <c r="B47" s="94"/>
      <c r="C47" s="95"/>
      <c r="D47" s="117">
        <f t="shared" ref="D47:D49" si="28">IFERROR((C47-B47)/B47,0)</f>
        <v>0</v>
      </c>
      <c r="E47" s="95"/>
      <c r="F47" s="95"/>
      <c r="G47" s="117">
        <f t="shared" ref="G47:G49" si="29">IFERROR((F47-E47)/E47,0)</f>
        <v>0</v>
      </c>
      <c r="H47" s="112"/>
      <c r="I47" s="113"/>
      <c r="J47" s="117">
        <f t="shared" ref="J47:J49" si="30">IFERROR((I47-H47)/H47,0)</f>
        <v>0</v>
      </c>
      <c r="K47" s="95">
        <v>0</v>
      </c>
      <c r="L47" s="95">
        <v>0</v>
      </c>
      <c r="M47" s="117">
        <f t="shared" ref="M47:M49" si="31">IFERROR((L47-K47)/K47,0)</f>
        <v>0</v>
      </c>
      <c r="N47" s="37">
        <f t="shared" si="5"/>
        <v>0</v>
      </c>
      <c r="O47" s="37">
        <f t="shared" si="6"/>
        <v>0</v>
      </c>
    </row>
    <row r="48" spans="1:15" x14ac:dyDescent="0.3">
      <c r="A48" s="44"/>
      <c r="B48" s="112"/>
      <c r="C48" s="113"/>
      <c r="D48" s="117">
        <f t="shared" si="28"/>
        <v>0</v>
      </c>
      <c r="E48" s="113"/>
      <c r="F48" s="113"/>
      <c r="G48" s="131">
        <f t="shared" si="29"/>
        <v>0</v>
      </c>
      <c r="H48" s="112"/>
      <c r="I48" s="113"/>
      <c r="J48" s="130">
        <f t="shared" si="30"/>
        <v>0</v>
      </c>
      <c r="K48" s="113"/>
      <c r="L48" s="113"/>
      <c r="M48" s="130">
        <f t="shared" si="31"/>
        <v>0</v>
      </c>
      <c r="N48" s="37">
        <f t="shared" si="5"/>
        <v>0</v>
      </c>
      <c r="O48" s="37">
        <f t="shared" si="6"/>
        <v>0</v>
      </c>
    </row>
    <row r="49" spans="1:29" x14ac:dyDescent="0.3">
      <c r="A49" s="43" t="s">
        <v>19</v>
      </c>
      <c r="B49" s="99">
        <v>493.02218639796018</v>
      </c>
      <c r="C49" s="100">
        <v>336.79596409999999</v>
      </c>
      <c r="D49" s="109">
        <f t="shared" si="28"/>
        <v>-0.31687462878568451</v>
      </c>
      <c r="E49" s="99">
        <v>516.19539249426384</v>
      </c>
      <c r="F49" s="100">
        <v>200.00801049999995</v>
      </c>
      <c r="G49" s="128">
        <f t="shared" si="29"/>
        <v>-0.61253429726763298</v>
      </c>
      <c r="H49" s="100">
        <v>20.664798000000001</v>
      </c>
      <c r="I49" s="100">
        <v>16.313585700000001</v>
      </c>
      <c r="J49" s="109">
        <f t="shared" si="30"/>
        <v>-0.21056156948642807</v>
      </c>
      <c r="K49" s="100">
        <f>+K46+K43+K33+K22+K17+K11</f>
        <v>725.75783646286663</v>
      </c>
      <c r="L49" s="100">
        <v>553.11756029999992</v>
      </c>
      <c r="M49" s="128">
        <f t="shared" si="31"/>
        <v>-0.23787586918009096</v>
      </c>
    </row>
    <row r="50" spans="1:29" x14ac:dyDescent="0.3">
      <c r="A50" s="41"/>
      <c r="B50" s="94"/>
      <c r="C50" s="95"/>
      <c r="D50" s="106"/>
      <c r="E50" s="95"/>
      <c r="F50" s="95"/>
      <c r="G50" s="126"/>
      <c r="H50" s="94"/>
      <c r="I50" s="95"/>
      <c r="J50" s="106"/>
      <c r="K50" s="95"/>
      <c r="L50" s="95"/>
      <c r="M50" s="106"/>
      <c r="N50" s="37">
        <f t="shared" si="5"/>
        <v>0</v>
      </c>
      <c r="O50" s="37">
        <f t="shared" si="6"/>
        <v>0</v>
      </c>
    </row>
    <row r="51" spans="1:29" x14ac:dyDescent="0.3">
      <c r="A51" s="41" t="s">
        <v>20</v>
      </c>
      <c r="B51" s="94"/>
      <c r="C51" s="95"/>
      <c r="D51" s="117"/>
      <c r="E51" s="95"/>
      <c r="F51" s="95"/>
      <c r="G51" s="117"/>
      <c r="H51" s="94"/>
      <c r="I51" s="95"/>
      <c r="J51" s="117"/>
      <c r="K51" s="95">
        <v>186.929</v>
      </c>
      <c r="L51" s="95">
        <v>110.28088870000003</v>
      </c>
      <c r="M51" s="117">
        <f t="shared" ref="M51:M53" si="32">IFERROR((L51-K51)/K51,0)</f>
        <v>-0.41003863124501799</v>
      </c>
      <c r="N51" s="37">
        <f t="shared" si="5"/>
        <v>0</v>
      </c>
      <c r="O51" s="37">
        <f t="shared" si="6"/>
        <v>0</v>
      </c>
    </row>
    <row r="52" spans="1:29" x14ac:dyDescent="0.3">
      <c r="A52" s="41" t="s">
        <v>61</v>
      </c>
      <c r="B52" s="94"/>
      <c r="C52" s="95"/>
      <c r="D52" s="117"/>
      <c r="E52" s="95"/>
      <c r="F52" s="95"/>
      <c r="G52" s="156"/>
      <c r="H52" s="94"/>
      <c r="I52" s="95"/>
      <c r="J52" s="107"/>
      <c r="K52" s="95">
        <v>23.56</v>
      </c>
      <c r="L52" s="95">
        <v>23.56</v>
      </c>
      <c r="M52" s="117">
        <f t="shared" si="32"/>
        <v>0</v>
      </c>
      <c r="N52" s="98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3"/>
    </row>
    <row r="53" spans="1:29" ht="16.2" thickBot="1" x14ac:dyDescent="0.35">
      <c r="A53" s="46" t="s">
        <v>21</v>
      </c>
      <c r="B53" s="120">
        <v>493.02218639796018</v>
      </c>
      <c r="C53" s="121">
        <v>336.79596409999999</v>
      </c>
      <c r="D53" s="134">
        <f t="shared" ref="D53" si="33">IFERROR((C53-B53)/B53,0)</f>
        <v>-0.31687462878568451</v>
      </c>
      <c r="E53" s="120">
        <v>516.19539249426384</v>
      </c>
      <c r="F53" s="121">
        <v>200.00801049999995</v>
      </c>
      <c r="G53" s="135">
        <f t="shared" ref="G53" si="34">IFERROR((F53-E53)/E53,0)</f>
        <v>-0.61253429726763298</v>
      </c>
      <c r="H53" s="120">
        <v>20.664798000000001</v>
      </c>
      <c r="I53" s="121">
        <v>16.313585700000001</v>
      </c>
      <c r="J53" s="134">
        <f t="shared" ref="J53" si="35">IFERROR((I53-H53)/H53,0)</f>
        <v>-0.21056156948642807</v>
      </c>
      <c r="K53" s="120">
        <f>+K51+K49+K52</f>
        <v>936.24683646286655</v>
      </c>
      <c r="L53" s="120">
        <f>+L51+L49+L52</f>
        <v>686.95844899999986</v>
      </c>
      <c r="M53" s="134">
        <f t="shared" si="32"/>
        <v>-0.26626352982369089</v>
      </c>
    </row>
  </sheetData>
  <autoFilter ref="A2:O53" xr:uid="{FB689746-0E8C-42FF-8AFB-797EAA5C6120}"/>
  <mergeCells count="2">
    <mergeCell ref="H1:J1"/>
    <mergeCell ref="E1:G1"/>
  </mergeCells>
  <conditionalFormatting sqref="D4:D10 G4:G10 J4:J10 M4:M10 D19:D21 G19:G21 J19:J21 M19:M21 D24:D32 G24:G32 J24:J32 M24:M32 D35:D42 G35:G42 J35:J42 M35:M42 G46:G47 J46:J47 M46:M47 D46:D48">
    <cfRule type="cellIs" dxfId="8" priority="13" operator="lessThan">
      <formula>0</formula>
    </cfRule>
  </conditionalFormatting>
  <conditionalFormatting sqref="D13:D16">
    <cfRule type="cellIs" dxfId="7" priority="12" operator="lessThan">
      <formula>0</formula>
    </cfRule>
  </conditionalFormatting>
  <conditionalFormatting sqref="D51:D52">
    <cfRule type="cellIs" dxfId="6" priority="4" operator="lessThan">
      <formula>0</formula>
    </cfRule>
  </conditionalFormatting>
  <conditionalFormatting sqref="G13:G16">
    <cfRule type="cellIs" dxfId="5" priority="9" operator="lessThan">
      <formula>0</formula>
    </cfRule>
  </conditionalFormatting>
  <conditionalFormatting sqref="G51:G52">
    <cfRule type="cellIs" dxfId="4" priority="3" operator="lessThan">
      <formula>0</formula>
    </cfRule>
  </conditionalFormatting>
  <conditionalFormatting sqref="J13:J16">
    <cfRule type="cellIs" dxfId="3" priority="7" operator="lessThan">
      <formula>0</formula>
    </cfRule>
  </conditionalFormatting>
  <conditionalFormatting sqref="J51:J52">
    <cfRule type="cellIs" dxfId="2" priority="2" operator="lessThan">
      <formula>0</formula>
    </cfRule>
  </conditionalFormatting>
  <conditionalFormatting sqref="M13:M16">
    <cfRule type="cellIs" dxfId="1" priority="11" operator="lessThan">
      <formula>0</formula>
    </cfRule>
  </conditionalFormatting>
  <conditionalFormatting sqref="M51:M52">
    <cfRule type="cellIs" dxfId="0" priority="5" operator="less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0524-A434-422C-8ED7-81E6A54AD7C4}">
  <dimension ref="A1:AZ46"/>
  <sheetViews>
    <sheetView workbookViewId="0">
      <pane xSplit="3" ySplit="3" topLeftCell="G10" activePane="bottomRight" state="frozen"/>
      <selection pane="topRight" activeCell="C1" sqref="C1"/>
      <selection pane="bottomLeft" activeCell="A4" sqref="A4"/>
      <selection pane="bottomRight" activeCell="S27" sqref="S27"/>
    </sheetView>
  </sheetViews>
  <sheetFormatPr defaultRowHeight="14.4" x14ac:dyDescent="0.3"/>
  <cols>
    <col min="1" max="1" width="9.88671875" bestFit="1" customWidth="1"/>
    <col min="2" max="2" width="12.109375" bestFit="1" customWidth="1"/>
    <col min="3" max="3" width="16.44140625" bestFit="1" customWidth="1"/>
    <col min="4" max="15" width="11.21875" customWidth="1"/>
    <col min="16" max="16" width="12.21875" customWidth="1"/>
    <col min="17" max="17" width="15" style="176" bestFit="1" customWidth="1"/>
    <col min="18" max="18" width="11.88671875" style="177" customWidth="1"/>
    <col min="19" max="20" width="11.21875" customWidth="1"/>
    <col min="21" max="21" width="11.44140625" customWidth="1"/>
    <col min="22" max="30" width="11.21875" customWidth="1"/>
    <col min="31" max="31" width="12.21875" customWidth="1"/>
    <col min="32" max="32" width="12.21875" style="176" customWidth="1"/>
    <col min="33" max="33" width="11.88671875" style="177" customWidth="1"/>
    <col min="34" max="35" width="12.21875" customWidth="1"/>
    <col min="36" max="36" width="11.21875" customWidth="1"/>
    <col min="37" max="39" width="13.77734375" customWidth="1"/>
    <col min="40" max="45" width="11.21875" customWidth="1"/>
    <col min="46" max="46" width="12.21875" customWidth="1"/>
    <col min="47" max="47" width="12.21875" style="176" customWidth="1"/>
    <col min="49" max="52" width="8.88671875" style="176"/>
  </cols>
  <sheetData>
    <row r="1" spans="1:52" x14ac:dyDescent="0.3">
      <c r="D1" s="192" t="s">
        <v>79</v>
      </c>
      <c r="S1" s="192" t="s">
        <v>69</v>
      </c>
      <c r="AH1" s="192" t="s">
        <v>119</v>
      </c>
    </row>
    <row r="2" spans="1:52" ht="15" thickBot="1" x14ac:dyDescent="0.35">
      <c r="D2" s="204" t="s">
        <v>53</v>
      </c>
      <c r="E2" s="204" t="s">
        <v>53</v>
      </c>
      <c r="F2" s="204" t="s">
        <v>53</v>
      </c>
      <c r="G2" s="204" t="s">
        <v>53</v>
      </c>
      <c r="H2" s="204"/>
      <c r="I2" s="204"/>
      <c r="J2" s="204"/>
      <c r="K2" s="204"/>
      <c r="L2" s="204"/>
      <c r="M2" s="204"/>
      <c r="N2" s="204"/>
      <c r="O2" s="204"/>
      <c r="P2" s="184"/>
      <c r="S2" s="192" t="s">
        <v>53</v>
      </c>
      <c r="T2" t="s">
        <v>53</v>
      </c>
      <c r="U2" s="200" t="s">
        <v>53</v>
      </c>
      <c r="V2" t="s">
        <v>53</v>
      </c>
      <c r="X2" s="200"/>
      <c r="AA2" s="200"/>
      <c r="AD2" s="200"/>
      <c r="AH2" s="267" t="s">
        <v>53</v>
      </c>
      <c r="AI2" s="267" t="s">
        <v>53</v>
      </c>
      <c r="AJ2" s="267" t="s">
        <v>53</v>
      </c>
      <c r="AK2" s="267" t="s">
        <v>53</v>
      </c>
      <c r="AL2" s="180"/>
      <c r="AM2" s="180"/>
      <c r="AN2" s="180"/>
      <c r="AO2" s="180"/>
      <c r="AP2" s="180"/>
      <c r="AQ2" s="180"/>
      <c r="AR2" s="180"/>
      <c r="AS2" s="180"/>
      <c r="AW2" s="300" t="s">
        <v>107</v>
      </c>
      <c r="AX2" s="300"/>
      <c r="AY2" s="300"/>
      <c r="AZ2" s="300"/>
    </row>
    <row r="3" spans="1:52" x14ac:dyDescent="0.3">
      <c r="A3" s="203" t="s">
        <v>48</v>
      </c>
      <c r="B3" s="203"/>
      <c r="C3" s="203"/>
      <c r="D3" s="202">
        <v>44652</v>
      </c>
      <c r="E3" s="202">
        <v>44682</v>
      </c>
      <c r="F3" s="202">
        <v>44713</v>
      </c>
      <c r="G3" s="202">
        <v>44743</v>
      </c>
      <c r="H3" s="202">
        <v>44774</v>
      </c>
      <c r="I3" s="202">
        <v>44805</v>
      </c>
      <c r="J3" s="202">
        <v>44835</v>
      </c>
      <c r="K3" s="202">
        <v>44866</v>
      </c>
      <c r="L3" s="202">
        <v>44896</v>
      </c>
      <c r="M3" s="202">
        <v>44927</v>
      </c>
      <c r="N3" s="202">
        <v>44958</v>
      </c>
      <c r="O3" s="202">
        <v>44986</v>
      </c>
      <c r="P3" s="202" t="s">
        <v>3</v>
      </c>
      <c r="Q3" s="248" t="s">
        <v>53</v>
      </c>
      <c r="R3" s="201"/>
      <c r="S3" s="202">
        <v>44652</v>
      </c>
      <c r="T3" s="202">
        <v>44682</v>
      </c>
      <c r="U3" s="202">
        <v>44713</v>
      </c>
      <c r="V3" s="202">
        <v>44743</v>
      </c>
      <c r="W3" s="202">
        <v>44774</v>
      </c>
      <c r="X3" s="202">
        <v>44805</v>
      </c>
      <c r="Y3" s="202">
        <v>44835</v>
      </c>
      <c r="Z3" s="202">
        <v>44866</v>
      </c>
      <c r="AA3" s="202">
        <v>44896</v>
      </c>
      <c r="AB3" s="202">
        <v>44927</v>
      </c>
      <c r="AC3" s="202">
        <v>44958</v>
      </c>
      <c r="AD3" s="202">
        <v>44986</v>
      </c>
      <c r="AE3" s="202" t="s">
        <v>3</v>
      </c>
      <c r="AF3" s="248" t="s">
        <v>53</v>
      </c>
      <c r="AG3" s="201"/>
      <c r="AH3" s="274" t="s">
        <v>73</v>
      </c>
      <c r="AI3" s="274" t="s">
        <v>74</v>
      </c>
      <c r="AJ3" s="274" t="s">
        <v>75</v>
      </c>
      <c r="AK3" s="274" t="s">
        <v>82</v>
      </c>
      <c r="AL3" s="274" t="s">
        <v>83</v>
      </c>
      <c r="AM3" s="274" t="s">
        <v>84</v>
      </c>
      <c r="AN3" s="274" t="s">
        <v>85</v>
      </c>
      <c r="AO3" s="274" t="s">
        <v>86</v>
      </c>
      <c r="AP3" s="274" t="s">
        <v>87</v>
      </c>
      <c r="AQ3" s="274" t="s">
        <v>88</v>
      </c>
      <c r="AR3" s="274" t="s">
        <v>89</v>
      </c>
      <c r="AS3" s="274" t="s">
        <v>90</v>
      </c>
      <c r="AT3" s="202" t="s">
        <v>3</v>
      </c>
      <c r="AU3" s="248" t="s">
        <v>53</v>
      </c>
      <c r="AW3" s="191" t="s">
        <v>98</v>
      </c>
      <c r="AX3" s="190" t="s">
        <v>97</v>
      </c>
      <c r="AY3" s="190" t="s">
        <v>96</v>
      </c>
      <c r="AZ3" s="189" t="s">
        <v>95</v>
      </c>
    </row>
    <row r="4" spans="1:52" x14ac:dyDescent="0.3">
      <c r="A4" t="s">
        <v>105</v>
      </c>
      <c r="B4" t="s">
        <v>109</v>
      </c>
      <c r="C4" t="s">
        <v>8</v>
      </c>
      <c r="D4" s="184">
        <f>19199012</f>
        <v>19199012</v>
      </c>
      <c r="E4" s="184">
        <v>2199767.2933333302</v>
      </c>
      <c r="F4" s="184">
        <v>2184334.59333333</v>
      </c>
      <c r="G4" s="184">
        <v>2333425</v>
      </c>
      <c r="H4" s="184">
        <v>2577636.8700000006</v>
      </c>
      <c r="I4" s="184">
        <v>2657680.9</v>
      </c>
      <c r="J4" s="184">
        <v>2493227.8200000008</v>
      </c>
      <c r="K4" s="184">
        <v>2301178.9</v>
      </c>
      <c r="L4" s="184">
        <v>2320423.879999998</v>
      </c>
      <c r="M4" s="184">
        <v>1916385.2099999993</v>
      </c>
      <c r="N4" s="184">
        <v>2005496.3000000003</v>
      </c>
      <c r="O4" s="184">
        <v>2408691.8900000006</v>
      </c>
      <c r="P4" s="184">
        <f>SUM(D4:O4)</f>
        <v>44597260.656666651</v>
      </c>
      <c r="Q4" s="176">
        <f>SUMIF($D$2:$P$2,$Q$3,D4:P4)/10^5</f>
        <v>259.1653888666666</v>
      </c>
      <c r="R4" s="2"/>
      <c r="S4" s="200">
        <v>4062610.8266666662</v>
      </c>
      <c r="T4" s="200">
        <v>4067044.8266666662</v>
      </c>
      <c r="U4" s="200">
        <v>4082406.8266666662</v>
      </c>
      <c r="V4" s="200">
        <v>3846464.3000000003</v>
      </c>
      <c r="W4" s="200">
        <v>3888725.83</v>
      </c>
      <c r="X4" s="200">
        <v>3650384.4000000004</v>
      </c>
      <c r="Y4" s="200">
        <v>3402612.8800000008</v>
      </c>
      <c r="Z4" s="200">
        <v>3010645.9</v>
      </c>
      <c r="AA4" s="200">
        <v>3646338.4800000028</v>
      </c>
      <c r="AB4" s="200">
        <v>3600271.7900000019</v>
      </c>
      <c r="AC4" s="200">
        <v>3513127.2000000034</v>
      </c>
      <c r="AD4" s="200">
        <v>3779504.2300000032</v>
      </c>
      <c r="AE4" s="184">
        <f>SUM(S4:AD4)</f>
        <v>44550137.49000001</v>
      </c>
      <c r="AF4" s="176">
        <f>SUMIF($S$2:$AE$2,$AF$3,S4:AE4)/10^5</f>
        <v>160.5852678</v>
      </c>
      <c r="AG4" s="2"/>
      <c r="AH4" s="184">
        <f t="shared" ref="AH4:AS7" si="0">D4+S4</f>
        <v>23261622.826666668</v>
      </c>
      <c r="AI4" s="184">
        <f t="shared" si="0"/>
        <v>6266812.1199999964</v>
      </c>
      <c r="AJ4" s="184">
        <f t="shared" si="0"/>
        <v>6266741.4199999962</v>
      </c>
      <c r="AK4" s="184">
        <f t="shared" si="0"/>
        <v>6179889.3000000007</v>
      </c>
      <c r="AL4" s="184">
        <f t="shared" si="0"/>
        <v>6466362.7000000011</v>
      </c>
      <c r="AM4" s="184">
        <f t="shared" si="0"/>
        <v>6308065.3000000007</v>
      </c>
      <c r="AN4" s="184">
        <f t="shared" si="0"/>
        <v>5895840.7000000011</v>
      </c>
      <c r="AO4" s="184">
        <f t="shared" si="0"/>
        <v>5311824.8</v>
      </c>
      <c r="AP4" s="184">
        <f t="shared" si="0"/>
        <v>5966762.3600000013</v>
      </c>
      <c r="AQ4" s="184">
        <f t="shared" si="0"/>
        <v>5516657.0000000009</v>
      </c>
      <c r="AR4" s="184">
        <f t="shared" si="0"/>
        <v>5518623.5000000037</v>
      </c>
      <c r="AS4" s="184">
        <f t="shared" si="0"/>
        <v>6188196.1200000038</v>
      </c>
      <c r="AT4" s="184">
        <f>SUM(AH4:AS4)</f>
        <v>89147398.146666661</v>
      </c>
      <c r="AU4" s="176">
        <f ca="1">SUMIF($AH$2:$AT$2,$AU$3,AH4:AS4)/10^5</f>
        <v>419.75065666666654</v>
      </c>
      <c r="AW4" s="183">
        <v>357.95176366666658</v>
      </c>
      <c r="AX4" s="182">
        <f>SUM(AK4:AM4)/10^5</f>
        <v>189.54317300000005</v>
      </c>
      <c r="AY4" s="182">
        <f>SUM(AN4:AP4)/10^5</f>
        <v>171.7442786</v>
      </c>
      <c r="AZ4" s="181">
        <f>SUM(AQ4:AS4)/10^5</f>
        <v>172.23476620000008</v>
      </c>
    </row>
    <row r="5" spans="1:52" x14ac:dyDescent="0.3">
      <c r="A5" t="s">
        <v>105</v>
      </c>
      <c r="B5" t="s">
        <v>109</v>
      </c>
      <c r="C5" t="s">
        <v>29</v>
      </c>
      <c r="D5" s="184">
        <v>333682</v>
      </c>
      <c r="E5" s="184">
        <v>248329</v>
      </c>
      <c r="F5" s="184">
        <v>276636</v>
      </c>
      <c r="G5" s="184">
        <v>212564</v>
      </c>
      <c r="H5" s="184">
        <v>293055</v>
      </c>
      <c r="I5" s="184">
        <v>215879</v>
      </c>
      <c r="J5" s="184">
        <v>254905</v>
      </c>
      <c r="K5" s="184">
        <v>146503</v>
      </c>
      <c r="L5" s="184">
        <v>167491</v>
      </c>
      <c r="M5" s="184">
        <v>190187</v>
      </c>
      <c r="N5" s="200">
        <v>163009</v>
      </c>
      <c r="O5" s="184">
        <v>226671</v>
      </c>
      <c r="P5" s="184">
        <f>SUM(D5:O5)</f>
        <v>2728911</v>
      </c>
      <c r="Q5" s="176">
        <f t="shared" ref="Q5:Q30" si="1">SUMIF($D$2:$P$2,$Q$3,D5:P5)/10^5</f>
        <v>10.712109999999999</v>
      </c>
      <c r="R5" s="2"/>
      <c r="S5" s="184">
        <v>1836456</v>
      </c>
      <c r="T5" s="184">
        <v>1982165</v>
      </c>
      <c r="U5" s="184">
        <v>2103584</v>
      </c>
      <c r="V5" s="184">
        <v>2043389</v>
      </c>
      <c r="W5" s="184">
        <v>2858025</v>
      </c>
      <c r="X5" s="184">
        <v>1899846</v>
      </c>
      <c r="Y5" s="184">
        <v>1695039</v>
      </c>
      <c r="Z5" s="184">
        <v>1668648</v>
      </c>
      <c r="AA5" s="184">
        <v>1731177</v>
      </c>
      <c r="AB5" s="184">
        <v>1795317</v>
      </c>
      <c r="AC5" s="184">
        <v>1939405</v>
      </c>
      <c r="AD5" s="184">
        <v>2226331</v>
      </c>
      <c r="AE5" s="184">
        <f>SUM(S5:AD5)</f>
        <v>23779382</v>
      </c>
      <c r="AF5" s="176">
        <f t="shared" ref="AF5:AF30" si="2">SUMIF($S$2:$AE$2,$AF$3,S5:AE5)/10^5</f>
        <v>79.655940000000001</v>
      </c>
      <c r="AG5" s="2"/>
      <c r="AH5" s="184">
        <f t="shared" si="0"/>
        <v>2170138</v>
      </c>
      <c r="AI5" s="184">
        <f t="shared" si="0"/>
        <v>2230494</v>
      </c>
      <c r="AJ5" s="184">
        <f t="shared" si="0"/>
        <v>2380220</v>
      </c>
      <c r="AK5" s="184">
        <f t="shared" si="0"/>
        <v>2255953</v>
      </c>
      <c r="AL5" s="184">
        <f t="shared" si="0"/>
        <v>3151080</v>
      </c>
      <c r="AM5" s="184">
        <f t="shared" si="0"/>
        <v>2115725</v>
      </c>
      <c r="AN5" s="184">
        <f t="shared" si="0"/>
        <v>1949944</v>
      </c>
      <c r="AO5" s="184">
        <f t="shared" si="0"/>
        <v>1815151</v>
      </c>
      <c r="AP5" s="184">
        <f t="shared" si="0"/>
        <v>1898668</v>
      </c>
      <c r="AQ5" s="184">
        <f t="shared" si="0"/>
        <v>1985504</v>
      </c>
      <c r="AR5" s="184">
        <f t="shared" si="0"/>
        <v>2102414</v>
      </c>
      <c r="AS5" s="184">
        <f t="shared" si="0"/>
        <v>2453002</v>
      </c>
      <c r="AT5" s="184">
        <f>SUM(AH5:AS5)</f>
        <v>26508293</v>
      </c>
      <c r="AU5" s="176">
        <f t="shared" ref="AU5:AU29" ca="1" si="3">SUMIF($AH$2:$AT$2,$AU$3,AH5:AS5)/10^5</f>
        <v>90.368049999999997</v>
      </c>
      <c r="AW5" s="183">
        <f>SUM(AH5:AJ5)/10^5</f>
        <v>67.808520000000001</v>
      </c>
      <c r="AX5" s="182">
        <f>SUM(AK5:AM5)/10^5</f>
        <v>75.227580000000003</v>
      </c>
      <c r="AY5" s="182">
        <f>SUM(AN5:AP5)/10^5</f>
        <v>56.637630000000001</v>
      </c>
      <c r="AZ5" s="181">
        <f>SUM(AQ5:AS5)/10^5</f>
        <v>65.409199999999998</v>
      </c>
    </row>
    <row r="6" spans="1:52" x14ac:dyDescent="0.3">
      <c r="A6" t="s">
        <v>105</v>
      </c>
      <c r="B6" t="s">
        <v>109</v>
      </c>
      <c r="C6" t="s">
        <v>30</v>
      </c>
      <c r="D6" s="184">
        <v>5765293.6900000004</v>
      </c>
      <c r="E6" s="184">
        <v>6025315.0999999996</v>
      </c>
      <c r="F6" s="184">
        <v>5475318.0999999996</v>
      </c>
      <c r="G6" s="184">
        <v>5757033.9000000004</v>
      </c>
      <c r="H6" s="184">
        <v>5882673.75</v>
      </c>
      <c r="I6" s="184">
        <v>6478114.1100000003</v>
      </c>
      <c r="J6" s="184">
        <v>7202983.1299999999</v>
      </c>
      <c r="K6" s="184">
        <v>5578446.9500000002</v>
      </c>
      <c r="L6" s="184">
        <v>5558807.79</v>
      </c>
      <c r="M6" s="184">
        <v>5856673.54</v>
      </c>
      <c r="N6" s="184">
        <v>6688095.7800000003</v>
      </c>
      <c r="O6" s="184">
        <v>6883009</v>
      </c>
      <c r="P6" s="184">
        <f>SUM(D6:O6)</f>
        <v>73151764.840000004</v>
      </c>
      <c r="Q6" s="176">
        <f t="shared" si="1"/>
        <v>230.22960789999999</v>
      </c>
      <c r="R6" s="2"/>
      <c r="S6" s="184">
        <v>7333265</v>
      </c>
      <c r="T6" s="184">
        <v>7183768</v>
      </c>
      <c r="U6" s="184">
        <v>7233738</v>
      </c>
      <c r="V6" s="184">
        <v>7472854</v>
      </c>
      <c r="W6" s="184">
        <v>7878408</v>
      </c>
      <c r="X6" s="184">
        <v>7978522</v>
      </c>
      <c r="Y6" s="184">
        <v>7143866</v>
      </c>
      <c r="Z6" s="184">
        <v>6869976.9900000002</v>
      </c>
      <c r="AA6" s="184">
        <v>7237600</v>
      </c>
      <c r="AB6" s="184">
        <v>7592536</v>
      </c>
      <c r="AC6" s="184">
        <v>8658068</v>
      </c>
      <c r="AD6" s="184">
        <v>8872926</v>
      </c>
      <c r="AE6" s="184">
        <f>SUM(S6:AD6)</f>
        <v>91455527.99000001</v>
      </c>
      <c r="AF6" s="176">
        <f t="shared" si="2"/>
        <v>292.23624999999998</v>
      </c>
      <c r="AG6" s="2"/>
      <c r="AH6" s="184">
        <f t="shared" si="0"/>
        <v>13098558.690000001</v>
      </c>
      <c r="AI6" s="184">
        <f t="shared" si="0"/>
        <v>13209083.1</v>
      </c>
      <c r="AJ6" s="184">
        <f t="shared" si="0"/>
        <v>12709056.1</v>
      </c>
      <c r="AK6" s="184">
        <f t="shared" si="0"/>
        <v>13229887.9</v>
      </c>
      <c r="AL6" s="184">
        <f t="shared" si="0"/>
        <v>13761081.75</v>
      </c>
      <c r="AM6" s="184">
        <f t="shared" si="0"/>
        <v>14456636.109999999</v>
      </c>
      <c r="AN6" s="184">
        <f t="shared" si="0"/>
        <v>14346849.129999999</v>
      </c>
      <c r="AO6" s="184">
        <f t="shared" si="0"/>
        <v>12448423.940000001</v>
      </c>
      <c r="AP6" s="184">
        <f t="shared" si="0"/>
        <v>12796407.789999999</v>
      </c>
      <c r="AQ6" s="184">
        <f t="shared" si="0"/>
        <v>13449209.539999999</v>
      </c>
      <c r="AR6" s="184">
        <f t="shared" si="0"/>
        <v>15346163.780000001</v>
      </c>
      <c r="AS6" s="184">
        <f t="shared" si="0"/>
        <v>15755935</v>
      </c>
      <c r="AT6" s="184">
        <f>SUM(AH6:AS6)</f>
        <v>164607292.82999998</v>
      </c>
      <c r="AU6" s="176">
        <f t="shared" ca="1" si="3"/>
        <v>522.46585789999995</v>
      </c>
      <c r="AW6" s="183">
        <f>SUM(AH6:AJ6)/10^5</f>
        <v>390.1669789</v>
      </c>
      <c r="AX6" s="182">
        <f>SUM(AK6:AM6)/10^5</f>
        <v>414.47605759999999</v>
      </c>
      <c r="AY6" s="182">
        <f>SUM(AN6:AP6)/10^5</f>
        <v>395.91680859999997</v>
      </c>
      <c r="AZ6" s="181">
        <f>SUM(AQ6:AS6)/10^5</f>
        <v>445.51308319999998</v>
      </c>
    </row>
    <row r="7" spans="1:52" x14ac:dyDescent="0.3">
      <c r="A7" t="s">
        <v>105</v>
      </c>
      <c r="B7" t="s">
        <v>50</v>
      </c>
      <c r="C7" t="s">
        <v>26</v>
      </c>
      <c r="D7" s="184">
        <v>9989557.8100000005</v>
      </c>
      <c r="E7" s="184">
        <v>10731825.9</v>
      </c>
      <c r="F7" s="184">
        <v>10406461.68</v>
      </c>
      <c r="G7" s="188">
        <v>8919906</v>
      </c>
      <c r="H7" s="188">
        <v>11267083</v>
      </c>
      <c r="I7" s="188">
        <v>10442897</v>
      </c>
      <c r="J7" s="188">
        <v>8333870.4000000004</v>
      </c>
      <c r="K7" s="188">
        <v>8448456.4000000004</v>
      </c>
      <c r="L7" s="188">
        <v>7266149</v>
      </c>
      <c r="M7" s="188">
        <v>6896472.4000000004</v>
      </c>
      <c r="N7" s="188">
        <v>7198394</v>
      </c>
      <c r="O7" s="188">
        <f>8784641.4-383306</f>
        <v>8401335.4000000004</v>
      </c>
      <c r="P7" s="184">
        <f>SUM(D7:O7)</f>
        <v>108302408.99000002</v>
      </c>
      <c r="Q7" s="176">
        <f t="shared" si="1"/>
        <v>400.47751390000002</v>
      </c>
      <c r="R7" s="2"/>
      <c r="AE7" s="184">
        <f>SUM(S7:AD7)</f>
        <v>0</v>
      </c>
      <c r="AF7" s="176">
        <f t="shared" si="2"/>
        <v>0</v>
      </c>
      <c r="AG7" s="2"/>
      <c r="AH7" s="184">
        <f t="shared" si="0"/>
        <v>9989557.8100000005</v>
      </c>
      <c r="AI7" s="184">
        <f t="shared" si="0"/>
        <v>10731825.9</v>
      </c>
      <c r="AJ7" s="184">
        <f t="shared" si="0"/>
        <v>10406461.68</v>
      </c>
      <c r="AK7" s="184">
        <f t="shared" si="0"/>
        <v>8919906</v>
      </c>
      <c r="AL7" s="184">
        <f t="shared" si="0"/>
        <v>11267083</v>
      </c>
      <c r="AM7" s="184">
        <f t="shared" si="0"/>
        <v>10442897</v>
      </c>
      <c r="AN7" s="184">
        <f t="shared" si="0"/>
        <v>8333870.4000000004</v>
      </c>
      <c r="AO7" s="184">
        <f t="shared" si="0"/>
        <v>8448456.4000000004</v>
      </c>
      <c r="AP7" s="184">
        <f t="shared" si="0"/>
        <v>7266149</v>
      </c>
      <c r="AQ7" s="184">
        <f t="shared" si="0"/>
        <v>6896472.4000000004</v>
      </c>
      <c r="AR7" s="184">
        <f t="shared" si="0"/>
        <v>7198394</v>
      </c>
      <c r="AS7" s="184">
        <f t="shared" si="0"/>
        <v>8401335.4000000004</v>
      </c>
      <c r="AT7" s="184">
        <f>SUM(AH7:AS7)</f>
        <v>108302408.99000002</v>
      </c>
      <c r="AU7" s="176">
        <f t="shared" ca="1" si="3"/>
        <v>400.47751390000002</v>
      </c>
      <c r="AW7" s="183">
        <f>SUM(AH7:AJ7)/10^5</f>
        <v>311.27845389999999</v>
      </c>
      <c r="AX7" s="182">
        <f>SUM(AK7:AM7)/10^5</f>
        <v>306.29885999999999</v>
      </c>
      <c r="AY7" s="182">
        <f>SUM(AN7:AP7)/10^5</f>
        <v>240.484758</v>
      </c>
      <c r="AZ7" s="181">
        <f>SUM(AQ7:AS7)/10^5</f>
        <v>224.962018</v>
      </c>
    </row>
    <row r="8" spans="1:52" x14ac:dyDescent="0.3">
      <c r="D8" s="178">
        <f t="shared" ref="D8:O8" si="4">SUM(D4:D7)</f>
        <v>35287545.5</v>
      </c>
      <c r="E8" s="178">
        <f t="shared" si="4"/>
        <v>19205237.293333329</v>
      </c>
      <c r="F8" s="178">
        <f t="shared" si="4"/>
        <v>18342750.373333327</v>
      </c>
      <c r="G8" s="178">
        <f t="shared" si="4"/>
        <v>17222928.899999999</v>
      </c>
      <c r="H8" s="178">
        <f t="shared" si="4"/>
        <v>20020448.620000001</v>
      </c>
      <c r="I8" s="178">
        <f t="shared" si="4"/>
        <v>19794571.009999998</v>
      </c>
      <c r="J8" s="178">
        <f t="shared" si="4"/>
        <v>18284986.350000001</v>
      </c>
      <c r="K8" s="178">
        <f t="shared" si="4"/>
        <v>16474585.25</v>
      </c>
      <c r="L8" s="178">
        <f t="shared" si="4"/>
        <v>15312871.669999998</v>
      </c>
      <c r="M8" s="178">
        <f t="shared" si="4"/>
        <v>14859718.149999999</v>
      </c>
      <c r="N8" s="178">
        <f t="shared" si="4"/>
        <v>16054995.08</v>
      </c>
      <c r="O8" s="178">
        <f t="shared" si="4"/>
        <v>17919707.289999999</v>
      </c>
      <c r="P8" s="178">
        <f>SUM(D8:O8)</f>
        <v>228780345.48666665</v>
      </c>
      <c r="Q8" s="266">
        <f t="shared" si="1"/>
        <v>900.58462066666664</v>
      </c>
      <c r="R8" s="2"/>
      <c r="S8" s="178">
        <f t="shared" ref="S8:AE8" si="5">SUM(S4:S7)</f>
        <v>13232331.826666666</v>
      </c>
      <c r="T8" s="178">
        <f t="shared" si="5"/>
        <v>13232977.826666666</v>
      </c>
      <c r="U8" s="178">
        <f t="shared" si="5"/>
        <v>13419728.826666666</v>
      </c>
      <c r="V8" s="178">
        <f t="shared" si="5"/>
        <v>13362707.300000001</v>
      </c>
      <c r="W8" s="178">
        <f t="shared" si="5"/>
        <v>14625158.83</v>
      </c>
      <c r="X8" s="178">
        <f t="shared" si="5"/>
        <v>13528752.4</v>
      </c>
      <c r="Y8" s="178">
        <f t="shared" si="5"/>
        <v>12241517.880000001</v>
      </c>
      <c r="Z8" s="178">
        <f t="shared" si="5"/>
        <v>11549270.890000001</v>
      </c>
      <c r="AA8" s="178">
        <f t="shared" si="5"/>
        <v>12615115.480000002</v>
      </c>
      <c r="AB8" s="178">
        <f t="shared" si="5"/>
        <v>12988124.790000003</v>
      </c>
      <c r="AC8" s="178">
        <f t="shared" si="5"/>
        <v>14110600.200000003</v>
      </c>
      <c r="AD8" s="178">
        <f t="shared" si="5"/>
        <v>14878761.230000004</v>
      </c>
      <c r="AE8" s="178">
        <f t="shared" si="5"/>
        <v>159785047.48000002</v>
      </c>
      <c r="AF8" s="266">
        <f t="shared" si="2"/>
        <v>532.47745780000002</v>
      </c>
      <c r="AG8" s="2"/>
      <c r="AH8" s="178">
        <f t="shared" ref="AH8:AT8" si="6">SUM(AH4:AH7)</f>
        <v>48519877.326666668</v>
      </c>
      <c r="AI8" s="178">
        <f t="shared" si="6"/>
        <v>32438215.119999997</v>
      </c>
      <c r="AJ8" s="178">
        <f t="shared" si="6"/>
        <v>31762479.199999996</v>
      </c>
      <c r="AK8" s="178">
        <f t="shared" si="6"/>
        <v>30585636.200000003</v>
      </c>
      <c r="AL8" s="178">
        <f t="shared" si="6"/>
        <v>34645607.450000003</v>
      </c>
      <c r="AM8" s="178">
        <f t="shared" si="6"/>
        <v>33323323.41</v>
      </c>
      <c r="AN8" s="178">
        <f t="shared" si="6"/>
        <v>30526504.229999997</v>
      </c>
      <c r="AO8" s="178">
        <f t="shared" si="6"/>
        <v>28023856.140000001</v>
      </c>
      <c r="AP8" s="178">
        <f t="shared" si="6"/>
        <v>27927987.149999999</v>
      </c>
      <c r="AQ8" s="178">
        <f t="shared" si="6"/>
        <v>27847842.939999998</v>
      </c>
      <c r="AR8" s="178">
        <f t="shared" si="6"/>
        <v>30165595.280000005</v>
      </c>
      <c r="AS8" s="178">
        <f t="shared" si="6"/>
        <v>32798468.520000003</v>
      </c>
      <c r="AT8" s="178">
        <f t="shared" si="6"/>
        <v>388565392.96666664</v>
      </c>
      <c r="AU8" s="178"/>
      <c r="AW8" s="187">
        <f>SUM(AW4:AW7)</f>
        <v>1127.2057164666664</v>
      </c>
      <c r="AX8" s="186">
        <f>SUM(AX4:AX7)</f>
        <v>985.54567060000011</v>
      </c>
      <c r="AY8" s="186">
        <f>SUM(AY4:AY7)</f>
        <v>864.78347519999988</v>
      </c>
      <c r="AZ8" s="185">
        <f>SUM(AZ4:AZ7)</f>
        <v>908.11906739999995</v>
      </c>
    </row>
    <row r="9" spans="1:52" x14ac:dyDescent="0.3">
      <c r="Q9" s="176">
        <f t="shared" si="1"/>
        <v>0</v>
      </c>
      <c r="R9" s="2"/>
      <c r="AG9" s="2"/>
      <c r="AU9"/>
      <c r="AW9" s="183"/>
      <c r="AX9" s="182"/>
      <c r="AY9" s="182"/>
      <c r="AZ9" s="181"/>
    </row>
    <row r="10" spans="1:52" x14ac:dyDescent="0.3">
      <c r="A10" t="s">
        <v>104</v>
      </c>
      <c r="B10" t="s">
        <v>113</v>
      </c>
      <c r="C10" t="s">
        <v>9</v>
      </c>
      <c r="D10" s="184">
        <v>574925</v>
      </c>
      <c r="E10" s="184">
        <v>523154</v>
      </c>
      <c r="F10" s="184">
        <v>553108</v>
      </c>
      <c r="G10" s="184">
        <v>672074</v>
      </c>
      <c r="H10" s="184">
        <v>619412</v>
      </c>
      <c r="I10" s="184">
        <v>527879</v>
      </c>
      <c r="J10" s="184">
        <v>582301</v>
      </c>
      <c r="K10" s="184">
        <v>588258</v>
      </c>
      <c r="L10" s="184">
        <v>513447</v>
      </c>
      <c r="M10" s="184">
        <v>502289</v>
      </c>
      <c r="N10" s="184">
        <v>523874</v>
      </c>
      <c r="O10" s="184">
        <v>504774</v>
      </c>
      <c r="P10" s="184">
        <f t="shared" ref="P10:P16" si="7">SUM(D10:O10)</f>
        <v>6685495</v>
      </c>
      <c r="Q10" s="176">
        <f t="shared" si="1"/>
        <v>23.232610000000001</v>
      </c>
      <c r="R10" s="2"/>
      <c r="S10" s="184">
        <v>44092</v>
      </c>
      <c r="T10" s="184">
        <v>45843</v>
      </c>
      <c r="U10" s="184">
        <v>233768</v>
      </c>
      <c r="V10" s="184">
        <v>211303</v>
      </c>
      <c r="W10" s="184">
        <v>202592</v>
      </c>
      <c r="X10" s="184">
        <v>321798</v>
      </c>
      <c r="Y10" s="184">
        <v>200000</v>
      </c>
      <c r="Z10" s="184">
        <v>200000</v>
      </c>
      <c r="AA10" s="184">
        <v>282784</v>
      </c>
      <c r="AB10" s="184">
        <v>240744</v>
      </c>
      <c r="AC10" s="184">
        <v>436393</v>
      </c>
      <c r="AD10" s="184">
        <v>467317</v>
      </c>
      <c r="AE10" s="184">
        <f t="shared" ref="AE10:AE16" si="8">SUM(S10:AD10)</f>
        <v>2886634</v>
      </c>
      <c r="AF10" s="176">
        <f t="shared" si="2"/>
        <v>5.35006</v>
      </c>
      <c r="AG10" s="2"/>
      <c r="AH10" s="184">
        <f t="shared" ref="AH10:AS16" si="9">D10+S10</f>
        <v>619017</v>
      </c>
      <c r="AI10" s="184">
        <f t="shared" si="9"/>
        <v>568997</v>
      </c>
      <c r="AJ10" s="184">
        <f t="shared" si="9"/>
        <v>786876</v>
      </c>
      <c r="AK10" s="184">
        <f t="shared" si="9"/>
        <v>883377</v>
      </c>
      <c r="AL10" s="184">
        <f t="shared" si="9"/>
        <v>822004</v>
      </c>
      <c r="AM10" s="184">
        <f t="shared" si="9"/>
        <v>849677</v>
      </c>
      <c r="AN10" s="184">
        <f t="shared" si="9"/>
        <v>782301</v>
      </c>
      <c r="AO10" s="184">
        <f t="shared" si="9"/>
        <v>788258</v>
      </c>
      <c r="AP10" s="184">
        <f t="shared" si="9"/>
        <v>796231</v>
      </c>
      <c r="AQ10" s="184">
        <f t="shared" si="9"/>
        <v>743033</v>
      </c>
      <c r="AR10" s="184">
        <f t="shared" si="9"/>
        <v>960267</v>
      </c>
      <c r="AS10" s="184">
        <f t="shared" si="9"/>
        <v>972091</v>
      </c>
      <c r="AT10" s="184">
        <f t="shared" ref="AT10:AT16" si="10">SUM(AH10:AS10)</f>
        <v>9572129</v>
      </c>
      <c r="AU10" s="176">
        <f t="shared" ca="1" si="3"/>
        <v>28.58267</v>
      </c>
      <c r="AW10" s="183">
        <f t="shared" ref="AW10:AW16" si="11">SUM(AH10:AJ10)/10^5</f>
        <v>19.748899999999999</v>
      </c>
      <c r="AX10" s="182">
        <f t="shared" ref="AX10:AX16" si="12">SUM(AK10:AM10)/10^5</f>
        <v>25.55058</v>
      </c>
      <c r="AY10" s="182">
        <f t="shared" ref="AY10:AY16" si="13">SUM(AN10:AP10)/10^5</f>
        <v>23.667899999999999</v>
      </c>
      <c r="AZ10" s="181">
        <f t="shared" ref="AZ10:AZ16" si="14">SUM(AQ10:AS10)/10^5</f>
        <v>26.753910000000001</v>
      </c>
    </row>
    <row r="11" spans="1:52" x14ac:dyDescent="0.3">
      <c r="A11" t="s">
        <v>104</v>
      </c>
      <c r="B11" t="s">
        <v>113</v>
      </c>
      <c r="C11" t="s">
        <v>22</v>
      </c>
      <c r="D11" s="184">
        <v>194012</v>
      </c>
      <c r="E11" s="184">
        <v>179771</v>
      </c>
      <c r="F11" s="184">
        <v>212946</v>
      </c>
      <c r="G11" s="184">
        <v>230727</v>
      </c>
      <c r="H11" s="184">
        <v>228106</v>
      </c>
      <c r="I11" s="184">
        <v>210435</v>
      </c>
      <c r="J11" s="184">
        <v>178855</v>
      </c>
      <c r="K11" s="184">
        <v>202182</v>
      </c>
      <c r="L11" s="184">
        <v>216248</v>
      </c>
      <c r="M11" s="184">
        <v>169625</v>
      </c>
      <c r="N11" s="184">
        <v>240191</v>
      </c>
      <c r="O11" s="184">
        <v>224732</v>
      </c>
      <c r="P11" s="184">
        <f t="shared" si="7"/>
        <v>2487830</v>
      </c>
      <c r="Q11" s="176">
        <f t="shared" si="1"/>
        <v>8.1745599999999996</v>
      </c>
      <c r="R11" s="2"/>
      <c r="S11" s="184">
        <v>10059</v>
      </c>
      <c r="T11" s="184">
        <v>15914</v>
      </c>
      <c r="U11" s="184">
        <v>118669</v>
      </c>
      <c r="V11" s="184">
        <v>216269</v>
      </c>
      <c r="W11" s="184">
        <v>232205</v>
      </c>
      <c r="X11" s="184">
        <v>187608</v>
      </c>
      <c r="Y11" s="184">
        <v>136602</v>
      </c>
      <c r="Z11" s="184">
        <v>169408</v>
      </c>
      <c r="AA11" s="184">
        <v>168751</v>
      </c>
      <c r="AB11" s="184">
        <v>140020</v>
      </c>
      <c r="AC11" s="184">
        <v>136128</v>
      </c>
      <c r="AD11" s="184">
        <v>227923</v>
      </c>
      <c r="AE11" s="184">
        <f t="shared" si="8"/>
        <v>1759556</v>
      </c>
      <c r="AF11" s="176">
        <f t="shared" si="2"/>
        <v>3.6091099999999998</v>
      </c>
      <c r="AG11" s="2"/>
      <c r="AH11" s="184">
        <f t="shared" si="9"/>
        <v>204071</v>
      </c>
      <c r="AI11" s="184">
        <f t="shared" si="9"/>
        <v>195685</v>
      </c>
      <c r="AJ11" s="184">
        <f t="shared" si="9"/>
        <v>331615</v>
      </c>
      <c r="AK11" s="184">
        <f t="shared" si="9"/>
        <v>446996</v>
      </c>
      <c r="AL11" s="184">
        <f t="shared" si="9"/>
        <v>460311</v>
      </c>
      <c r="AM11" s="184">
        <f t="shared" si="9"/>
        <v>398043</v>
      </c>
      <c r="AN11" s="184">
        <f t="shared" si="9"/>
        <v>315457</v>
      </c>
      <c r="AO11" s="184">
        <f t="shared" si="9"/>
        <v>371590</v>
      </c>
      <c r="AP11" s="184">
        <f t="shared" si="9"/>
        <v>384999</v>
      </c>
      <c r="AQ11" s="184">
        <f t="shared" si="9"/>
        <v>309645</v>
      </c>
      <c r="AR11" s="184">
        <f t="shared" si="9"/>
        <v>376319</v>
      </c>
      <c r="AS11" s="184">
        <f t="shared" si="9"/>
        <v>452655</v>
      </c>
      <c r="AT11" s="184">
        <f t="shared" si="10"/>
        <v>4247386</v>
      </c>
      <c r="AU11" s="176">
        <f t="shared" ca="1" si="3"/>
        <v>11.783670000000001</v>
      </c>
      <c r="AW11" s="183">
        <f t="shared" si="11"/>
        <v>7.3137100000000004</v>
      </c>
      <c r="AX11" s="182">
        <f t="shared" si="12"/>
        <v>13.0535</v>
      </c>
      <c r="AY11" s="182">
        <f t="shared" si="13"/>
        <v>10.720459999999999</v>
      </c>
      <c r="AZ11" s="181">
        <f t="shared" si="14"/>
        <v>11.386189999999999</v>
      </c>
    </row>
    <row r="12" spans="1:52" x14ac:dyDescent="0.3">
      <c r="A12" t="s">
        <v>104</v>
      </c>
      <c r="B12" t="s">
        <v>113</v>
      </c>
      <c r="C12" t="s">
        <v>31</v>
      </c>
      <c r="D12" s="184">
        <v>53563</v>
      </c>
      <c r="E12" s="184">
        <v>431950</v>
      </c>
      <c r="F12" s="184">
        <v>486445</v>
      </c>
      <c r="G12" s="184">
        <v>631912</v>
      </c>
      <c r="H12" s="184">
        <v>622019</v>
      </c>
      <c r="I12" s="184">
        <v>605378</v>
      </c>
      <c r="J12" s="184">
        <v>617376</v>
      </c>
      <c r="K12" s="184">
        <v>474367</v>
      </c>
      <c r="L12" s="184">
        <v>471215</v>
      </c>
      <c r="M12" s="184">
        <v>400746</v>
      </c>
      <c r="N12" s="184">
        <v>470141</v>
      </c>
      <c r="O12" s="184">
        <v>489087</v>
      </c>
      <c r="P12" s="184">
        <f t="shared" si="7"/>
        <v>5754199</v>
      </c>
      <c r="Q12" s="176">
        <f t="shared" si="1"/>
        <v>16.038699999999999</v>
      </c>
      <c r="R12" s="2"/>
      <c r="S12" s="184"/>
      <c r="T12" s="184"/>
      <c r="U12" s="184"/>
      <c r="V12" s="184"/>
      <c r="W12" s="184"/>
      <c r="X12" s="184"/>
      <c r="Y12" s="184"/>
      <c r="Z12" s="184"/>
      <c r="AA12" s="184"/>
      <c r="AB12" s="184"/>
      <c r="AC12" s="184"/>
      <c r="AD12" s="184"/>
      <c r="AE12" s="184">
        <f t="shared" si="8"/>
        <v>0</v>
      </c>
      <c r="AF12" s="176">
        <f t="shared" si="2"/>
        <v>0</v>
      </c>
      <c r="AG12" s="2"/>
      <c r="AH12" s="184">
        <f t="shared" si="9"/>
        <v>53563</v>
      </c>
      <c r="AI12" s="184">
        <f t="shared" si="9"/>
        <v>431950</v>
      </c>
      <c r="AJ12" s="184">
        <f t="shared" si="9"/>
        <v>486445</v>
      </c>
      <c r="AK12" s="184">
        <f t="shared" si="9"/>
        <v>631912</v>
      </c>
      <c r="AL12" s="184">
        <f t="shared" si="9"/>
        <v>622019</v>
      </c>
      <c r="AM12" s="184">
        <f t="shared" si="9"/>
        <v>605378</v>
      </c>
      <c r="AN12" s="184">
        <f t="shared" si="9"/>
        <v>617376</v>
      </c>
      <c r="AO12" s="184">
        <f t="shared" si="9"/>
        <v>474367</v>
      </c>
      <c r="AP12" s="184">
        <f t="shared" si="9"/>
        <v>471215</v>
      </c>
      <c r="AQ12" s="184">
        <f t="shared" si="9"/>
        <v>400746</v>
      </c>
      <c r="AR12" s="184">
        <f t="shared" si="9"/>
        <v>470141</v>
      </c>
      <c r="AS12" s="184">
        <f t="shared" si="9"/>
        <v>489087</v>
      </c>
      <c r="AT12" s="184">
        <f t="shared" si="10"/>
        <v>5754199</v>
      </c>
      <c r="AU12" s="176">
        <f t="shared" ca="1" si="3"/>
        <v>16.038699999999999</v>
      </c>
      <c r="AW12" s="183">
        <f t="shared" si="11"/>
        <v>9.7195800000000006</v>
      </c>
      <c r="AX12" s="182">
        <f t="shared" si="12"/>
        <v>18.59309</v>
      </c>
      <c r="AY12" s="182">
        <f t="shared" si="13"/>
        <v>15.629580000000001</v>
      </c>
      <c r="AZ12" s="181">
        <f t="shared" si="14"/>
        <v>13.599740000000001</v>
      </c>
    </row>
    <row r="13" spans="1:52" x14ac:dyDescent="0.3">
      <c r="A13" t="s">
        <v>104</v>
      </c>
      <c r="B13" t="s">
        <v>113</v>
      </c>
      <c r="C13" t="s">
        <v>55</v>
      </c>
      <c r="D13" s="184">
        <v>449154</v>
      </c>
      <c r="E13" s="184">
        <v>304755</v>
      </c>
      <c r="F13" s="184">
        <v>192381</v>
      </c>
      <c r="G13" s="184">
        <v>138542</v>
      </c>
      <c r="H13" s="184">
        <v>116735</v>
      </c>
      <c r="I13" s="184">
        <v>108775</v>
      </c>
      <c r="J13" s="184">
        <v>90469</v>
      </c>
      <c r="K13" s="184">
        <v>96995</v>
      </c>
      <c r="L13" s="184">
        <v>110045</v>
      </c>
      <c r="M13" s="184">
        <v>82985</v>
      </c>
      <c r="N13" s="184">
        <v>106055</v>
      </c>
      <c r="O13" s="184">
        <v>79535</v>
      </c>
      <c r="P13" s="184">
        <f t="shared" si="7"/>
        <v>1876426</v>
      </c>
      <c r="Q13" s="176">
        <f t="shared" si="1"/>
        <v>10.848319999999999</v>
      </c>
      <c r="R13" s="2"/>
      <c r="S13" s="184"/>
      <c r="T13" s="184"/>
      <c r="U13" s="184"/>
      <c r="V13" s="184"/>
      <c r="W13" s="184"/>
      <c r="X13" s="184"/>
      <c r="Y13" s="184"/>
      <c r="Z13" s="184"/>
      <c r="AA13" s="184"/>
      <c r="AB13" s="184"/>
      <c r="AC13" s="184"/>
      <c r="AD13" s="184"/>
      <c r="AE13" s="184">
        <f t="shared" si="8"/>
        <v>0</v>
      </c>
      <c r="AF13" s="176">
        <f t="shared" si="2"/>
        <v>0</v>
      </c>
      <c r="AG13" s="2"/>
      <c r="AH13" s="184">
        <f t="shared" si="9"/>
        <v>449154</v>
      </c>
      <c r="AI13" s="184">
        <f t="shared" si="9"/>
        <v>304755</v>
      </c>
      <c r="AJ13" s="184">
        <f t="shared" si="9"/>
        <v>192381</v>
      </c>
      <c r="AK13" s="184">
        <f t="shared" si="9"/>
        <v>138542</v>
      </c>
      <c r="AL13" s="184">
        <f t="shared" si="9"/>
        <v>116735</v>
      </c>
      <c r="AM13" s="184">
        <f t="shared" si="9"/>
        <v>108775</v>
      </c>
      <c r="AN13" s="184">
        <f t="shared" si="9"/>
        <v>90469</v>
      </c>
      <c r="AO13" s="184">
        <f t="shared" si="9"/>
        <v>96995</v>
      </c>
      <c r="AP13" s="184">
        <f t="shared" si="9"/>
        <v>110045</v>
      </c>
      <c r="AQ13" s="184">
        <f t="shared" si="9"/>
        <v>82985</v>
      </c>
      <c r="AR13" s="184">
        <f t="shared" si="9"/>
        <v>106055</v>
      </c>
      <c r="AS13" s="184">
        <f t="shared" si="9"/>
        <v>79535</v>
      </c>
      <c r="AT13" s="184">
        <f t="shared" si="10"/>
        <v>1876426</v>
      </c>
      <c r="AU13" s="176">
        <f t="shared" ca="1" si="3"/>
        <v>10.848319999999999</v>
      </c>
      <c r="AW13" s="183">
        <f t="shared" si="11"/>
        <v>9.4628999999999994</v>
      </c>
      <c r="AX13" s="182">
        <f t="shared" si="12"/>
        <v>3.64052</v>
      </c>
      <c r="AY13" s="182">
        <f t="shared" si="13"/>
        <v>2.9750899999999998</v>
      </c>
      <c r="AZ13" s="181">
        <f t="shared" si="14"/>
        <v>2.6857500000000001</v>
      </c>
    </row>
    <row r="14" spans="1:52" x14ac:dyDescent="0.3">
      <c r="A14" t="s">
        <v>104</v>
      </c>
      <c r="B14" t="s">
        <v>109</v>
      </c>
      <c r="C14" t="s">
        <v>34</v>
      </c>
      <c r="D14" s="184">
        <v>319528</v>
      </c>
      <c r="E14" s="184">
        <v>441310</v>
      </c>
      <c r="F14" s="184">
        <v>391684</v>
      </c>
      <c r="G14" s="184">
        <v>405676</v>
      </c>
      <c r="H14" s="184">
        <v>426555</v>
      </c>
      <c r="I14" s="184">
        <v>405787</v>
      </c>
      <c r="J14" s="184">
        <v>396829</v>
      </c>
      <c r="K14" s="184">
        <v>440317</v>
      </c>
      <c r="L14" s="184">
        <v>356083</v>
      </c>
      <c r="M14" s="184">
        <v>356176.02</v>
      </c>
      <c r="N14" s="184">
        <v>462067</v>
      </c>
      <c r="O14" s="184">
        <v>498810</v>
      </c>
      <c r="P14" s="184">
        <f t="shared" si="7"/>
        <v>4900822.0199999996</v>
      </c>
      <c r="Q14" s="176">
        <f t="shared" si="1"/>
        <v>15.58198</v>
      </c>
      <c r="R14" s="2"/>
      <c r="S14" s="184">
        <v>1095543</v>
      </c>
      <c r="T14" s="184">
        <v>1598480</v>
      </c>
      <c r="U14" s="184">
        <v>1246833</v>
      </c>
      <c r="V14" s="184">
        <v>1061746</v>
      </c>
      <c r="W14" s="184">
        <v>1322663</v>
      </c>
      <c r="X14" s="184">
        <v>1198169</v>
      </c>
      <c r="Y14" s="184">
        <v>924755</v>
      </c>
      <c r="Z14" s="184">
        <v>817622</v>
      </c>
      <c r="AA14" s="184">
        <v>1126600</v>
      </c>
      <c r="AB14" s="184">
        <v>874765</v>
      </c>
      <c r="AC14" s="184">
        <v>1160329</v>
      </c>
      <c r="AD14" s="184">
        <v>1097031</v>
      </c>
      <c r="AE14" s="184">
        <f t="shared" si="8"/>
        <v>13524536</v>
      </c>
      <c r="AF14" s="176">
        <f t="shared" si="2"/>
        <v>50.026020000000003</v>
      </c>
      <c r="AG14" s="2"/>
      <c r="AH14" s="184">
        <f t="shared" si="9"/>
        <v>1415071</v>
      </c>
      <c r="AI14" s="184">
        <f t="shared" si="9"/>
        <v>2039790</v>
      </c>
      <c r="AJ14" s="184">
        <f t="shared" si="9"/>
        <v>1638517</v>
      </c>
      <c r="AK14" s="184">
        <f t="shared" si="9"/>
        <v>1467422</v>
      </c>
      <c r="AL14" s="184">
        <f t="shared" si="9"/>
        <v>1749218</v>
      </c>
      <c r="AM14" s="184">
        <f t="shared" si="9"/>
        <v>1603956</v>
      </c>
      <c r="AN14" s="184">
        <f t="shared" si="9"/>
        <v>1321584</v>
      </c>
      <c r="AO14" s="184">
        <f t="shared" si="9"/>
        <v>1257939</v>
      </c>
      <c r="AP14" s="184">
        <f t="shared" si="9"/>
        <v>1482683</v>
      </c>
      <c r="AQ14" s="184">
        <f t="shared" si="9"/>
        <v>1230941.02</v>
      </c>
      <c r="AR14" s="184">
        <f t="shared" si="9"/>
        <v>1622396</v>
      </c>
      <c r="AS14" s="184">
        <f t="shared" si="9"/>
        <v>1595841</v>
      </c>
      <c r="AT14" s="184">
        <f t="shared" si="10"/>
        <v>18425358.02</v>
      </c>
      <c r="AU14" s="176">
        <f t="shared" ca="1" si="3"/>
        <v>65.608000000000004</v>
      </c>
      <c r="AW14" s="183">
        <f t="shared" si="11"/>
        <v>50.933779999999999</v>
      </c>
      <c r="AX14" s="182">
        <f t="shared" si="12"/>
        <v>48.205959999999997</v>
      </c>
      <c r="AY14" s="182">
        <f t="shared" si="13"/>
        <v>40.622059999999998</v>
      </c>
      <c r="AZ14" s="181">
        <f t="shared" si="14"/>
        <v>44.491780199999994</v>
      </c>
    </row>
    <row r="15" spans="1:52" x14ac:dyDescent="0.3">
      <c r="A15" t="s">
        <v>104</v>
      </c>
      <c r="B15" t="s">
        <v>50</v>
      </c>
      <c r="C15" t="s">
        <v>35</v>
      </c>
      <c r="D15" s="184">
        <v>956844.80999999994</v>
      </c>
      <c r="E15" s="184">
        <v>913449.77</v>
      </c>
      <c r="F15" s="184">
        <v>788058</v>
      </c>
      <c r="G15" s="184">
        <v>863642</v>
      </c>
      <c r="H15" s="184">
        <v>994344</v>
      </c>
      <c r="I15" s="184">
        <v>862809</v>
      </c>
      <c r="J15" s="184">
        <v>728099</v>
      </c>
      <c r="K15" s="184">
        <v>890400</v>
      </c>
      <c r="L15" s="184">
        <v>805864</v>
      </c>
      <c r="M15" s="184">
        <v>701194</v>
      </c>
      <c r="N15" s="184">
        <v>762988</v>
      </c>
      <c r="O15" s="184">
        <v>811547</v>
      </c>
      <c r="P15" s="184">
        <f t="shared" si="7"/>
        <v>10079239.58</v>
      </c>
      <c r="Q15" s="176">
        <f t="shared" si="1"/>
        <v>35.219945799999998</v>
      </c>
      <c r="R15" s="2"/>
      <c r="S15" s="184"/>
      <c r="T15" s="184"/>
      <c r="U15" s="184"/>
      <c r="V15" s="184"/>
      <c r="W15" s="184"/>
      <c r="X15" s="184"/>
      <c r="Y15" s="184"/>
      <c r="Z15" s="184"/>
      <c r="AA15" s="184"/>
      <c r="AB15" s="184"/>
      <c r="AC15" s="184"/>
      <c r="AD15" s="184"/>
      <c r="AE15" s="184">
        <f t="shared" si="8"/>
        <v>0</v>
      </c>
      <c r="AF15" s="176">
        <f t="shared" si="2"/>
        <v>0</v>
      </c>
      <c r="AG15" s="2"/>
      <c r="AH15" s="184">
        <f t="shared" si="9"/>
        <v>956844.80999999994</v>
      </c>
      <c r="AI15" s="184">
        <f t="shared" si="9"/>
        <v>913449.77</v>
      </c>
      <c r="AJ15" s="184">
        <f t="shared" si="9"/>
        <v>788058</v>
      </c>
      <c r="AK15" s="184">
        <f t="shared" si="9"/>
        <v>863642</v>
      </c>
      <c r="AL15" s="184">
        <f t="shared" si="9"/>
        <v>994344</v>
      </c>
      <c r="AM15" s="184">
        <f t="shared" si="9"/>
        <v>862809</v>
      </c>
      <c r="AN15" s="184">
        <f t="shared" si="9"/>
        <v>728099</v>
      </c>
      <c r="AO15" s="184">
        <f t="shared" si="9"/>
        <v>890400</v>
      </c>
      <c r="AP15" s="184">
        <f t="shared" si="9"/>
        <v>805864</v>
      </c>
      <c r="AQ15" s="184">
        <f t="shared" si="9"/>
        <v>701194</v>
      </c>
      <c r="AR15" s="184">
        <f t="shared" si="9"/>
        <v>762988</v>
      </c>
      <c r="AS15" s="184">
        <f t="shared" si="9"/>
        <v>811547</v>
      </c>
      <c r="AT15" s="184">
        <f t="shared" si="10"/>
        <v>10079239.58</v>
      </c>
      <c r="AU15" s="176">
        <f t="shared" ca="1" si="3"/>
        <v>35.219945799999998</v>
      </c>
      <c r="AW15" s="183">
        <f t="shared" si="11"/>
        <v>26.5835258</v>
      </c>
      <c r="AX15" s="182">
        <f t="shared" si="12"/>
        <v>27.20795</v>
      </c>
      <c r="AY15" s="182">
        <f t="shared" si="13"/>
        <v>24.24363</v>
      </c>
      <c r="AZ15" s="181">
        <f t="shared" si="14"/>
        <v>22.757290000000001</v>
      </c>
    </row>
    <row r="16" spans="1:52" x14ac:dyDescent="0.3">
      <c r="A16" t="s">
        <v>104</v>
      </c>
      <c r="B16" t="s">
        <v>109</v>
      </c>
      <c r="C16" t="s">
        <v>28</v>
      </c>
      <c r="F16" s="184">
        <v>190000</v>
      </c>
      <c r="G16" s="184">
        <v>500000</v>
      </c>
      <c r="H16" s="184">
        <v>500000</v>
      </c>
      <c r="I16" s="184">
        <v>500000</v>
      </c>
      <c r="J16" s="184">
        <v>600000</v>
      </c>
      <c r="K16" s="184">
        <v>704218</v>
      </c>
      <c r="L16" s="184">
        <v>782728</v>
      </c>
      <c r="M16" s="184">
        <v>939489</v>
      </c>
      <c r="N16" s="184">
        <v>948423</v>
      </c>
      <c r="O16" s="184">
        <v>1102600</v>
      </c>
      <c r="P16" s="184">
        <f t="shared" si="7"/>
        <v>6767458</v>
      </c>
      <c r="Q16" s="176">
        <f t="shared" si="1"/>
        <v>6.9</v>
      </c>
      <c r="R16" s="2"/>
      <c r="S16" s="184">
        <v>3889376.8899999997</v>
      </c>
      <c r="T16" s="184">
        <v>3655339</v>
      </c>
      <c r="U16" s="184">
        <v>3696159</v>
      </c>
      <c r="V16" s="184">
        <v>3819103</v>
      </c>
      <c r="W16" s="184">
        <v>4048632</v>
      </c>
      <c r="X16" s="184">
        <v>3426937</v>
      </c>
      <c r="Y16" s="184">
        <v>3416910</v>
      </c>
      <c r="Z16" s="184">
        <v>3188613</v>
      </c>
      <c r="AA16" s="184">
        <v>3073398</v>
      </c>
      <c r="AB16" s="184">
        <v>2706198</v>
      </c>
      <c r="AC16" s="184">
        <v>3375107</v>
      </c>
      <c r="AD16" s="184">
        <v>3685240</v>
      </c>
      <c r="AE16" s="184">
        <f t="shared" si="8"/>
        <v>41981012.890000001</v>
      </c>
      <c r="AF16" s="176">
        <f t="shared" si="2"/>
        <v>150.59977890000002</v>
      </c>
      <c r="AG16" s="2"/>
      <c r="AH16" s="184">
        <f t="shared" si="9"/>
        <v>3889376.8899999997</v>
      </c>
      <c r="AI16" s="184">
        <f t="shared" si="9"/>
        <v>3655339</v>
      </c>
      <c r="AJ16" s="184">
        <f t="shared" si="9"/>
        <v>3886159</v>
      </c>
      <c r="AK16" s="184">
        <f t="shared" si="9"/>
        <v>4319103</v>
      </c>
      <c r="AL16" s="184">
        <f t="shared" si="9"/>
        <v>4548632</v>
      </c>
      <c r="AM16" s="184">
        <f t="shared" si="9"/>
        <v>3926937</v>
      </c>
      <c r="AN16" s="184">
        <f t="shared" si="9"/>
        <v>4016910</v>
      </c>
      <c r="AO16" s="184">
        <f t="shared" si="9"/>
        <v>3892831</v>
      </c>
      <c r="AP16" s="184">
        <f t="shared" si="9"/>
        <v>3856126</v>
      </c>
      <c r="AQ16" s="184">
        <f t="shared" si="9"/>
        <v>3645687</v>
      </c>
      <c r="AR16" s="184">
        <f t="shared" si="9"/>
        <v>4323530</v>
      </c>
      <c r="AS16" s="184">
        <f t="shared" si="9"/>
        <v>4787840</v>
      </c>
      <c r="AT16" s="184">
        <f t="shared" si="10"/>
        <v>48748470.890000001</v>
      </c>
      <c r="AU16" s="176">
        <f t="shared" ca="1" si="3"/>
        <v>157.4997789</v>
      </c>
      <c r="AW16" s="183">
        <f t="shared" si="11"/>
        <v>114.30874890000001</v>
      </c>
      <c r="AX16" s="182">
        <f t="shared" si="12"/>
        <v>127.94672</v>
      </c>
      <c r="AY16" s="182">
        <f t="shared" si="13"/>
        <v>117.65867</v>
      </c>
      <c r="AZ16" s="181">
        <f t="shared" si="14"/>
        <v>127.57057</v>
      </c>
    </row>
    <row r="17" spans="1:52" x14ac:dyDescent="0.3">
      <c r="D17" s="178">
        <f t="shared" ref="D17:P17" si="15">SUM(D10:D16)</f>
        <v>2548026.81</v>
      </c>
      <c r="E17" s="178">
        <f t="shared" si="15"/>
        <v>2794389.77</v>
      </c>
      <c r="F17" s="178">
        <f t="shared" si="15"/>
        <v>2814622</v>
      </c>
      <c r="G17" s="178">
        <f t="shared" si="15"/>
        <v>3442573</v>
      </c>
      <c r="H17" s="178">
        <f t="shared" si="15"/>
        <v>3507171</v>
      </c>
      <c r="I17" s="178">
        <f t="shared" si="15"/>
        <v>3221063</v>
      </c>
      <c r="J17" s="178">
        <f t="shared" si="15"/>
        <v>3193929</v>
      </c>
      <c r="K17" s="178">
        <f t="shared" si="15"/>
        <v>3396737</v>
      </c>
      <c r="L17" s="178">
        <f t="shared" si="15"/>
        <v>3255630</v>
      </c>
      <c r="M17" s="178">
        <f t="shared" si="15"/>
        <v>3152504.02</v>
      </c>
      <c r="N17" s="178">
        <f t="shared" si="15"/>
        <v>3513739</v>
      </c>
      <c r="O17" s="178">
        <f t="shared" si="15"/>
        <v>3711085</v>
      </c>
      <c r="P17" s="178">
        <f t="shared" si="15"/>
        <v>38551469.600000001</v>
      </c>
      <c r="Q17" s="266">
        <f t="shared" si="1"/>
        <v>115.9961158</v>
      </c>
      <c r="R17" s="2"/>
      <c r="S17" s="178">
        <f t="shared" ref="S17:AE17" si="16">SUM(S10:S16)</f>
        <v>5039070.8899999997</v>
      </c>
      <c r="T17" s="178">
        <f t="shared" si="16"/>
        <v>5315576</v>
      </c>
      <c r="U17" s="178">
        <f t="shared" si="16"/>
        <v>5295429</v>
      </c>
      <c r="V17" s="178">
        <f t="shared" si="16"/>
        <v>5308421</v>
      </c>
      <c r="W17" s="178">
        <f t="shared" si="16"/>
        <v>5806092</v>
      </c>
      <c r="X17" s="178">
        <f t="shared" si="16"/>
        <v>5134512</v>
      </c>
      <c r="Y17" s="178">
        <f t="shared" si="16"/>
        <v>4678267</v>
      </c>
      <c r="Z17" s="178">
        <f t="shared" si="16"/>
        <v>4375643</v>
      </c>
      <c r="AA17" s="178">
        <f t="shared" si="16"/>
        <v>4651533</v>
      </c>
      <c r="AB17" s="178">
        <f t="shared" si="16"/>
        <v>3961727</v>
      </c>
      <c r="AC17" s="178">
        <f t="shared" si="16"/>
        <v>5107957</v>
      </c>
      <c r="AD17" s="178">
        <f t="shared" si="16"/>
        <v>5477511</v>
      </c>
      <c r="AE17" s="178">
        <f t="shared" si="16"/>
        <v>60151738.890000001</v>
      </c>
      <c r="AF17" s="266">
        <f t="shared" si="2"/>
        <v>209.58496890000001</v>
      </c>
      <c r="AG17" s="2"/>
      <c r="AH17" s="178">
        <f t="shared" ref="AH17:AT17" si="17">SUM(AH10:AH16)</f>
        <v>7587097.6999999993</v>
      </c>
      <c r="AI17" s="178">
        <f t="shared" si="17"/>
        <v>8109965.7699999996</v>
      </c>
      <c r="AJ17" s="178">
        <f t="shared" si="17"/>
        <v>8110051</v>
      </c>
      <c r="AK17" s="178">
        <f t="shared" si="17"/>
        <v>8750994</v>
      </c>
      <c r="AL17" s="178">
        <f t="shared" si="17"/>
        <v>9313263</v>
      </c>
      <c r="AM17" s="178">
        <f t="shared" si="17"/>
        <v>8355575</v>
      </c>
      <c r="AN17" s="178">
        <f t="shared" si="17"/>
        <v>7872196</v>
      </c>
      <c r="AO17" s="178">
        <f t="shared" si="17"/>
        <v>7772380</v>
      </c>
      <c r="AP17" s="178">
        <f t="shared" si="17"/>
        <v>7907163</v>
      </c>
      <c r="AQ17" s="178">
        <f t="shared" si="17"/>
        <v>7114231.0199999996</v>
      </c>
      <c r="AR17" s="178">
        <f t="shared" si="17"/>
        <v>8621696</v>
      </c>
      <c r="AS17" s="178">
        <f t="shared" si="17"/>
        <v>9188596</v>
      </c>
      <c r="AT17" s="178">
        <f t="shared" si="17"/>
        <v>98703208.489999995</v>
      </c>
      <c r="AU17" s="178"/>
      <c r="AW17" s="199">
        <f>SUM(AW10:AW16)</f>
        <v>238.07114469999999</v>
      </c>
      <c r="AX17" s="178">
        <f>SUM(AX10:AX16)</f>
        <v>264.19831999999997</v>
      </c>
      <c r="AY17" s="178">
        <f>SUM(AY10:AY16)</f>
        <v>235.51738999999998</v>
      </c>
      <c r="AZ17" s="198">
        <f>SUM(AZ10:AZ16)</f>
        <v>249.24523019999998</v>
      </c>
    </row>
    <row r="18" spans="1:52" x14ac:dyDescent="0.3">
      <c r="Q18" s="176">
        <f t="shared" si="1"/>
        <v>0</v>
      </c>
      <c r="R18" s="2"/>
      <c r="AG18" s="2"/>
      <c r="AU18"/>
      <c r="AW18" s="183"/>
      <c r="AX18" s="182"/>
      <c r="AY18" s="182"/>
      <c r="AZ18" s="181"/>
    </row>
    <row r="19" spans="1:52" x14ac:dyDescent="0.3">
      <c r="A19" t="s">
        <v>103</v>
      </c>
      <c r="B19" t="s">
        <v>109</v>
      </c>
      <c r="C19" t="s">
        <v>18</v>
      </c>
      <c r="I19" s="184">
        <v>133485</v>
      </c>
      <c r="J19" s="184">
        <v>97092</v>
      </c>
      <c r="K19" s="184">
        <v>406298</v>
      </c>
      <c r="L19" s="184">
        <v>277035.75</v>
      </c>
      <c r="M19" s="184">
        <v>204956</v>
      </c>
      <c r="N19" s="184">
        <v>246804</v>
      </c>
      <c r="O19" s="184">
        <v>339544</v>
      </c>
      <c r="P19" s="184">
        <f>SUM(D19:O19)</f>
        <v>1705214.75</v>
      </c>
      <c r="Q19" s="176">
        <f t="shared" si="1"/>
        <v>0</v>
      </c>
      <c r="R19" s="2"/>
      <c r="X19" s="184">
        <v>205608</v>
      </c>
      <c r="Y19" s="184">
        <v>351108</v>
      </c>
      <c r="Z19" s="184">
        <v>388702</v>
      </c>
      <c r="AA19" s="184">
        <v>335976</v>
      </c>
      <c r="AB19" s="184">
        <v>389792</v>
      </c>
      <c r="AC19" s="184">
        <v>460869</v>
      </c>
      <c r="AD19" s="184">
        <v>482521</v>
      </c>
      <c r="AE19" s="184">
        <f>SUM(S19:AD19)</f>
        <v>2614576</v>
      </c>
      <c r="AF19" s="176">
        <f t="shared" si="2"/>
        <v>0</v>
      </c>
      <c r="AG19" s="2"/>
      <c r="AH19" s="184">
        <f t="shared" ref="AH19:AS22" si="18">D19+S19</f>
        <v>0</v>
      </c>
      <c r="AI19" s="184">
        <f t="shared" si="18"/>
        <v>0</v>
      </c>
      <c r="AJ19" s="184">
        <f t="shared" si="18"/>
        <v>0</v>
      </c>
      <c r="AK19" s="184">
        <f t="shared" si="18"/>
        <v>0</v>
      </c>
      <c r="AL19" s="184">
        <f t="shared" si="18"/>
        <v>0</v>
      </c>
      <c r="AM19" s="184">
        <f t="shared" si="18"/>
        <v>339093</v>
      </c>
      <c r="AN19" s="184">
        <f t="shared" si="18"/>
        <v>448200</v>
      </c>
      <c r="AO19" s="184">
        <f t="shared" si="18"/>
        <v>795000</v>
      </c>
      <c r="AP19" s="184">
        <f t="shared" si="18"/>
        <v>613011.75</v>
      </c>
      <c r="AQ19" s="184">
        <f t="shared" si="18"/>
        <v>594748</v>
      </c>
      <c r="AR19" s="184">
        <f t="shared" si="18"/>
        <v>707673</v>
      </c>
      <c r="AS19" s="184">
        <f t="shared" si="18"/>
        <v>822065</v>
      </c>
      <c r="AT19" s="184">
        <f>SUM(AH19:AS19)</f>
        <v>4319790.75</v>
      </c>
      <c r="AU19" s="176">
        <f t="shared" ca="1" si="3"/>
        <v>0</v>
      </c>
      <c r="AW19" s="183">
        <f>SUM(AH19:AJ19)/10^5</f>
        <v>0</v>
      </c>
      <c r="AX19" s="182">
        <f>SUM(AK19:AM19)/10^5</f>
        <v>3.39093</v>
      </c>
      <c r="AY19" s="182">
        <f>SUM(AN19:AP19)/10^5</f>
        <v>18.562117499999999</v>
      </c>
      <c r="AZ19" s="181">
        <f>SUM(AQ19:AS19)/10^5</f>
        <v>21.244859999999999</v>
      </c>
    </row>
    <row r="20" spans="1:52" x14ac:dyDescent="0.3">
      <c r="A20" t="s">
        <v>103</v>
      </c>
      <c r="B20" t="s">
        <v>50</v>
      </c>
      <c r="C20" t="s">
        <v>17</v>
      </c>
      <c r="L20" s="184">
        <v>280488</v>
      </c>
      <c r="M20" s="184">
        <v>377602</v>
      </c>
      <c r="N20" s="184">
        <v>407154</v>
      </c>
      <c r="O20" s="184">
        <v>564486</v>
      </c>
      <c r="P20" s="184">
        <f>SUM(D20:O20)</f>
        <v>1629730</v>
      </c>
      <c r="Q20" s="176">
        <f t="shared" si="1"/>
        <v>0</v>
      </c>
      <c r="R20" s="2"/>
      <c r="AE20" s="184">
        <f>SUM(S20:AD20)</f>
        <v>0</v>
      </c>
      <c r="AF20" s="176">
        <f t="shared" si="2"/>
        <v>0</v>
      </c>
      <c r="AG20" s="2"/>
      <c r="AH20" s="184">
        <f t="shared" si="18"/>
        <v>0</v>
      </c>
      <c r="AI20" s="184">
        <f t="shared" si="18"/>
        <v>0</v>
      </c>
      <c r="AJ20" s="184">
        <f t="shared" si="18"/>
        <v>0</v>
      </c>
      <c r="AK20" s="184">
        <f t="shared" si="18"/>
        <v>0</v>
      </c>
      <c r="AL20" s="184">
        <f t="shared" si="18"/>
        <v>0</v>
      </c>
      <c r="AM20" s="184">
        <f t="shared" si="18"/>
        <v>0</v>
      </c>
      <c r="AN20" s="184">
        <f t="shared" si="18"/>
        <v>0</v>
      </c>
      <c r="AO20" s="184">
        <f t="shared" si="18"/>
        <v>0</v>
      </c>
      <c r="AP20" s="184">
        <f t="shared" si="18"/>
        <v>280488</v>
      </c>
      <c r="AQ20" s="184">
        <f t="shared" si="18"/>
        <v>377602</v>
      </c>
      <c r="AR20" s="184">
        <f t="shared" si="18"/>
        <v>407154</v>
      </c>
      <c r="AS20" s="184">
        <f t="shared" si="18"/>
        <v>564486</v>
      </c>
      <c r="AT20" s="184">
        <f>SUM(AH20:AS20)</f>
        <v>1629730</v>
      </c>
      <c r="AU20" s="176">
        <f t="shared" ca="1" si="3"/>
        <v>0</v>
      </c>
      <c r="AW20" s="183">
        <f>SUM(AH20:AJ20)/10^5</f>
        <v>0</v>
      </c>
      <c r="AX20" s="182">
        <f>SUM(AK20:AM20)/10^5</f>
        <v>0</v>
      </c>
      <c r="AY20" s="182">
        <f>SUM(AN20:AP20)/10^5</f>
        <v>2.8048799999999998</v>
      </c>
      <c r="AZ20" s="181">
        <f>SUM(AQ20:AS20)/10^5</f>
        <v>13.492419999999999</v>
      </c>
    </row>
    <row r="21" spans="1:52" x14ac:dyDescent="0.3">
      <c r="A21" t="s">
        <v>103</v>
      </c>
      <c r="B21" t="s">
        <v>109</v>
      </c>
      <c r="C21" t="s">
        <v>23</v>
      </c>
      <c r="J21" s="184">
        <v>46430</v>
      </c>
      <c r="K21" s="184">
        <v>346270</v>
      </c>
      <c r="L21" s="184">
        <v>313665</v>
      </c>
      <c r="M21" s="184">
        <v>732070</v>
      </c>
      <c r="N21" s="184">
        <v>714604</v>
      </c>
      <c r="O21" s="184">
        <v>802415</v>
      </c>
      <c r="P21" s="184">
        <f>SUM(D21:O21)</f>
        <v>2955454</v>
      </c>
      <c r="Q21" s="176">
        <f t="shared" si="1"/>
        <v>0</v>
      </c>
      <c r="R21" s="2"/>
      <c r="Y21" s="184">
        <v>6170</v>
      </c>
      <c r="Z21" s="184">
        <v>205110</v>
      </c>
      <c r="AA21" s="184">
        <v>368040</v>
      </c>
      <c r="AB21" s="184">
        <v>662330</v>
      </c>
      <c r="AC21" s="184">
        <v>960785</v>
      </c>
      <c r="AD21" s="184">
        <v>1350308</v>
      </c>
      <c r="AE21" s="184">
        <f>SUM(S21:AD21)</f>
        <v>3552743</v>
      </c>
      <c r="AF21" s="176">
        <f t="shared" si="2"/>
        <v>0</v>
      </c>
      <c r="AG21" s="2"/>
      <c r="AH21" s="184">
        <f t="shared" si="18"/>
        <v>0</v>
      </c>
      <c r="AI21" s="184">
        <f t="shared" si="18"/>
        <v>0</v>
      </c>
      <c r="AJ21" s="184">
        <f t="shared" si="18"/>
        <v>0</v>
      </c>
      <c r="AK21" s="184">
        <f t="shared" si="18"/>
        <v>0</v>
      </c>
      <c r="AL21" s="184">
        <f t="shared" si="18"/>
        <v>0</v>
      </c>
      <c r="AM21" s="184">
        <f t="shared" si="18"/>
        <v>0</v>
      </c>
      <c r="AN21" s="184">
        <f t="shared" si="18"/>
        <v>52600</v>
      </c>
      <c r="AO21" s="184">
        <f t="shared" si="18"/>
        <v>551380</v>
      </c>
      <c r="AP21" s="184">
        <f t="shared" si="18"/>
        <v>681705</v>
      </c>
      <c r="AQ21" s="184">
        <f t="shared" si="18"/>
        <v>1394400</v>
      </c>
      <c r="AR21" s="184">
        <f t="shared" si="18"/>
        <v>1675389</v>
      </c>
      <c r="AS21" s="184">
        <f t="shared" si="18"/>
        <v>2152723</v>
      </c>
      <c r="AT21" s="184">
        <f>SUM(AH21:AS21)</f>
        <v>6508197</v>
      </c>
      <c r="AU21" s="176">
        <f t="shared" ca="1" si="3"/>
        <v>0</v>
      </c>
      <c r="AW21" s="183">
        <f>SUM(AH21:AJ21)/10^5</f>
        <v>0</v>
      </c>
      <c r="AX21" s="182">
        <f>SUM(AK21:AM21)/10^5</f>
        <v>0</v>
      </c>
      <c r="AY21" s="182">
        <f>SUM(AN21:AP21)/10^5</f>
        <v>12.85685</v>
      </c>
      <c r="AZ21" s="181">
        <f>SUM(AQ21:AS21)/10^5</f>
        <v>52.225119999999997</v>
      </c>
    </row>
    <row r="22" spans="1:52" x14ac:dyDescent="0.3">
      <c r="A22" t="s">
        <v>103</v>
      </c>
      <c r="B22" t="s">
        <v>50</v>
      </c>
      <c r="C22" t="s">
        <v>33</v>
      </c>
      <c r="F22" s="184">
        <v>6267</v>
      </c>
      <c r="G22" s="184">
        <v>29205</v>
      </c>
      <c r="H22" s="184">
        <v>71209</v>
      </c>
      <c r="I22" s="184">
        <v>78977</v>
      </c>
      <c r="J22" s="184">
        <v>70090</v>
      </c>
      <c r="K22" s="184">
        <v>85269</v>
      </c>
      <c r="L22" s="184">
        <v>139409</v>
      </c>
      <c r="M22" s="184">
        <v>189431</v>
      </c>
      <c r="N22" s="184">
        <v>226616</v>
      </c>
      <c r="O22" s="184">
        <v>353381</v>
      </c>
      <c r="P22" s="184">
        <f>SUM(D22:O22)</f>
        <v>1249854</v>
      </c>
      <c r="Q22" s="176">
        <f t="shared" si="1"/>
        <v>0.35471999999999998</v>
      </c>
      <c r="R22" s="2"/>
      <c r="AE22" s="184"/>
      <c r="AG22" s="2"/>
      <c r="AH22" s="184">
        <f t="shared" si="18"/>
        <v>0</v>
      </c>
      <c r="AI22" s="184">
        <f t="shared" si="18"/>
        <v>0</v>
      </c>
      <c r="AJ22" s="184">
        <f t="shared" si="18"/>
        <v>6267</v>
      </c>
      <c r="AK22" s="184">
        <f t="shared" si="18"/>
        <v>29205</v>
      </c>
      <c r="AL22" s="184">
        <f t="shared" si="18"/>
        <v>71209</v>
      </c>
      <c r="AM22" s="184">
        <f t="shared" si="18"/>
        <v>78977</v>
      </c>
      <c r="AN22" s="184">
        <f t="shared" si="18"/>
        <v>70090</v>
      </c>
      <c r="AO22" s="184">
        <f t="shared" si="18"/>
        <v>85269</v>
      </c>
      <c r="AP22" s="184">
        <f t="shared" si="18"/>
        <v>139409</v>
      </c>
      <c r="AQ22" s="184">
        <f t="shared" si="18"/>
        <v>189431</v>
      </c>
      <c r="AR22" s="184">
        <f t="shared" si="18"/>
        <v>226616</v>
      </c>
      <c r="AS22" s="184">
        <f t="shared" si="18"/>
        <v>353381</v>
      </c>
      <c r="AT22" s="184">
        <f>SUM(AH22:AS22)</f>
        <v>1249854</v>
      </c>
      <c r="AU22" s="176">
        <f t="shared" ca="1" si="3"/>
        <v>0.35471999999999998</v>
      </c>
      <c r="AW22" s="183">
        <f>SUM(AH22:AJ22)/10^5</f>
        <v>6.2670000000000003E-2</v>
      </c>
      <c r="AX22" s="182">
        <f>SUM(AK22:AM22)/10^5</f>
        <v>1.7939099999999999</v>
      </c>
      <c r="AY22" s="182">
        <f>SUM(AN22:AP22)/10^5</f>
        <v>2.9476800000000001</v>
      </c>
      <c r="AZ22" s="181">
        <f>SUM(AQ22:AS22)/10^5</f>
        <v>7.69428</v>
      </c>
    </row>
    <row r="23" spans="1:52" x14ac:dyDescent="0.3">
      <c r="D23" s="178">
        <f t="shared" ref="D23:P23" si="19">SUM(D19:D22)</f>
        <v>0</v>
      </c>
      <c r="E23" s="178">
        <f t="shared" si="19"/>
        <v>0</v>
      </c>
      <c r="F23" s="178">
        <f t="shared" si="19"/>
        <v>6267</v>
      </c>
      <c r="G23" s="178">
        <f t="shared" si="19"/>
        <v>29205</v>
      </c>
      <c r="H23" s="178">
        <f t="shared" si="19"/>
        <v>71209</v>
      </c>
      <c r="I23" s="178">
        <f t="shared" si="19"/>
        <v>212462</v>
      </c>
      <c r="J23" s="178">
        <f t="shared" si="19"/>
        <v>213612</v>
      </c>
      <c r="K23" s="178">
        <f t="shared" si="19"/>
        <v>837837</v>
      </c>
      <c r="L23" s="178">
        <f t="shared" si="19"/>
        <v>1010597.75</v>
      </c>
      <c r="M23" s="178">
        <f t="shared" si="19"/>
        <v>1504059</v>
      </c>
      <c r="N23" s="178">
        <f t="shared" si="19"/>
        <v>1595178</v>
      </c>
      <c r="O23" s="178">
        <f t="shared" si="19"/>
        <v>2059826</v>
      </c>
      <c r="P23" s="178">
        <f t="shared" si="19"/>
        <v>7540252.75</v>
      </c>
      <c r="Q23" s="266">
        <f t="shared" si="1"/>
        <v>0.35471999999999998</v>
      </c>
      <c r="R23" s="2"/>
      <c r="S23" s="178">
        <f t="shared" ref="S23:AE23" si="20">SUM(S19:S22)</f>
        <v>0</v>
      </c>
      <c r="T23" s="178">
        <f t="shared" si="20"/>
        <v>0</v>
      </c>
      <c r="U23" s="178">
        <f t="shared" si="20"/>
        <v>0</v>
      </c>
      <c r="V23" s="178">
        <f t="shared" si="20"/>
        <v>0</v>
      </c>
      <c r="W23" s="178">
        <f t="shared" si="20"/>
        <v>0</v>
      </c>
      <c r="X23" s="178">
        <f t="shared" si="20"/>
        <v>205608</v>
      </c>
      <c r="Y23" s="178">
        <f t="shared" si="20"/>
        <v>357278</v>
      </c>
      <c r="Z23" s="178">
        <f t="shared" si="20"/>
        <v>593812</v>
      </c>
      <c r="AA23" s="178">
        <f t="shared" si="20"/>
        <v>704016</v>
      </c>
      <c r="AB23" s="178">
        <f t="shared" si="20"/>
        <v>1052122</v>
      </c>
      <c r="AC23" s="178">
        <f t="shared" si="20"/>
        <v>1421654</v>
      </c>
      <c r="AD23" s="178">
        <f t="shared" si="20"/>
        <v>1832829</v>
      </c>
      <c r="AE23" s="178">
        <f t="shared" si="20"/>
        <v>6167319</v>
      </c>
      <c r="AF23" s="266">
        <f t="shared" si="2"/>
        <v>0</v>
      </c>
      <c r="AG23" s="2"/>
      <c r="AH23" s="178">
        <f t="shared" ref="AH23:AT23" si="21">SUM(AH19:AH22)</f>
        <v>0</v>
      </c>
      <c r="AI23" s="178">
        <f t="shared" si="21"/>
        <v>0</v>
      </c>
      <c r="AJ23" s="178">
        <f t="shared" si="21"/>
        <v>6267</v>
      </c>
      <c r="AK23" s="178">
        <f t="shared" si="21"/>
        <v>29205</v>
      </c>
      <c r="AL23" s="178">
        <f t="shared" si="21"/>
        <v>71209</v>
      </c>
      <c r="AM23" s="178">
        <f t="shared" si="21"/>
        <v>418070</v>
      </c>
      <c r="AN23" s="178">
        <f t="shared" si="21"/>
        <v>570890</v>
      </c>
      <c r="AO23" s="178">
        <f t="shared" si="21"/>
        <v>1431649</v>
      </c>
      <c r="AP23" s="178">
        <f t="shared" si="21"/>
        <v>1714613.75</v>
      </c>
      <c r="AQ23" s="178">
        <f t="shared" si="21"/>
        <v>2556181</v>
      </c>
      <c r="AR23" s="178">
        <f t="shared" si="21"/>
        <v>3016832</v>
      </c>
      <c r="AS23" s="178">
        <f t="shared" si="21"/>
        <v>3892655</v>
      </c>
      <c r="AT23" s="178">
        <f t="shared" si="21"/>
        <v>13707571.75</v>
      </c>
      <c r="AU23" s="178"/>
      <c r="AW23" s="199">
        <f>SUM(AW19:AW22)</f>
        <v>6.2670000000000003E-2</v>
      </c>
      <c r="AX23" s="178">
        <f>SUM(AX19:AX22)</f>
        <v>5.1848399999999994</v>
      </c>
      <c r="AY23" s="178">
        <f>SUM(AY19:AY22)</f>
        <v>37.171527499999996</v>
      </c>
      <c r="AZ23" s="198">
        <f>SUM(AZ19:AZ22)</f>
        <v>94.656680000000009</v>
      </c>
    </row>
    <row r="24" spans="1:52" x14ac:dyDescent="0.3">
      <c r="Q24" s="176">
        <f t="shared" si="1"/>
        <v>0</v>
      </c>
      <c r="R24" s="2"/>
      <c r="AG24" s="2"/>
      <c r="AU24"/>
      <c r="AW24" s="183"/>
      <c r="AX24" s="182"/>
      <c r="AY24" s="182"/>
      <c r="AZ24" s="181"/>
    </row>
    <row r="25" spans="1:52" x14ac:dyDescent="0.3">
      <c r="A25" t="s">
        <v>102</v>
      </c>
      <c r="B25" t="s">
        <v>56</v>
      </c>
      <c r="C25" t="s">
        <v>27</v>
      </c>
      <c r="N25" s="184">
        <v>490691</v>
      </c>
      <c r="O25" s="184">
        <v>743403</v>
      </c>
      <c r="P25" s="184">
        <f>SUM(D25:O25)</f>
        <v>1234094</v>
      </c>
      <c r="Q25" s="176">
        <f t="shared" si="1"/>
        <v>0</v>
      </c>
      <c r="R25" s="2"/>
      <c r="AE25" s="184">
        <f>SUM(S25:AD25)</f>
        <v>0</v>
      </c>
      <c r="AF25" s="176">
        <f t="shared" si="2"/>
        <v>0</v>
      </c>
      <c r="AG25" s="2"/>
      <c r="AH25" s="184">
        <f t="shared" ref="AH25:AS29" si="22">D25+S25</f>
        <v>0</v>
      </c>
      <c r="AI25" s="184">
        <f t="shared" si="22"/>
        <v>0</v>
      </c>
      <c r="AJ25" s="184">
        <f t="shared" si="22"/>
        <v>0</v>
      </c>
      <c r="AK25" s="184">
        <f t="shared" si="22"/>
        <v>0</v>
      </c>
      <c r="AL25" s="184">
        <f t="shared" si="22"/>
        <v>0</v>
      </c>
      <c r="AM25" s="184">
        <f t="shared" si="22"/>
        <v>0</v>
      </c>
      <c r="AN25" s="184">
        <f t="shared" si="22"/>
        <v>0</v>
      </c>
      <c r="AO25" s="184">
        <f t="shared" si="22"/>
        <v>0</v>
      </c>
      <c r="AP25" s="184">
        <f t="shared" si="22"/>
        <v>0</v>
      </c>
      <c r="AQ25" s="184">
        <f t="shared" si="22"/>
        <v>0</v>
      </c>
      <c r="AR25" s="184">
        <f t="shared" si="22"/>
        <v>490691</v>
      </c>
      <c r="AS25" s="184">
        <f t="shared" si="22"/>
        <v>743403</v>
      </c>
      <c r="AT25" s="184">
        <f>SUM(AH25:AS25)</f>
        <v>1234094</v>
      </c>
      <c r="AU25" s="176">
        <f t="shared" ca="1" si="3"/>
        <v>0</v>
      </c>
      <c r="AW25" s="183">
        <f>SUM(AH25:AJ25)/10^5</f>
        <v>0</v>
      </c>
      <c r="AX25" s="182">
        <f>SUM(AK25:AM25)/10^5</f>
        <v>0</v>
      </c>
      <c r="AY25" s="182">
        <f>SUM(AN25:AP25)/10^5</f>
        <v>0</v>
      </c>
      <c r="AZ25" s="181">
        <f>SUM(AQ25:AS25)/10^5</f>
        <v>12.34094</v>
      </c>
    </row>
    <row r="26" spans="1:52" x14ac:dyDescent="0.3">
      <c r="A26" t="s">
        <v>102</v>
      </c>
      <c r="B26" t="s">
        <v>56</v>
      </c>
      <c r="C26" t="s">
        <v>24</v>
      </c>
      <c r="N26" s="184">
        <v>130976</v>
      </c>
      <c r="O26" s="184">
        <v>624654</v>
      </c>
      <c r="P26" s="184">
        <f>SUM(D26:O26)</f>
        <v>755630</v>
      </c>
      <c r="Q26" s="176">
        <f t="shared" si="1"/>
        <v>0</v>
      </c>
      <c r="R26" s="2"/>
      <c r="AE26" s="184">
        <f>SUM(S26:AD26)</f>
        <v>0</v>
      </c>
      <c r="AF26" s="176">
        <f t="shared" si="2"/>
        <v>0</v>
      </c>
      <c r="AG26" s="2"/>
      <c r="AH26" s="184">
        <f t="shared" si="22"/>
        <v>0</v>
      </c>
      <c r="AI26" s="184">
        <f t="shared" si="22"/>
        <v>0</v>
      </c>
      <c r="AJ26" s="184">
        <f t="shared" si="22"/>
        <v>0</v>
      </c>
      <c r="AK26" s="184">
        <f t="shared" si="22"/>
        <v>0</v>
      </c>
      <c r="AL26" s="184">
        <f t="shared" si="22"/>
        <v>0</v>
      </c>
      <c r="AM26" s="184">
        <f t="shared" si="22"/>
        <v>0</v>
      </c>
      <c r="AN26" s="184">
        <f t="shared" si="22"/>
        <v>0</v>
      </c>
      <c r="AO26" s="184">
        <f t="shared" si="22"/>
        <v>0</v>
      </c>
      <c r="AP26" s="184">
        <f t="shared" si="22"/>
        <v>0</v>
      </c>
      <c r="AQ26" s="184">
        <f t="shared" si="22"/>
        <v>0</v>
      </c>
      <c r="AR26" s="184">
        <f t="shared" si="22"/>
        <v>130976</v>
      </c>
      <c r="AS26" s="184">
        <f t="shared" si="22"/>
        <v>624654</v>
      </c>
      <c r="AT26" s="184">
        <f>SUM(AH26:AS26)</f>
        <v>755630</v>
      </c>
      <c r="AU26" s="176">
        <f t="shared" ca="1" si="3"/>
        <v>0</v>
      </c>
      <c r="AW26" s="183">
        <f>SUM(AH26:AJ26)/10^5</f>
        <v>0</v>
      </c>
      <c r="AX26" s="182">
        <f>SUM(AK26:AM26)/10^5</f>
        <v>0</v>
      </c>
      <c r="AY26" s="182">
        <f>SUM(AN26:AP26)/10^5</f>
        <v>0</v>
      </c>
      <c r="AZ26" s="181">
        <f>SUM(AQ26:AS26)/10^5</f>
        <v>7.5563000000000002</v>
      </c>
    </row>
    <row r="27" spans="1:52" x14ac:dyDescent="0.3">
      <c r="A27" t="s">
        <v>102</v>
      </c>
      <c r="B27" t="s">
        <v>56</v>
      </c>
      <c r="C27" t="s">
        <v>10</v>
      </c>
      <c r="N27">
        <v>55640</v>
      </c>
      <c r="O27" s="184">
        <v>293910</v>
      </c>
      <c r="P27" s="184">
        <f>SUM(D27:O27)</f>
        <v>349550</v>
      </c>
      <c r="Q27" s="176">
        <f t="shared" si="1"/>
        <v>0</v>
      </c>
      <c r="R27" s="2"/>
      <c r="AE27" s="184">
        <f>SUM(S27:AD27)</f>
        <v>0</v>
      </c>
      <c r="AF27" s="176">
        <f t="shared" si="2"/>
        <v>0</v>
      </c>
      <c r="AG27" s="2"/>
      <c r="AH27" s="184">
        <f t="shared" si="22"/>
        <v>0</v>
      </c>
      <c r="AI27" s="184">
        <f t="shared" si="22"/>
        <v>0</v>
      </c>
      <c r="AJ27" s="184">
        <f t="shared" si="22"/>
        <v>0</v>
      </c>
      <c r="AK27" s="184">
        <f t="shared" si="22"/>
        <v>0</v>
      </c>
      <c r="AL27" s="184">
        <f t="shared" si="22"/>
        <v>0</v>
      </c>
      <c r="AM27" s="184">
        <f t="shared" si="22"/>
        <v>0</v>
      </c>
      <c r="AN27" s="184">
        <f t="shared" si="22"/>
        <v>0</v>
      </c>
      <c r="AO27" s="184">
        <f t="shared" si="22"/>
        <v>0</v>
      </c>
      <c r="AP27" s="184">
        <f t="shared" si="22"/>
        <v>0</v>
      </c>
      <c r="AQ27" s="184">
        <f t="shared" si="22"/>
        <v>0</v>
      </c>
      <c r="AR27" s="184">
        <f t="shared" si="22"/>
        <v>55640</v>
      </c>
      <c r="AS27" s="184">
        <f t="shared" si="22"/>
        <v>293910</v>
      </c>
      <c r="AT27" s="184">
        <f>SUM(AH27:AS27)</f>
        <v>349550</v>
      </c>
      <c r="AU27" s="176">
        <f t="shared" ca="1" si="3"/>
        <v>0</v>
      </c>
      <c r="AW27" s="183">
        <f>SUM(AH27:AJ27)/10^5</f>
        <v>0</v>
      </c>
      <c r="AX27" s="182">
        <f>SUM(AK27:AM27)/10^5</f>
        <v>0</v>
      </c>
      <c r="AY27" s="182">
        <f>SUM(AN27:AP27)/10^5</f>
        <v>0</v>
      </c>
      <c r="AZ27" s="181">
        <f>SUM(AQ27:AS27)/10^5</f>
        <v>3.4954999999999998</v>
      </c>
    </row>
    <row r="28" spans="1:52" x14ac:dyDescent="0.3">
      <c r="A28" t="s">
        <v>102</v>
      </c>
      <c r="B28" t="s">
        <v>56</v>
      </c>
      <c r="C28" t="s">
        <v>25</v>
      </c>
      <c r="N28" s="184">
        <v>276740</v>
      </c>
      <c r="O28" s="184">
        <v>818223</v>
      </c>
      <c r="P28" s="184">
        <f>SUM(D28:O28)</f>
        <v>1094963</v>
      </c>
      <c r="Q28" s="176">
        <f t="shared" si="1"/>
        <v>0</v>
      </c>
      <c r="R28" s="2"/>
      <c r="AE28" s="184">
        <f>SUM(S28:AD28)</f>
        <v>0</v>
      </c>
      <c r="AF28" s="176">
        <f t="shared" si="2"/>
        <v>0</v>
      </c>
      <c r="AG28" s="2"/>
      <c r="AH28" s="184">
        <f t="shared" si="22"/>
        <v>0</v>
      </c>
      <c r="AI28" s="184">
        <f t="shared" si="22"/>
        <v>0</v>
      </c>
      <c r="AJ28" s="184">
        <f t="shared" si="22"/>
        <v>0</v>
      </c>
      <c r="AK28" s="184">
        <f t="shared" si="22"/>
        <v>0</v>
      </c>
      <c r="AL28" s="184">
        <f t="shared" si="22"/>
        <v>0</v>
      </c>
      <c r="AM28" s="184">
        <f t="shared" si="22"/>
        <v>0</v>
      </c>
      <c r="AN28" s="184">
        <f t="shared" si="22"/>
        <v>0</v>
      </c>
      <c r="AO28" s="184">
        <f t="shared" si="22"/>
        <v>0</v>
      </c>
      <c r="AP28" s="184">
        <f t="shared" si="22"/>
        <v>0</v>
      </c>
      <c r="AQ28" s="184">
        <f t="shared" si="22"/>
        <v>0</v>
      </c>
      <c r="AR28" s="184">
        <f t="shared" si="22"/>
        <v>276740</v>
      </c>
      <c r="AS28" s="184">
        <f t="shared" si="22"/>
        <v>818223</v>
      </c>
      <c r="AT28" s="184">
        <f>SUM(AH28:AS28)</f>
        <v>1094963</v>
      </c>
      <c r="AU28" s="176">
        <f t="shared" ca="1" si="3"/>
        <v>0</v>
      </c>
      <c r="AW28" s="183">
        <f>SUM(AH28:AJ28)/10^5</f>
        <v>0</v>
      </c>
      <c r="AX28" s="182">
        <f>SUM(AK28:AM28)/10^5</f>
        <v>0</v>
      </c>
      <c r="AY28" s="182">
        <f>SUM(AN28:AP28)/10^5</f>
        <v>0</v>
      </c>
      <c r="AZ28" s="181">
        <f>SUM(AQ28:AS28)/10^5</f>
        <v>10.949630000000001</v>
      </c>
    </row>
    <row r="29" spans="1:52" x14ac:dyDescent="0.3">
      <c r="A29" t="s">
        <v>102</v>
      </c>
      <c r="B29" t="s">
        <v>56</v>
      </c>
      <c r="C29" t="s">
        <v>101</v>
      </c>
      <c r="N29" s="184">
        <v>24248</v>
      </c>
      <c r="O29" s="184">
        <v>11565</v>
      </c>
      <c r="P29" s="184">
        <f>SUM(D29:O29)</f>
        <v>35813</v>
      </c>
      <c r="Q29" s="176">
        <f t="shared" si="1"/>
        <v>0</v>
      </c>
      <c r="R29" s="2"/>
      <c r="AE29" s="184">
        <f>SUM(S29:AD29)</f>
        <v>0</v>
      </c>
      <c r="AF29" s="176">
        <f t="shared" si="2"/>
        <v>0</v>
      </c>
      <c r="AG29" s="2"/>
      <c r="AH29" s="184">
        <f t="shared" si="22"/>
        <v>0</v>
      </c>
      <c r="AI29" s="184">
        <f t="shared" si="22"/>
        <v>0</v>
      </c>
      <c r="AJ29" s="184">
        <f t="shared" si="22"/>
        <v>0</v>
      </c>
      <c r="AK29" s="184">
        <f t="shared" si="22"/>
        <v>0</v>
      </c>
      <c r="AL29" s="184">
        <f t="shared" si="22"/>
        <v>0</v>
      </c>
      <c r="AM29" s="184">
        <f t="shared" si="22"/>
        <v>0</v>
      </c>
      <c r="AN29" s="184">
        <f t="shared" si="22"/>
        <v>0</v>
      </c>
      <c r="AO29" s="184">
        <f t="shared" si="22"/>
        <v>0</v>
      </c>
      <c r="AP29" s="184">
        <f t="shared" si="22"/>
        <v>0</v>
      </c>
      <c r="AQ29" s="184">
        <f t="shared" si="22"/>
        <v>0</v>
      </c>
      <c r="AR29" s="184">
        <f t="shared" si="22"/>
        <v>24248</v>
      </c>
      <c r="AS29" s="184">
        <f t="shared" si="22"/>
        <v>11565</v>
      </c>
      <c r="AT29" s="184">
        <f>SUM(AH29:AS29)</f>
        <v>35813</v>
      </c>
      <c r="AU29" s="176">
        <f t="shared" ca="1" si="3"/>
        <v>0</v>
      </c>
      <c r="AW29" s="183">
        <f>SUM(AH29:AJ29)/10^5</f>
        <v>0</v>
      </c>
      <c r="AX29" s="182">
        <f>SUM(AK29:AM29)/10^5</f>
        <v>0</v>
      </c>
      <c r="AY29" s="182">
        <f>SUM(AN29:AP29)/10^5</f>
        <v>0</v>
      </c>
      <c r="AZ29" s="181">
        <f>SUM(AQ29:AS29)/10^5</f>
        <v>0.35813</v>
      </c>
    </row>
    <row r="30" spans="1:52" x14ac:dyDescent="0.3">
      <c r="D30" s="178">
        <f t="shared" ref="D30:P30" si="23">SUM(D25:D29)</f>
        <v>0</v>
      </c>
      <c r="E30" s="178">
        <f t="shared" si="23"/>
        <v>0</v>
      </c>
      <c r="F30" s="178">
        <f t="shared" si="23"/>
        <v>0</v>
      </c>
      <c r="G30" s="178">
        <f t="shared" si="23"/>
        <v>0</v>
      </c>
      <c r="H30" s="178">
        <f t="shared" si="23"/>
        <v>0</v>
      </c>
      <c r="I30" s="178">
        <f t="shared" si="23"/>
        <v>0</v>
      </c>
      <c r="J30" s="178">
        <f t="shared" si="23"/>
        <v>0</v>
      </c>
      <c r="K30" s="178">
        <f t="shared" si="23"/>
        <v>0</v>
      </c>
      <c r="L30" s="178">
        <f t="shared" si="23"/>
        <v>0</v>
      </c>
      <c r="M30" s="178">
        <f t="shared" si="23"/>
        <v>0</v>
      </c>
      <c r="N30" s="178">
        <f t="shared" si="23"/>
        <v>978295</v>
      </c>
      <c r="O30" s="178">
        <f t="shared" si="23"/>
        <v>2491755</v>
      </c>
      <c r="P30" s="178">
        <f t="shared" si="23"/>
        <v>3470050</v>
      </c>
      <c r="Q30" s="266">
        <f t="shared" si="1"/>
        <v>0</v>
      </c>
      <c r="R30" s="2"/>
      <c r="S30" s="178">
        <f t="shared" ref="S30:AE30" si="24">SUM(S25:S29)</f>
        <v>0</v>
      </c>
      <c r="T30" s="178">
        <f t="shared" si="24"/>
        <v>0</v>
      </c>
      <c r="U30" s="178">
        <f t="shared" si="24"/>
        <v>0</v>
      </c>
      <c r="V30" s="178">
        <f t="shared" si="24"/>
        <v>0</v>
      </c>
      <c r="W30" s="178">
        <f t="shared" si="24"/>
        <v>0</v>
      </c>
      <c r="X30" s="178">
        <f t="shared" si="24"/>
        <v>0</v>
      </c>
      <c r="Y30" s="178">
        <f t="shared" si="24"/>
        <v>0</v>
      </c>
      <c r="Z30" s="178">
        <f t="shared" si="24"/>
        <v>0</v>
      </c>
      <c r="AA30" s="178">
        <f t="shared" si="24"/>
        <v>0</v>
      </c>
      <c r="AB30" s="178">
        <f t="shared" si="24"/>
        <v>0</v>
      </c>
      <c r="AC30" s="178">
        <f t="shared" si="24"/>
        <v>0</v>
      </c>
      <c r="AD30" s="178">
        <f t="shared" si="24"/>
        <v>0</v>
      </c>
      <c r="AE30" s="178">
        <f t="shared" si="24"/>
        <v>0</v>
      </c>
      <c r="AF30" s="266">
        <f t="shared" si="2"/>
        <v>0</v>
      </c>
      <c r="AG30" s="2"/>
      <c r="AH30" s="178">
        <f t="shared" ref="AH30:AT30" si="25">SUM(AH25:AH29)</f>
        <v>0</v>
      </c>
      <c r="AI30" s="178">
        <f t="shared" si="25"/>
        <v>0</v>
      </c>
      <c r="AJ30" s="178">
        <f t="shared" si="25"/>
        <v>0</v>
      </c>
      <c r="AK30" s="178">
        <f t="shared" si="25"/>
        <v>0</v>
      </c>
      <c r="AL30" s="178">
        <f t="shared" si="25"/>
        <v>0</v>
      </c>
      <c r="AM30" s="178">
        <f t="shared" si="25"/>
        <v>0</v>
      </c>
      <c r="AN30" s="178">
        <f t="shared" si="25"/>
        <v>0</v>
      </c>
      <c r="AO30" s="178">
        <f t="shared" si="25"/>
        <v>0</v>
      </c>
      <c r="AP30" s="178">
        <f t="shared" si="25"/>
        <v>0</v>
      </c>
      <c r="AQ30" s="178">
        <f t="shared" si="25"/>
        <v>0</v>
      </c>
      <c r="AR30" s="178">
        <f t="shared" si="25"/>
        <v>978295</v>
      </c>
      <c r="AS30" s="178">
        <f t="shared" si="25"/>
        <v>2491755</v>
      </c>
      <c r="AT30" s="178">
        <f t="shared" si="25"/>
        <v>3470050</v>
      </c>
      <c r="AU30" s="178"/>
      <c r="AW30" s="199">
        <f>SUM(AW25:AW29)</f>
        <v>0</v>
      </c>
      <c r="AX30" s="178">
        <f>SUM(AX25:AX29)</f>
        <v>0</v>
      </c>
      <c r="AY30" s="178">
        <f>SUM(AY25:AY29)</f>
        <v>0</v>
      </c>
      <c r="AZ30" s="198">
        <f>SUM(AZ25:AZ29)</f>
        <v>34.700500000000005</v>
      </c>
    </row>
    <row r="31" spans="1:52" x14ac:dyDescent="0.3">
      <c r="R31" s="2"/>
      <c r="AG31" s="2"/>
      <c r="AU31"/>
      <c r="AW31" s="183"/>
      <c r="AX31" s="182"/>
      <c r="AY31" s="182"/>
      <c r="AZ31" s="181"/>
    </row>
    <row r="32" spans="1:52" x14ac:dyDescent="0.3">
      <c r="R32" s="2"/>
      <c r="AG32" s="2"/>
      <c r="AH32" s="184"/>
      <c r="AI32" s="184"/>
      <c r="AJ32" s="184"/>
      <c r="AK32" s="184"/>
      <c r="AL32" s="184"/>
      <c r="AM32" s="184"/>
      <c r="AN32" s="184"/>
      <c r="AO32" s="184"/>
      <c r="AP32" s="184"/>
      <c r="AQ32" s="184"/>
      <c r="AR32" s="184"/>
      <c r="AS32" s="184"/>
      <c r="AT32" s="184"/>
      <c r="AU32" s="184"/>
      <c r="AW32" s="183"/>
      <c r="AX32" s="182"/>
      <c r="AY32" s="182"/>
      <c r="AZ32" s="181"/>
    </row>
    <row r="33" spans="2:52" x14ac:dyDescent="0.3">
      <c r="R33" s="2"/>
      <c r="AG33" s="2"/>
      <c r="AH33" s="184"/>
      <c r="AI33" s="184"/>
      <c r="AJ33" s="184"/>
      <c r="AK33" s="184"/>
      <c r="AL33" s="184"/>
      <c r="AM33" s="184"/>
      <c r="AN33" s="184"/>
      <c r="AO33" s="184"/>
      <c r="AP33" s="184"/>
      <c r="AQ33" s="184"/>
      <c r="AR33" s="184"/>
      <c r="AS33" s="184"/>
      <c r="AT33" s="184"/>
      <c r="AU33" s="184"/>
      <c r="AW33" s="183"/>
      <c r="AX33" s="182"/>
      <c r="AY33" s="182"/>
      <c r="AZ33" s="181"/>
    </row>
    <row r="34" spans="2:52" x14ac:dyDescent="0.3">
      <c r="D34" s="178">
        <f t="shared" ref="D34:P34" si="26">D32+D33</f>
        <v>0</v>
      </c>
      <c r="E34" s="178">
        <f t="shared" si="26"/>
        <v>0</v>
      </c>
      <c r="F34" s="178">
        <f t="shared" si="26"/>
        <v>0</v>
      </c>
      <c r="G34" s="178">
        <f t="shared" si="26"/>
        <v>0</v>
      </c>
      <c r="H34" s="178">
        <f t="shared" si="26"/>
        <v>0</v>
      </c>
      <c r="I34" s="178">
        <f t="shared" si="26"/>
        <v>0</v>
      </c>
      <c r="J34" s="178">
        <f t="shared" si="26"/>
        <v>0</v>
      </c>
      <c r="K34" s="178">
        <f t="shared" si="26"/>
        <v>0</v>
      </c>
      <c r="L34" s="178">
        <f t="shared" si="26"/>
        <v>0</v>
      </c>
      <c r="M34" s="178">
        <f t="shared" si="26"/>
        <v>0</v>
      </c>
      <c r="N34" s="178">
        <f t="shared" si="26"/>
        <v>0</v>
      </c>
      <c r="O34" s="178">
        <f t="shared" si="26"/>
        <v>0</v>
      </c>
      <c r="P34" s="178">
        <f t="shared" si="26"/>
        <v>0</v>
      </c>
      <c r="Q34" s="266"/>
      <c r="R34" s="2"/>
      <c r="S34" s="178">
        <f t="shared" ref="S34:AE34" si="27">S32+S33</f>
        <v>0</v>
      </c>
      <c r="T34" s="178">
        <f t="shared" si="27"/>
        <v>0</v>
      </c>
      <c r="U34" s="178">
        <f t="shared" si="27"/>
        <v>0</v>
      </c>
      <c r="V34" s="178">
        <f t="shared" si="27"/>
        <v>0</v>
      </c>
      <c r="W34" s="178">
        <f t="shared" si="27"/>
        <v>0</v>
      </c>
      <c r="X34" s="178">
        <f t="shared" si="27"/>
        <v>0</v>
      </c>
      <c r="Y34" s="178">
        <f t="shared" si="27"/>
        <v>0</v>
      </c>
      <c r="Z34" s="178">
        <f t="shared" si="27"/>
        <v>0</v>
      </c>
      <c r="AA34" s="178">
        <f t="shared" si="27"/>
        <v>0</v>
      </c>
      <c r="AB34" s="178">
        <f t="shared" si="27"/>
        <v>0</v>
      </c>
      <c r="AC34" s="178">
        <f t="shared" si="27"/>
        <v>0</v>
      </c>
      <c r="AD34" s="178">
        <f t="shared" si="27"/>
        <v>0</v>
      </c>
      <c r="AE34" s="178">
        <f t="shared" si="27"/>
        <v>0</v>
      </c>
      <c r="AF34" s="266"/>
      <c r="AG34" s="2"/>
      <c r="AH34" s="178">
        <f t="shared" ref="AH34:AT34" si="28">AH32+AH33</f>
        <v>0</v>
      </c>
      <c r="AI34" s="178">
        <f t="shared" si="28"/>
        <v>0</v>
      </c>
      <c r="AJ34" s="178">
        <f t="shared" si="28"/>
        <v>0</v>
      </c>
      <c r="AK34" s="178">
        <f t="shared" si="28"/>
        <v>0</v>
      </c>
      <c r="AL34" s="178">
        <f t="shared" si="28"/>
        <v>0</v>
      </c>
      <c r="AM34" s="178">
        <f t="shared" si="28"/>
        <v>0</v>
      </c>
      <c r="AN34" s="178">
        <f t="shared" si="28"/>
        <v>0</v>
      </c>
      <c r="AO34" s="178">
        <f t="shared" si="28"/>
        <v>0</v>
      </c>
      <c r="AP34" s="178">
        <f t="shared" si="28"/>
        <v>0</v>
      </c>
      <c r="AQ34" s="178">
        <f t="shared" si="28"/>
        <v>0</v>
      </c>
      <c r="AR34" s="178">
        <f t="shared" si="28"/>
        <v>0</v>
      </c>
      <c r="AS34" s="178">
        <f t="shared" si="28"/>
        <v>0</v>
      </c>
      <c r="AT34" s="178">
        <f t="shared" si="28"/>
        <v>0</v>
      </c>
      <c r="AU34" s="266">
        <f>SUM(AU32:AU33)</f>
        <v>0</v>
      </c>
      <c r="AW34" s="199">
        <f>AW32+AW33</f>
        <v>0</v>
      </c>
      <c r="AX34" s="178">
        <f>AX32+AX33</f>
        <v>0</v>
      </c>
      <c r="AY34" s="178">
        <f>AY32+AY33</f>
        <v>0</v>
      </c>
      <c r="AZ34" s="198">
        <f>AZ32+AZ33</f>
        <v>0</v>
      </c>
    </row>
    <row r="35" spans="2:52" x14ac:dyDescent="0.3">
      <c r="R35" s="2"/>
      <c r="AG35" s="2"/>
      <c r="AW35" s="4"/>
      <c r="AX35"/>
      <c r="AY35"/>
      <c r="AZ35" s="5"/>
    </row>
    <row r="36" spans="2:52" x14ac:dyDescent="0.3">
      <c r="C36" t="s">
        <v>100</v>
      </c>
      <c r="D36" s="178">
        <f t="shared" ref="D36:P36" si="29">D8+D17+D23+D30+D34</f>
        <v>37835572.310000002</v>
      </c>
      <c r="E36" s="178">
        <f t="shared" si="29"/>
        <v>21999627.063333329</v>
      </c>
      <c r="F36" s="178">
        <f t="shared" si="29"/>
        <v>21163639.373333327</v>
      </c>
      <c r="G36" s="178">
        <f t="shared" si="29"/>
        <v>20694706.899999999</v>
      </c>
      <c r="H36" s="178">
        <f t="shared" si="29"/>
        <v>23598828.620000001</v>
      </c>
      <c r="I36" s="178">
        <f t="shared" si="29"/>
        <v>23228096.009999998</v>
      </c>
      <c r="J36" s="178">
        <f t="shared" si="29"/>
        <v>21692527.350000001</v>
      </c>
      <c r="K36" s="178">
        <f t="shared" si="29"/>
        <v>20709159.25</v>
      </c>
      <c r="L36" s="178">
        <f t="shared" si="29"/>
        <v>19579099.419999998</v>
      </c>
      <c r="M36" s="178">
        <f t="shared" si="29"/>
        <v>19516281.169999998</v>
      </c>
      <c r="N36" s="178">
        <f t="shared" si="29"/>
        <v>22142207.079999998</v>
      </c>
      <c r="O36" s="178">
        <f t="shared" si="29"/>
        <v>26182373.289999999</v>
      </c>
      <c r="P36" s="178">
        <f t="shared" si="29"/>
        <v>278342117.83666664</v>
      </c>
      <c r="Q36" s="266"/>
      <c r="R36" s="2"/>
      <c r="S36" s="178">
        <f t="shared" ref="S36:AE36" si="30">S8+S17+S23+S30+S34</f>
        <v>18271402.716666665</v>
      </c>
      <c r="T36" s="178">
        <f t="shared" si="30"/>
        <v>18548553.826666668</v>
      </c>
      <c r="U36" s="178">
        <f t="shared" si="30"/>
        <v>18715157.826666668</v>
      </c>
      <c r="V36" s="178">
        <f t="shared" si="30"/>
        <v>18671128.300000001</v>
      </c>
      <c r="W36" s="178">
        <f t="shared" si="30"/>
        <v>20431250.829999998</v>
      </c>
      <c r="X36" s="178">
        <f t="shared" si="30"/>
        <v>18868872.399999999</v>
      </c>
      <c r="Y36" s="178">
        <f t="shared" si="30"/>
        <v>17277062.880000003</v>
      </c>
      <c r="Z36" s="178">
        <f t="shared" si="30"/>
        <v>16518725.890000001</v>
      </c>
      <c r="AA36" s="178">
        <f t="shared" si="30"/>
        <v>17970664.480000004</v>
      </c>
      <c r="AB36" s="178">
        <f t="shared" si="30"/>
        <v>18001973.790000003</v>
      </c>
      <c r="AC36" s="178">
        <f t="shared" si="30"/>
        <v>20640211.200000003</v>
      </c>
      <c r="AD36" s="178">
        <f t="shared" si="30"/>
        <v>22189101.230000004</v>
      </c>
      <c r="AE36" s="178">
        <f t="shared" si="30"/>
        <v>226104105.37</v>
      </c>
      <c r="AF36" s="266"/>
      <c r="AG36" s="2"/>
      <c r="AH36" s="178">
        <f t="shared" ref="AH36:AT36" si="31">AH8+AH17+AH23+AH30+AH34</f>
        <v>56106975.026666671</v>
      </c>
      <c r="AI36" s="178">
        <f t="shared" si="31"/>
        <v>40548180.890000001</v>
      </c>
      <c r="AJ36" s="178">
        <f t="shared" si="31"/>
        <v>39878797.199999996</v>
      </c>
      <c r="AK36" s="178">
        <f t="shared" si="31"/>
        <v>39365835.200000003</v>
      </c>
      <c r="AL36" s="178">
        <f t="shared" si="31"/>
        <v>44030079.450000003</v>
      </c>
      <c r="AM36" s="178">
        <f t="shared" si="31"/>
        <v>42096968.409999996</v>
      </c>
      <c r="AN36" s="178">
        <f t="shared" si="31"/>
        <v>38969590.229999997</v>
      </c>
      <c r="AO36" s="178">
        <f t="shared" si="31"/>
        <v>37227885.140000001</v>
      </c>
      <c r="AP36" s="178">
        <f t="shared" si="31"/>
        <v>37549763.899999999</v>
      </c>
      <c r="AQ36" s="178">
        <f t="shared" si="31"/>
        <v>37518254.959999993</v>
      </c>
      <c r="AR36" s="178">
        <f t="shared" si="31"/>
        <v>42782418.280000001</v>
      </c>
      <c r="AS36" s="178">
        <f t="shared" si="31"/>
        <v>48371474.520000003</v>
      </c>
      <c r="AT36" s="178">
        <f t="shared" si="31"/>
        <v>504446223.20666665</v>
      </c>
      <c r="AU36" s="266"/>
      <c r="AW36" s="199">
        <f>AW8+AW17+AW23+AW30+AW34</f>
        <v>1365.3395311666666</v>
      </c>
      <c r="AX36" s="178">
        <f>AX8+AX17+AX23+AX30+AX34</f>
        <v>1254.9288305999999</v>
      </c>
      <c r="AY36" s="178">
        <f>AY8+AY17+AY23+AY30+AY34</f>
        <v>1137.4723926999998</v>
      </c>
      <c r="AZ36" s="198">
        <f>AZ8+AZ17+AZ23+AZ30+AZ34</f>
        <v>1286.7214775999998</v>
      </c>
    </row>
    <row r="37" spans="2:52" x14ac:dyDescent="0.3">
      <c r="D37" s="180"/>
      <c r="E37" s="180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R37" s="2"/>
      <c r="S37" s="180"/>
      <c r="T37" s="180"/>
      <c r="U37" s="180"/>
      <c r="V37" s="180"/>
      <c r="W37" s="180"/>
      <c r="X37" s="180"/>
      <c r="Y37" s="180"/>
      <c r="Z37" s="180"/>
      <c r="AA37" s="180"/>
      <c r="AB37" s="180"/>
      <c r="AC37" s="180"/>
      <c r="AD37" s="180"/>
      <c r="AG37" s="2"/>
      <c r="AH37" s="180"/>
      <c r="AI37" s="180"/>
      <c r="AJ37" s="180"/>
      <c r="AK37" s="180"/>
      <c r="AL37" s="180"/>
      <c r="AM37" s="180"/>
      <c r="AN37" s="180"/>
      <c r="AO37" s="180"/>
      <c r="AP37" s="180"/>
      <c r="AQ37" s="180"/>
      <c r="AR37" s="180"/>
      <c r="AS37" s="180"/>
      <c r="AW37" s="183"/>
      <c r="AX37" s="182"/>
      <c r="AY37" s="182"/>
      <c r="AZ37" s="181"/>
    </row>
    <row r="38" spans="2:52" x14ac:dyDescent="0.3">
      <c r="B38" t="s">
        <v>20</v>
      </c>
      <c r="C38" t="s">
        <v>20</v>
      </c>
      <c r="Q38" s="176">
        <f t="shared" ref="Q38:Q42" si="32">SUMIF($D$2:$P$2,$Q$3,D38:P38)/10^5</f>
        <v>0</v>
      </c>
      <c r="R38" s="2"/>
      <c r="AF38" s="176">
        <f t="shared" ref="AF38:AF40" si="33">SUMIF($S$2:$AE$2,$AF$3,S38:AE38)/10^5</f>
        <v>0</v>
      </c>
      <c r="AG38" s="2"/>
      <c r="AH38" s="179">
        <v>14088695.389999993</v>
      </c>
      <c r="AI38" s="179">
        <v>12774574.939999972</v>
      </c>
      <c r="AJ38" s="179">
        <v>14381174.619999986</v>
      </c>
      <c r="AK38" s="179">
        <v>12221640.219999991</v>
      </c>
      <c r="AL38" s="179">
        <v>13801557.27999999</v>
      </c>
      <c r="AM38" s="179">
        <v>12505856.51999999</v>
      </c>
      <c r="AN38" s="179">
        <v>12409051.859999981</v>
      </c>
      <c r="AO38" s="179">
        <v>13434437.089999981</v>
      </c>
      <c r="AP38" s="179">
        <v>15179472.559999982</v>
      </c>
      <c r="AQ38" s="179">
        <v>14596567.009999992</v>
      </c>
      <c r="AR38" s="179">
        <v>15277649.939999975</v>
      </c>
      <c r="AS38" s="179">
        <f>15816571+98163+87000</f>
        <v>16001734</v>
      </c>
      <c r="AT38" s="184">
        <f>SUM(AH38:AS38)</f>
        <v>166672411.42999986</v>
      </c>
      <c r="AU38" s="176">
        <f t="shared" ref="AU38:AU40" ca="1" si="34">SUMIF($AH$2:$AT$2,$AU$3,AH38:AS38)/10^5</f>
        <v>534.6608516999994</v>
      </c>
      <c r="AW38" s="183">
        <f>SUM(AH38:AJ38)/10^5</f>
        <v>412.44444949999951</v>
      </c>
      <c r="AX38" s="182">
        <f>SUM(AK38:AM38)/10^5</f>
        <v>385.29054019999973</v>
      </c>
      <c r="AY38" s="182">
        <f>SUM(AN38:AP38)/10^5</f>
        <v>410.22961509999948</v>
      </c>
      <c r="AZ38" s="181">
        <f>SUM(AQ38:AS38)/10^5</f>
        <v>458.75950949999964</v>
      </c>
    </row>
    <row r="39" spans="2:52" x14ac:dyDescent="0.3">
      <c r="B39" t="s">
        <v>61</v>
      </c>
      <c r="C39" t="s">
        <v>61</v>
      </c>
      <c r="Q39" s="176">
        <f t="shared" si="32"/>
        <v>0</v>
      </c>
      <c r="R39" s="2"/>
      <c r="AF39" s="176">
        <f t="shared" si="33"/>
        <v>0</v>
      </c>
      <c r="AG39" s="2"/>
      <c r="AH39" s="197">
        <v>2301956</v>
      </c>
      <c r="AI39" s="197">
        <v>2301956</v>
      </c>
      <c r="AJ39" s="196">
        <v>2310722</v>
      </c>
      <c r="AK39" s="196">
        <v>2291551</v>
      </c>
      <c r="AL39" s="196">
        <v>2383151</v>
      </c>
      <c r="AM39" s="196">
        <v>2252017</v>
      </c>
      <c r="AN39" s="196">
        <v>2312165</v>
      </c>
      <c r="AO39" s="196">
        <v>2310925</v>
      </c>
      <c r="AP39" s="196">
        <v>2285512</v>
      </c>
      <c r="AQ39" s="196">
        <v>2285512</v>
      </c>
      <c r="AR39" s="196">
        <v>2193808</v>
      </c>
      <c r="AS39" s="196">
        <v>2256727</v>
      </c>
      <c r="AT39" s="184">
        <f>SUM(AH39:AS39)</f>
        <v>27486002</v>
      </c>
      <c r="AU39" s="176">
        <f t="shared" ca="1" si="34"/>
        <v>92.061850000000007</v>
      </c>
      <c r="AW39" s="183">
        <f>SUM(AH39:AJ39)/10^5</f>
        <v>69.146339999999995</v>
      </c>
      <c r="AX39" s="182">
        <f>SUM(AK39:AM39)/10^5</f>
        <v>69.267189999999999</v>
      </c>
      <c r="AY39" s="182">
        <f>SUM(AN39:AP39)/10^5</f>
        <v>69.086020000000005</v>
      </c>
      <c r="AZ39" s="181">
        <f>SUM(AQ39:AS39)/10^5</f>
        <v>67.360470000000007</v>
      </c>
    </row>
    <row r="40" spans="2:52" x14ac:dyDescent="0.3">
      <c r="B40" t="s">
        <v>109</v>
      </c>
      <c r="C40" t="s">
        <v>99</v>
      </c>
      <c r="Q40" s="176">
        <f t="shared" si="32"/>
        <v>0</v>
      </c>
      <c r="R40" s="2"/>
      <c r="AF40" s="176">
        <f t="shared" si="33"/>
        <v>0</v>
      </c>
      <c r="AG40" s="2"/>
      <c r="AH40" s="184"/>
      <c r="AI40" s="184"/>
      <c r="AJ40" s="184"/>
      <c r="AK40" s="184"/>
      <c r="AL40" s="184"/>
      <c r="AM40" s="184">
        <v>5187000</v>
      </c>
      <c r="AN40" s="184"/>
      <c r="AO40" s="184"/>
      <c r="AP40" s="184"/>
      <c r="AQ40" s="184"/>
      <c r="AR40" s="184"/>
      <c r="AS40" s="184"/>
      <c r="AT40" s="184">
        <f>SUM(AH40:AS40)</f>
        <v>5187000</v>
      </c>
      <c r="AU40" s="176">
        <f t="shared" ca="1" si="34"/>
        <v>0</v>
      </c>
      <c r="AW40" s="183">
        <f>SUM(AH40:AJ40)/10^5</f>
        <v>0</v>
      </c>
      <c r="AX40" s="182">
        <f>SUM(AK40:AM40)/10^5</f>
        <v>51.87</v>
      </c>
      <c r="AY40" s="182">
        <f>SUM(AN40:AP40)/10^5</f>
        <v>0</v>
      </c>
      <c r="AZ40" s="181">
        <f>SUM(AQ40:AS40)/10^5</f>
        <v>0</v>
      </c>
    </row>
    <row r="41" spans="2:52" x14ac:dyDescent="0.3">
      <c r="R41" s="2"/>
      <c r="AG41" s="2"/>
      <c r="AW41" s="183"/>
      <c r="AX41" s="182"/>
      <c r="AY41" s="182"/>
      <c r="AZ41" s="181"/>
    </row>
    <row r="42" spans="2:52" ht="15" thickBot="1" x14ac:dyDescent="0.35">
      <c r="C42" t="s">
        <v>4</v>
      </c>
      <c r="D42" s="178">
        <f t="shared" ref="D42:P42" si="35">SUM(D36:D40)</f>
        <v>37835572.310000002</v>
      </c>
      <c r="E42" s="178">
        <f t="shared" si="35"/>
        <v>21999627.063333329</v>
      </c>
      <c r="F42" s="178">
        <f t="shared" si="35"/>
        <v>21163639.373333327</v>
      </c>
      <c r="G42" s="178">
        <f t="shared" si="35"/>
        <v>20694706.899999999</v>
      </c>
      <c r="H42" s="178">
        <f t="shared" si="35"/>
        <v>23598828.620000001</v>
      </c>
      <c r="I42" s="178">
        <f t="shared" si="35"/>
        <v>23228096.009999998</v>
      </c>
      <c r="J42" s="178">
        <f t="shared" si="35"/>
        <v>21692527.350000001</v>
      </c>
      <c r="K42" s="178">
        <f t="shared" si="35"/>
        <v>20709159.25</v>
      </c>
      <c r="L42" s="178">
        <f t="shared" si="35"/>
        <v>19579099.419999998</v>
      </c>
      <c r="M42" s="178">
        <f t="shared" si="35"/>
        <v>19516281.169999998</v>
      </c>
      <c r="N42" s="178">
        <f t="shared" si="35"/>
        <v>22142207.079999998</v>
      </c>
      <c r="O42" s="178">
        <f t="shared" si="35"/>
        <v>26182373.289999999</v>
      </c>
      <c r="P42" s="178">
        <f t="shared" si="35"/>
        <v>278342117.83666664</v>
      </c>
      <c r="Q42" s="266">
        <f t="shared" si="32"/>
        <v>1016.9354564666668</v>
      </c>
      <c r="R42" s="2"/>
      <c r="S42" s="178">
        <f t="shared" ref="S42:AE42" si="36">SUM(S36:S40)</f>
        <v>18271402.716666665</v>
      </c>
      <c r="T42" s="178">
        <f t="shared" si="36"/>
        <v>18548553.826666668</v>
      </c>
      <c r="U42" s="178">
        <f t="shared" si="36"/>
        <v>18715157.826666668</v>
      </c>
      <c r="V42" s="178">
        <f t="shared" si="36"/>
        <v>18671128.300000001</v>
      </c>
      <c r="W42" s="178">
        <f t="shared" si="36"/>
        <v>20431250.829999998</v>
      </c>
      <c r="X42" s="178">
        <f t="shared" si="36"/>
        <v>18868872.399999999</v>
      </c>
      <c r="Y42" s="178">
        <f t="shared" si="36"/>
        <v>17277062.880000003</v>
      </c>
      <c r="Z42" s="178">
        <f t="shared" si="36"/>
        <v>16518725.890000001</v>
      </c>
      <c r="AA42" s="178">
        <f t="shared" si="36"/>
        <v>17970664.480000004</v>
      </c>
      <c r="AB42" s="178">
        <f t="shared" si="36"/>
        <v>18001973.790000003</v>
      </c>
      <c r="AC42" s="178">
        <f t="shared" si="36"/>
        <v>20640211.200000003</v>
      </c>
      <c r="AD42" s="178">
        <f t="shared" si="36"/>
        <v>22189101.230000004</v>
      </c>
      <c r="AE42" s="178">
        <f t="shared" si="36"/>
        <v>226104105.37</v>
      </c>
      <c r="AF42" s="266">
        <f t="shared" ref="AF42" si="37">SUMIF($D$2:$P$2,$Q$3,S42:AE42)/10^5</f>
        <v>742.06242670000006</v>
      </c>
      <c r="AG42" s="2"/>
      <c r="AH42" s="178">
        <f t="shared" ref="AH42:AT42" si="38">SUM(AH36:AH40)</f>
        <v>72497626.416666657</v>
      </c>
      <c r="AI42" s="178">
        <f t="shared" si="38"/>
        <v>55624711.829999968</v>
      </c>
      <c r="AJ42" s="178">
        <f t="shared" si="38"/>
        <v>56570693.819999978</v>
      </c>
      <c r="AK42" s="178">
        <f t="shared" si="38"/>
        <v>53879026.419999994</v>
      </c>
      <c r="AL42" s="178">
        <f t="shared" si="38"/>
        <v>60214787.729999989</v>
      </c>
      <c r="AM42" s="178">
        <f t="shared" si="38"/>
        <v>62041841.929999985</v>
      </c>
      <c r="AN42" s="178">
        <f t="shared" si="38"/>
        <v>53690807.089999974</v>
      </c>
      <c r="AO42" s="178">
        <f t="shared" si="38"/>
        <v>52973247.229999982</v>
      </c>
      <c r="AP42" s="178">
        <f t="shared" si="38"/>
        <v>55014748.459999979</v>
      </c>
      <c r="AQ42" s="178">
        <f t="shared" si="38"/>
        <v>54400333.969999984</v>
      </c>
      <c r="AR42" s="178">
        <f t="shared" si="38"/>
        <v>60253876.219999976</v>
      </c>
      <c r="AS42" s="178">
        <f t="shared" si="38"/>
        <v>66629935.520000003</v>
      </c>
      <c r="AT42" s="178">
        <f t="shared" si="38"/>
        <v>703791636.63666654</v>
      </c>
      <c r="AU42" s="266"/>
      <c r="AW42" s="195">
        <f>SUM(AW36:AW40)</f>
        <v>1846.9303206666661</v>
      </c>
      <c r="AX42" s="194">
        <f>SUM(AX36:AX40)</f>
        <v>1761.3565607999994</v>
      </c>
      <c r="AY42" s="194">
        <f>SUM(AY36:AY40)</f>
        <v>1616.7880277999991</v>
      </c>
      <c r="AZ42" s="193">
        <f>SUM(AZ36:AZ40)</f>
        <v>1812.8414570999996</v>
      </c>
    </row>
    <row r="45" spans="2:52" x14ac:dyDescent="0.3">
      <c r="AT45" s="176"/>
    </row>
    <row r="46" spans="2:52" x14ac:dyDescent="0.3">
      <c r="AT46" s="180"/>
    </row>
  </sheetData>
  <autoFilter ref="A3:AZ3" xr:uid="{CF500524-A434-422C-8ED7-81E6A54AD7C4}"/>
  <mergeCells count="1">
    <mergeCell ref="AW2:AZ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A7BE-0608-4724-B6F3-1436D0E38CA2}">
  <dimension ref="B1:AZ48"/>
  <sheetViews>
    <sheetView zoomScale="86" zoomScaleNormal="86" workbookViewId="0">
      <pane xSplit="3" ySplit="4" topLeftCell="AI5" activePane="bottomRight" state="frozen"/>
      <selection pane="topRight" activeCell="B1" sqref="B1"/>
      <selection pane="bottomLeft" activeCell="A5" sqref="A5"/>
      <selection pane="bottomRight" activeCell="AV23" sqref="AV23:AV31"/>
    </sheetView>
  </sheetViews>
  <sheetFormatPr defaultRowHeight="14.4" x14ac:dyDescent="0.3"/>
  <cols>
    <col min="2" max="2" width="12.6640625" bestFit="1" customWidth="1"/>
    <col min="3" max="3" width="45.6640625" bestFit="1" customWidth="1"/>
    <col min="4" max="15" width="8.88671875" style="2"/>
    <col min="16" max="17" width="10.33203125" style="2" bestFit="1" customWidth="1"/>
    <col min="18" max="18" width="10.33203125" style="2" customWidth="1"/>
    <col min="19" max="19" width="11.44140625" style="143" bestFit="1" customWidth="1"/>
    <col min="20" max="31" width="8.88671875" style="2"/>
    <col min="32" max="32" width="10.33203125" style="2" bestFit="1" customWidth="1"/>
    <col min="33" max="33" width="8.88671875" style="3"/>
    <col min="34" max="34" width="11.44140625" style="143" bestFit="1" customWidth="1"/>
    <col min="35" max="46" width="8.88671875" style="2"/>
    <col min="47" max="48" width="10.33203125" style="2" bestFit="1" customWidth="1"/>
    <col min="49" max="49" width="11.44140625" style="144" bestFit="1" customWidth="1"/>
  </cols>
  <sheetData>
    <row r="1" spans="2:52" ht="21.6" thickBot="1" x14ac:dyDescent="0.45">
      <c r="C1" s="1" t="s">
        <v>48</v>
      </c>
    </row>
    <row r="2" spans="2:52" ht="24.6" thickBot="1" x14ac:dyDescent="0.55000000000000004">
      <c r="C2" s="301" t="s">
        <v>49</v>
      </c>
      <c r="D2" s="238" t="s">
        <v>50</v>
      </c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40"/>
      <c r="R2" s="151"/>
      <c r="T2" s="238" t="s">
        <v>51</v>
      </c>
      <c r="U2" s="239"/>
      <c r="V2" s="239"/>
      <c r="W2" s="239"/>
      <c r="X2" s="239"/>
      <c r="Y2" s="239"/>
      <c r="Z2" s="239"/>
      <c r="AA2" s="239"/>
      <c r="AB2" s="239"/>
      <c r="AC2" s="239"/>
      <c r="AD2" s="239"/>
      <c r="AE2" s="239"/>
      <c r="AF2" s="239"/>
      <c r="AG2" s="240"/>
      <c r="AI2" s="238" t="s">
        <v>52</v>
      </c>
      <c r="AJ2" s="239"/>
      <c r="AK2" s="239"/>
      <c r="AL2" s="239"/>
      <c r="AM2" s="239"/>
      <c r="AN2" s="239"/>
      <c r="AO2" s="239"/>
      <c r="AP2" s="239"/>
      <c r="AQ2" s="239"/>
      <c r="AR2" s="239"/>
      <c r="AS2" s="239"/>
      <c r="AT2" s="239"/>
      <c r="AU2" s="239"/>
      <c r="AV2" s="240"/>
    </row>
    <row r="3" spans="2:52" x14ac:dyDescent="0.3">
      <c r="C3" s="301"/>
      <c r="D3" s="4" t="s">
        <v>53</v>
      </c>
      <c r="E3" s="4" t="s">
        <v>53</v>
      </c>
      <c r="F3" s="4" t="s">
        <v>53</v>
      </c>
      <c r="G3" t="s">
        <v>53</v>
      </c>
      <c r="H3"/>
      <c r="I3"/>
      <c r="J3"/>
      <c r="K3"/>
      <c r="L3"/>
      <c r="M3"/>
      <c r="N3"/>
      <c r="O3"/>
      <c r="P3" s="5"/>
      <c r="Q3" s="6" t="s">
        <v>53</v>
      </c>
      <c r="R3"/>
      <c r="T3" s="4" t="s">
        <v>53</v>
      </c>
      <c r="U3" s="4" t="s">
        <v>53</v>
      </c>
      <c r="V3" s="4" t="s">
        <v>53</v>
      </c>
      <c r="W3" t="s">
        <v>53</v>
      </c>
      <c r="X3"/>
      <c r="Y3"/>
      <c r="Z3"/>
      <c r="AA3"/>
      <c r="AB3"/>
      <c r="AC3"/>
      <c r="AD3"/>
      <c r="AE3"/>
      <c r="AF3" s="5"/>
      <c r="AG3" s="7" t="s">
        <v>53</v>
      </c>
      <c r="AI3" s="4" t="s">
        <v>53</v>
      </c>
      <c r="AJ3"/>
      <c r="AK3"/>
      <c r="AL3"/>
      <c r="AM3"/>
      <c r="AN3"/>
      <c r="AO3"/>
      <c r="AP3"/>
      <c r="AQ3"/>
      <c r="AR3"/>
      <c r="AS3"/>
      <c r="AT3"/>
      <c r="AU3" s="5"/>
      <c r="AV3"/>
    </row>
    <row r="4" spans="2:52" ht="16.2" thickBot="1" x14ac:dyDescent="0.35">
      <c r="C4" s="302"/>
      <c r="D4" s="8">
        <v>45017</v>
      </c>
      <c r="E4" s="9">
        <v>45047</v>
      </c>
      <c r="F4" s="9">
        <v>45078</v>
      </c>
      <c r="G4" s="9">
        <v>45108</v>
      </c>
      <c r="H4" s="9">
        <v>45139</v>
      </c>
      <c r="I4" s="9">
        <v>45170</v>
      </c>
      <c r="J4" s="9">
        <v>45200</v>
      </c>
      <c r="K4" s="9">
        <v>45231</v>
      </c>
      <c r="L4" s="9">
        <v>45261</v>
      </c>
      <c r="M4" s="9">
        <v>45292</v>
      </c>
      <c r="N4" s="9">
        <v>45323</v>
      </c>
      <c r="O4" s="9">
        <v>45352</v>
      </c>
      <c r="P4" s="10" t="s">
        <v>54</v>
      </c>
      <c r="Q4" s="11"/>
      <c r="R4" s="152"/>
      <c r="T4" s="8">
        <v>45017</v>
      </c>
      <c r="U4" s="9">
        <v>45047</v>
      </c>
      <c r="V4" s="9">
        <v>45078</v>
      </c>
      <c r="W4" s="9">
        <v>45108</v>
      </c>
      <c r="X4" s="9">
        <v>45139</v>
      </c>
      <c r="Y4" s="9">
        <v>45170</v>
      </c>
      <c r="Z4" s="9">
        <v>45200</v>
      </c>
      <c r="AA4" s="9">
        <v>45231</v>
      </c>
      <c r="AB4" s="9">
        <v>45261</v>
      </c>
      <c r="AC4" s="9">
        <v>45292</v>
      </c>
      <c r="AD4" s="9">
        <v>45323</v>
      </c>
      <c r="AE4" s="9">
        <v>45352</v>
      </c>
      <c r="AF4" s="10" t="s">
        <v>54</v>
      </c>
      <c r="AG4" s="11"/>
      <c r="AI4" s="8">
        <v>45017</v>
      </c>
      <c r="AJ4" s="9">
        <v>45047</v>
      </c>
      <c r="AK4" s="9">
        <v>45078</v>
      </c>
      <c r="AL4" s="9">
        <v>45108</v>
      </c>
      <c r="AM4" s="9">
        <v>45139</v>
      </c>
      <c r="AN4" s="9">
        <v>45170</v>
      </c>
      <c r="AO4" s="9">
        <v>45200</v>
      </c>
      <c r="AP4" s="9">
        <v>45231</v>
      </c>
      <c r="AQ4" s="9">
        <v>45261</v>
      </c>
      <c r="AR4" s="9">
        <v>45292</v>
      </c>
      <c r="AS4" s="9">
        <v>45323</v>
      </c>
      <c r="AT4" s="9">
        <v>45352</v>
      </c>
      <c r="AU4" s="10" t="s">
        <v>54</v>
      </c>
      <c r="AV4" s="9" t="s">
        <v>53</v>
      </c>
      <c r="AY4" s="12">
        <v>45383</v>
      </c>
      <c r="AZ4" s="12">
        <v>45413</v>
      </c>
    </row>
    <row r="5" spans="2:52" ht="15.6" x14ac:dyDescent="0.3">
      <c r="B5" t="s">
        <v>109</v>
      </c>
      <c r="C5" s="13" t="s">
        <v>8</v>
      </c>
      <c r="D5" s="14">
        <v>22.461449999999999</v>
      </c>
      <c r="E5" s="15">
        <v>23.329280000000001</v>
      </c>
      <c r="F5" s="15">
        <v>20.21538</v>
      </c>
      <c r="G5" s="15">
        <v>23.78539</v>
      </c>
      <c r="H5" s="15">
        <v>22.2456</v>
      </c>
      <c r="I5" s="15">
        <v>21.697980000000001</v>
      </c>
      <c r="J5" s="15">
        <v>22.384</v>
      </c>
      <c r="K5" s="15">
        <v>14.579929999999999</v>
      </c>
      <c r="L5" s="15">
        <v>22.138059999999999</v>
      </c>
      <c r="M5" s="15">
        <v>17.664390000000001</v>
      </c>
      <c r="N5" s="15">
        <v>21.449950000000001</v>
      </c>
      <c r="O5" s="15">
        <v>27.175220099999997</v>
      </c>
      <c r="P5" s="16">
        <f>SUM(D5:O5)</f>
        <v>259.1266301</v>
      </c>
      <c r="Q5" s="17">
        <f>SUMIF($D$3:$O$3,$Q$3,D5:O5)</f>
        <v>89.791499999999985</v>
      </c>
      <c r="R5" s="153"/>
      <c r="T5" s="14">
        <v>31.102173499999999</v>
      </c>
      <c r="U5" s="15">
        <v>33.615978999999996</v>
      </c>
      <c r="V5" s="15">
        <v>34.506891300000099</v>
      </c>
      <c r="W5" s="15">
        <v>32.609728099999998</v>
      </c>
      <c r="X5" s="15">
        <v>35.065852999999997</v>
      </c>
      <c r="Y5" s="15">
        <v>31.083739999999999</v>
      </c>
      <c r="Z5" s="15">
        <v>31.388030000000001</v>
      </c>
      <c r="AA5" s="15">
        <v>27.268989999999999</v>
      </c>
      <c r="AB5" s="15">
        <v>26.41555</v>
      </c>
      <c r="AC5" s="15">
        <v>27.089939999999999</v>
      </c>
      <c r="AD5" s="15">
        <v>33.603490000000001</v>
      </c>
      <c r="AE5" s="15">
        <v>41.539012999999997</v>
      </c>
      <c r="AF5" s="16">
        <f>SUM(T5:AE5)</f>
        <v>385.28937790000009</v>
      </c>
      <c r="AG5" s="17">
        <f>SUMIF($T$3:$AE$3,$AG$3,T5:AE5)</f>
        <v>131.83477190000008</v>
      </c>
      <c r="AI5" s="14">
        <f t="shared" ref="AI5:AT5" si="0">+D5+T5</f>
        <v>53.563623499999999</v>
      </c>
      <c r="AJ5" s="15">
        <f t="shared" si="0"/>
        <v>56.945258999999993</v>
      </c>
      <c r="AK5" s="15">
        <f t="shared" si="0"/>
        <v>54.722271300000102</v>
      </c>
      <c r="AL5" s="15">
        <f t="shared" si="0"/>
        <v>56.395118099999998</v>
      </c>
      <c r="AM5" s="15">
        <f t="shared" si="0"/>
        <v>57.311453</v>
      </c>
      <c r="AN5" s="15">
        <f t="shared" si="0"/>
        <v>52.78172</v>
      </c>
      <c r="AO5" s="15">
        <f t="shared" si="0"/>
        <v>53.772030000000001</v>
      </c>
      <c r="AP5" s="15">
        <f t="shared" si="0"/>
        <v>41.84892</v>
      </c>
      <c r="AQ5" s="15">
        <f t="shared" si="0"/>
        <v>48.553609999999999</v>
      </c>
      <c r="AR5" s="15">
        <f t="shared" si="0"/>
        <v>44.754329999999996</v>
      </c>
      <c r="AS5" s="15">
        <f t="shared" si="0"/>
        <v>55.053440000000002</v>
      </c>
      <c r="AT5" s="15">
        <f t="shared" si="0"/>
        <v>68.714233100000001</v>
      </c>
      <c r="AU5" s="16">
        <f>SUM(AI5:AT5)</f>
        <v>644.41600800000015</v>
      </c>
      <c r="AV5" s="15">
        <f>+Q5+AG5</f>
        <v>221.62627190000006</v>
      </c>
      <c r="AW5" s="145"/>
    </row>
    <row r="6" spans="2:52" ht="15.6" x14ac:dyDescent="0.3">
      <c r="B6" t="s">
        <v>109</v>
      </c>
      <c r="C6" s="13" t="s">
        <v>30</v>
      </c>
      <c r="D6" s="18">
        <v>70.960099999999997</v>
      </c>
      <c r="E6" s="19">
        <v>67.543989999999994</v>
      </c>
      <c r="F6" s="19">
        <v>63.5758771</v>
      </c>
      <c r="G6" s="19">
        <v>68.055760000000006</v>
      </c>
      <c r="H6" s="19">
        <v>65.205209999999994</v>
      </c>
      <c r="I6" s="19">
        <v>70.992230000000006</v>
      </c>
      <c r="J6" s="19">
        <v>78.798150000000007</v>
      </c>
      <c r="K6" s="19">
        <v>58.96922</v>
      </c>
      <c r="L6" s="19">
        <v>65.729105500000003</v>
      </c>
      <c r="M6" s="19">
        <v>56.800240000000002</v>
      </c>
      <c r="N6" s="19">
        <v>72.215770000000006</v>
      </c>
      <c r="O6" s="19">
        <v>75.619884999999996</v>
      </c>
      <c r="P6" s="20">
        <f t="shared" ref="P6:P20" si="1">SUM(D6:O6)</f>
        <v>814.46553759999995</v>
      </c>
      <c r="Q6" s="21">
        <f t="shared" ref="Q6:Q20" si="2">SUMIF($D$3:$O$3,$Q$3,D6:O6)</f>
        <v>270.1357271</v>
      </c>
      <c r="R6" s="153"/>
      <c r="T6" s="18">
        <v>75.520899999999997</v>
      </c>
      <c r="U6" s="19">
        <v>82.502709999999993</v>
      </c>
      <c r="V6" s="19">
        <v>70.373779999999996</v>
      </c>
      <c r="W6" s="19">
        <v>75.829449999999994</v>
      </c>
      <c r="X6" s="19">
        <v>70.914900000000003</v>
      </c>
      <c r="Y6" s="19">
        <v>71.781949999999995</v>
      </c>
      <c r="Z6" s="19">
        <v>71.323530000000005</v>
      </c>
      <c r="AA6" s="19">
        <v>59.914639999999999</v>
      </c>
      <c r="AB6" s="19">
        <v>67.429929999999999</v>
      </c>
      <c r="AC6" s="19">
        <v>66.322370000000006</v>
      </c>
      <c r="AD6" s="19">
        <v>70.230379999999997</v>
      </c>
      <c r="AE6" s="19">
        <v>73.209320000000005</v>
      </c>
      <c r="AF6" s="20">
        <f t="shared" ref="AF6:AF20" si="3">SUM(T6:AE6)</f>
        <v>855.35385999999994</v>
      </c>
      <c r="AG6" s="21">
        <f t="shared" ref="AG6:AG20" si="4">SUMIF($T$3:$AE$3,$AG$3,T6:AE6)</f>
        <v>304.22683999999998</v>
      </c>
      <c r="AI6" s="18">
        <f t="shared" ref="AI6:AI20" si="5">+D6+T6</f>
        <v>146.48099999999999</v>
      </c>
      <c r="AJ6" s="19">
        <f t="shared" ref="AJ6:AJ20" si="6">+E6+U6</f>
        <v>150.04669999999999</v>
      </c>
      <c r="AK6" s="19">
        <f t="shared" ref="AK6:AK20" si="7">+F6+V6</f>
        <v>133.9496571</v>
      </c>
      <c r="AL6" s="19">
        <f t="shared" ref="AL6:AL20" si="8">+G6+W6</f>
        <v>143.88521</v>
      </c>
      <c r="AM6" s="19">
        <f t="shared" ref="AM6:AM20" si="9">+H6+X6</f>
        <v>136.12011000000001</v>
      </c>
      <c r="AN6" s="19">
        <f t="shared" ref="AN6:AN20" si="10">+I6+Y6</f>
        <v>142.77418</v>
      </c>
      <c r="AO6" s="19">
        <f t="shared" ref="AO6:AO20" si="11">+J6+Z6</f>
        <v>150.12168000000003</v>
      </c>
      <c r="AP6" s="19">
        <f t="shared" ref="AP6:AP20" si="12">+K6+AA6</f>
        <v>118.88386</v>
      </c>
      <c r="AQ6" s="19">
        <f t="shared" ref="AQ6:AQ20" si="13">+L6+AB6</f>
        <v>133.15903550000002</v>
      </c>
      <c r="AR6" s="19">
        <f t="shared" ref="AR6:AR20" si="14">+M6+AC6</f>
        <v>123.12261000000001</v>
      </c>
      <c r="AS6" s="19">
        <f t="shared" ref="AS6:AS20" si="15">+N6+AD6</f>
        <v>142.44614999999999</v>
      </c>
      <c r="AT6" s="19">
        <f t="shared" ref="AT6:AT20" si="16">+O6+AE6</f>
        <v>148.829205</v>
      </c>
      <c r="AU6" s="20">
        <f t="shared" ref="AU6:AU20" si="17">SUM(AI6:AT6)</f>
        <v>1669.8193976</v>
      </c>
      <c r="AV6" s="19">
        <f t="shared" ref="AV6:AV20" si="18">+Q6+AG6</f>
        <v>574.36256709999998</v>
      </c>
      <c r="AW6" s="145"/>
    </row>
    <row r="7" spans="2:52" ht="15.6" x14ac:dyDescent="0.3">
      <c r="B7" t="s">
        <v>109</v>
      </c>
      <c r="C7" s="13" t="s">
        <v>29</v>
      </c>
      <c r="D7" s="18">
        <v>1.9653</v>
      </c>
      <c r="E7" s="19">
        <v>2.0355099999999999</v>
      </c>
      <c r="F7" s="19">
        <v>2.2023999999999999</v>
      </c>
      <c r="G7" s="19">
        <v>2.3370799999999998</v>
      </c>
      <c r="H7" s="19">
        <v>2.3568199999999999</v>
      </c>
      <c r="I7" s="19">
        <v>2.2311100000000001</v>
      </c>
      <c r="J7" s="19">
        <v>1.7693000000000001</v>
      </c>
      <c r="K7" s="19">
        <v>1.47289</v>
      </c>
      <c r="L7" s="19">
        <v>1.9593700000000001</v>
      </c>
      <c r="M7" s="19">
        <v>1.2128699999999999</v>
      </c>
      <c r="N7" s="19">
        <v>1.6036999999999999</v>
      </c>
      <c r="O7" s="19">
        <v>1.8589599999999999</v>
      </c>
      <c r="P7" s="20">
        <f t="shared" si="1"/>
        <v>23.005309999999998</v>
      </c>
      <c r="Q7" s="21">
        <f t="shared" si="2"/>
        <v>8.5402899999999988</v>
      </c>
      <c r="R7" s="153"/>
      <c r="T7" s="18">
        <v>20.02073</v>
      </c>
      <c r="U7" s="19">
        <v>23.267969999999998</v>
      </c>
      <c r="V7" s="19">
        <v>22.183450000000001</v>
      </c>
      <c r="W7" s="19">
        <v>13.701589999999999</v>
      </c>
      <c r="X7" s="19">
        <v>10.27061</v>
      </c>
      <c r="Y7" s="19">
        <v>9.8192900000000005</v>
      </c>
      <c r="Z7" s="19">
        <v>7.4863200000000001</v>
      </c>
      <c r="AA7" s="19">
        <v>6.9594199999999997</v>
      </c>
      <c r="AB7" s="19">
        <v>7.3612099999999998</v>
      </c>
      <c r="AC7" s="19">
        <v>5.5787800000000001</v>
      </c>
      <c r="AD7" s="19">
        <v>16.56241</v>
      </c>
      <c r="AE7" s="19">
        <v>19.797720000000002</v>
      </c>
      <c r="AF7" s="20">
        <f t="shared" si="3"/>
        <v>163.00949999999997</v>
      </c>
      <c r="AG7" s="21">
        <f t="shared" si="4"/>
        <v>79.173739999999995</v>
      </c>
      <c r="AI7" s="18">
        <f>+D7+T7</f>
        <v>21.98603</v>
      </c>
      <c r="AJ7" s="19">
        <f t="shared" si="6"/>
        <v>25.303479999999997</v>
      </c>
      <c r="AK7" s="19">
        <f t="shared" si="7"/>
        <v>24.385850000000001</v>
      </c>
      <c r="AL7" s="19">
        <f t="shared" si="8"/>
        <v>16.03867</v>
      </c>
      <c r="AM7" s="19">
        <f t="shared" si="9"/>
        <v>12.62743</v>
      </c>
      <c r="AN7" s="19">
        <f t="shared" si="10"/>
        <v>12.0504</v>
      </c>
      <c r="AO7" s="19">
        <f t="shared" si="11"/>
        <v>9.2556200000000004</v>
      </c>
      <c r="AP7" s="19">
        <f t="shared" si="12"/>
        <v>8.4323099999999993</v>
      </c>
      <c r="AQ7" s="19">
        <f t="shared" si="13"/>
        <v>9.3205799999999996</v>
      </c>
      <c r="AR7" s="19">
        <f t="shared" si="14"/>
        <v>6.7916499999999997</v>
      </c>
      <c r="AS7" s="19">
        <f t="shared" si="15"/>
        <v>18.16611</v>
      </c>
      <c r="AT7" s="19">
        <f t="shared" si="16"/>
        <v>21.656680000000001</v>
      </c>
      <c r="AU7" s="20">
        <f t="shared" si="17"/>
        <v>186.01481000000001</v>
      </c>
      <c r="AV7" s="19">
        <f t="shared" si="18"/>
        <v>87.714029999999994</v>
      </c>
      <c r="AW7" s="145"/>
    </row>
    <row r="8" spans="2:52" ht="15.6" x14ac:dyDescent="0.3">
      <c r="B8" t="s">
        <v>109</v>
      </c>
      <c r="C8" s="13" t="s">
        <v>18</v>
      </c>
      <c r="D8" s="18">
        <v>3.0589900000000001</v>
      </c>
      <c r="E8" s="19">
        <v>2.8494000000000002</v>
      </c>
      <c r="F8" s="19">
        <v>2.9520200000000001</v>
      </c>
      <c r="G8" s="19">
        <v>3.2537600000000002</v>
      </c>
      <c r="H8" s="19">
        <v>2.6245647999999999</v>
      </c>
      <c r="I8" s="19">
        <v>2.8806447000000004</v>
      </c>
      <c r="J8" s="19">
        <v>2.9693900000000002</v>
      </c>
      <c r="K8" s="19">
        <v>2.0712489000000001</v>
      </c>
      <c r="L8" s="19">
        <v>3.1908578999999997</v>
      </c>
      <c r="M8" s="19">
        <v>2.6257343</v>
      </c>
      <c r="N8" s="19">
        <v>4.6829230999999991</v>
      </c>
      <c r="O8" s="19">
        <v>5.5990574999999998</v>
      </c>
      <c r="P8" s="20">
        <f t="shared" si="1"/>
        <v>38.758591200000005</v>
      </c>
      <c r="Q8" s="21">
        <f t="shared" si="2"/>
        <v>12.114170000000001</v>
      </c>
      <c r="R8" s="153"/>
      <c r="T8" s="18">
        <v>5.2889400000000002</v>
      </c>
      <c r="U8" s="19">
        <v>8.44529</v>
      </c>
      <c r="V8" s="19">
        <v>8.1717200000000005</v>
      </c>
      <c r="W8" s="19">
        <v>8.9295799999999996</v>
      </c>
      <c r="X8" s="19">
        <v>8.2975373000000001</v>
      </c>
      <c r="Y8" s="19">
        <v>8.7489931999999992</v>
      </c>
      <c r="Z8" s="19">
        <v>7.2816099999999997</v>
      </c>
      <c r="AA8" s="19">
        <v>6.3966500000000002</v>
      </c>
      <c r="AB8" s="19">
        <v>8.3982100000000006</v>
      </c>
      <c r="AC8" s="19">
        <v>6.0815700000000001</v>
      </c>
      <c r="AD8" s="19">
        <v>8.7374100000000006</v>
      </c>
      <c r="AE8" s="19">
        <v>11.090893300000001</v>
      </c>
      <c r="AF8" s="20">
        <f t="shared" si="3"/>
        <v>95.86840380000001</v>
      </c>
      <c r="AG8" s="21">
        <f t="shared" si="4"/>
        <v>30.835529999999999</v>
      </c>
      <c r="AI8" s="18">
        <f t="shared" si="5"/>
        <v>8.3479299999999999</v>
      </c>
      <c r="AJ8" s="19">
        <f t="shared" si="6"/>
        <v>11.294689999999999</v>
      </c>
      <c r="AK8" s="19">
        <f t="shared" si="7"/>
        <v>11.123740000000002</v>
      </c>
      <c r="AL8" s="19">
        <f t="shared" si="8"/>
        <v>12.183339999999999</v>
      </c>
      <c r="AM8" s="19">
        <f t="shared" si="9"/>
        <v>10.9221021</v>
      </c>
      <c r="AN8" s="19">
        <f t="shared" si="10"/>
        <v>11.629637899999999</v>
      </c>
      <c r="AO8" s="19">
        <f t="shared" si="11"/>
        <v>10.250999999999999</v>
      </c>
      <c r="AP8" s="19">
        <f t="shared" si="12"/>
        <v>8.4678988999999998</v>
      </c>
      <c r="AQ8" s="19">
        <f t="shared" si="13"/>
        <v>11.5890679</v>
      </c>
      <c r="AR8" s="19">
        <f t="shared" si="14"/>
        <v>8.7073043000000006</v>
      </c>
      <c r="AS8" s="19">
        <f t="shared" si="15"/>
        <v>13.420333100000001</v>
      </c>
      <c r="AT8" s="19">
        <f t="shared" si="16"/>
        <v>16.689950800000002</v>
      </c>
      <c r="AU8" s="20">
        <f t="shared" si="17"/>
        <v>134.62699499999999</v>
      </c>
      <c r="AV8" s="19">
        <f t="shared" si="18"/>
        <v>42.9497</v>
      </c>
      <c r="AW8" s="145"/>
    </row>
    <row r="9" spans="2:52" ht="15.6" x14ac:dyDescent="0.3">
      <c r="B9" t="s">
        <v>109</v>
      </c>
      <c r="C9" s="13" t="s">
        <v>36</v>
      </c>
      <c r="D9" s="18">
        <v>0</v>
      </c>
      <c r="E9" s="19">
        <v>0</v>
      </c>
      <c r="F9" s="19">
        <v>2.0798899999999998</v>
      </c>
      <c r="G9" s="19">
        <v>5.1008100000000001</v>
      </c>
      <c r="H9" s="19">
        <v>5.0771240000000004</v>
      </c>
      <c r="I9" s="19">
        <v>3.3841170999999997</v>
      </c>
      <c r="J9" s="19">
        <v>3.5702609999999999</v>
      </c>
      <c r="K9" s="19">
        <v>3.0163933999999997</v>
      </c>
      <c r="L9" s="19">
        <v>3.3437129000000003</v>
      </c>
      <c r="M9" s="19">
        <v>3.0476426999999995</v>
      </c>
      <c r="N9" s="19">
        <v>4.2634346999999995</v>
      </c>
      <c r="O9" s="19">
        <v>4.7988875000000002</v>
      </c>
      <c r="P9" s="20">
        <f t="shared" si="1"/>
        <v>37.682273299999999</v>
      </c>
      <c r="Q9" s="21">
        <f t="shared" si="2"/>
        <v>7.1806999999999999</v>
      </c>
      <c r="R9" s="153"/>
      <c r="T9" s="18">
        <v>0</v>
      </c>
      <c r="U9" s="19">
        <v>0</v>
      </c>
      <c r="V9" s="19">
        <v>0.158</v>
      </c>
      <c r="W9" s="19">
        <v>1.4162433999999999</v>
      </c>
      <c r="X9" s="19">
        <v>3.9379499999999998</v>
      </c>
      <c r="Y9" s="19">
        <v>5.7332479000000003</v>
      </c>
      <c r="Z9" s="19">
        <v>6.3376400000000004</v>
      </c>
      <c r="AA9" s="19">
        <v>5.8163900000000002</v>
      </c>
      <c r="AB9" s="19">
        <v>6.02196</v>
      </c>
      <c r="AC9" s="19">
        <v>4.6289822999999997</v>
      </c>
      <c r="AD9" s="19">
        <v>4.7587299999999999</v>
      </c>
      <c r="AE9" s="19">
        <v>6.92394</v>
      </c>
      <c r="AF9" s="20">
        <f t="shared" si="3"/>
        <v>45.733083600000001</v>
      </c>
      <c r="AG9" s="21">
        <f t="shared" si="4"/>
        <v>1.5742433999999998</v>
      </c>
      <c r="AI9" s="18">
        <f t="shared" si="5"/>
        <v>0</v>
      </c>
      <c r="AJ9" s="19">
        <f t="shared" si="6"/>
        <v>0</v>
      </c>
      <c r="AK9" s="19">
        <f t="shared" si="7"/>
        <v>2.2378899999999997</v>
      </c>
      <c r="AL9" s="19">
        <f t="shared" si="8"/>
        <v>6.5170534</v>
      </c>
      <c r="AM9" s="19">
        <f t="shared" si="9"/>
        <v>9.0150740000000003</v>
      </c>
      <c r="AN9" s="19">
        <f t="shared" si="10"/>
        <v>9.1173649999999995</v>
      </c>
      <c r="AO9" s="19">
        <f t="shared" si="11"/>
        <v>9.9079010000000007</v>
      </c>
      <c r="AP9" s="19">
        <f t="shared" si="12"/>
        <v>8.8327834000000003</v>
      </c>
      <c r="AQ9" s="19">
        <f t="shared" si="13"/>
        <v>9.3656728999999999</v>
      </c>
      <c r="AR9" s="19">
        <f t="shared" si="14"/>
        <v>7.6766249999999996</v>
      </c>
      <c r="AS9" s="19">
        <f t="shared" si="15"/>
        <v>9.0221646999999994</v>
      </c>
      <c r="AT9" s="19">
        <f t="shared" si="16"/>
        <v>11.722827500000001</v>
      </c>
      <c r="AU9" s="20">
        <f t="shared" si="17"/>
        <v>83.415356900000006</v>
      </c>
      <c r="AV9" s="19">
        <f t="shared" si="18"/>
        <v>8.7549434000000002</v>
      </c>
      <c r="AW9" s="145"/>
    </row>
    <row r="10" spans="2:52" ht="15.6" x14ac:dyDescent="0.3">
      <c r="B10" t="s">
        <v>109</v>
      </c>
      <c r="C10" s="13" t="s">
        <v>23</v>
      </c>
      <c r="D10" s="18">
        <v>9.4811899999999998</v>
      </c>
      <c r="E10" s="19">
        <v>8.0946400000000001</v>
      </c>
      <c r="F10" s="19">
        <v>6.6433</v>
      </c>
      <c r="G10" s="19">
        <v>6.5438200000000002</v>
      </c>
      <c r="H10" s="19">
        <v>6.5884900000000002</v>
      </c>
      <c r="I10" s="19">
        <v>7.3019299999999996</v>
      </c>
      <c r="J10" s="19">
        <v>6.3476800000000004</v>
      </c>
      <c r="K10" s="19">
        <v>4.6694300000000002</v>
      </c>
      <c r="L10" s="19">
        <v>5.3538899999999998</v>
      </c>
      <c r="M10" s="19">
        <v>5.51546</v>
      </c>
      <c r="N10" s="19">
        <v>5.5221299999999998</v>
      </c>
      <c r="O10" s="19">
        <v>8.1971100000000003</v>
      </c>
      <c r="P10" s="20">
        <f t="shared" si="1"/>
        <v>80.259069999999994</v>
      </c>
      <c r="Q10" s="21">
        <f t="shared" si="2"/>
        <v>30.76295</v>
      </c>
      <c r="R10" s="153"/>
      <c r="T10" s="18">
        <v>12.56568</v>
      </c>
      <c r="U10" s="19">
        <v>14.959149999999999</v>
      </c>
      <c r="V10" s="19">
        <v>23.663550000000001</v>
      </c>
      <c r="W10" s="19">
        <v>22.175550000000001</v>
      </c>
      <c r="X10" s="19">
        <v>20.686800000000002</v>
      </c>
      <c r="Y10" s="19">
        <v>24.037800000000001</v>
      </c>
      <c r="Z10" s="19">
        <v>24.3748</v>
      </c>
      <c r="AA10" s="19">
        <v>19.913239999999998</v>
      </c>
      <c r="AB10" s="19">
        <v>19.26145</v>
      </c>
      <c r="AC10" s="19">
        <v>19.0837</v>
      </c>
      <c r="AD10" s="19">
        <v>12.72805</v>
      </c>
      <c r="AE10" s="19">
        <v>21.423660000000002</v>
      </c>
      <c r="AF10" s="20">
        <f t="shared" si="3"/>
        <v>234.87343000000001</v>
      </c>
      <c r="AG10" s="21">
        <f t="shared" si="4"/>
        <v>73.363930000000011</v>
      </c>
      <c r="AI10" s="18">
        <f t="shared" si="5"/>
        <v>22.046869999999998</v>
      </c>
      <c r="AJ10" s="19">
        <f t="shared" si="6"/>
        <v>23.053789999999999</v>
      </c>
      <c r="AK10" s="19">
        <f t="shared" si="7"/>
        <v>30.306850000000001</v>
      </c>
      <c r="AL10" s="19">
        <f t="shared" si="8"/>
        <v>28.719370000000001</v>
      </c>
      <c r="AM10" s="19">
        <f t="shared" si="9"/>
        <v>27.275290000000002</v>
      </c>
      <c r="AN10" s="19">
        <f t="shared" si="10"/>
        <v>31.339729999999999</v>
      </c>
      <c r="AO10" s="19">
        <f t="shared" si="11"/>
        <v>30.722480000000001</v>
      </c>
      <c r="AP10" s="19">
        <f t="shared" si="12"/>
        <v>24.58267</v>
      </c>
      <c r="AQ10" s="19">
        <f t="shared" si="13"/>
        <v>24.61534</v>
      </c>
      <c r="AR10" s="19">
        <f t="shared" si="14"/>
        <v>24.599160000000001</v>
      </c>
      <c r="AS10" s="19">
        <f t="shared" si="15"/>
        <v>18.25018</v>
      </c>
      <c r="AT10" s="19">
        <f t="shared" si="16"/>
        <v>29.62077</v>
      </c>
      <c r="AU10" s="20">
        <f t="shared" si="17"/>
        <v>315.13249999999999</v>
      </c>
      <c r="AV10" s="19">
        <f t="shared" si="18"/>
        <v>104.12688000000001</v>
      </c>
      <c r="AW10" s="145"/>
    </row>
    <row r="11" spans="2:52" ht="15.6" x14ac:dyDescent="0.3">
      <c r="B11" t="s">
        <v>109</v>
      </c>
      <c r="C11" s="13" t="s">
        <v>28</v>
      </c>
      <c r="D11" s="18">
        <v>11.380409999999999</v>
      </c>
      <c r="E11" s="19">
        <v>11.38721</v>
      </c>
      <c r="F11" s="19">
        <v>9.5794499999999996</v>
      </c>
      <c r="G11" s="19">
        <v>10.55528</v>
      </c>
      <c r="H11" s="19">
        <v>8.9674200000000006</v>
      </c>
      <c r="I11" s="19">
        <v>8.0279244999999992</v>
      </c>
      <c r="J11" s="19">
        <v>7.7931214999999998</v>
      </c>
      <c r="K11" s="19">
        <v>6.2255322</v>
      </c>
      <c r="L11" s="19">
        <v>7.6037486000000003</v>
      </c>
      <c r="M11" s="19">
        <v>6.1344154</v>
      </c>
      <c r="N11" s="19">
        <v>6.5661560999999997</v>
      </c>
      <c r="O11" s="19">
        <v>6.7935288999999992</v>
      </c>
      <c r="P11" s="20">
        <f t="shared" si="1"/>
        <v>101.0141972</v>
      </c>
      <c r="Q11" s="21">
        <f t="shared" si="2"/>
        <v>42.902349999999998</v>
      </c>
      <c r="R11" s="153"/>
      <c r="T11" s="18">
        <v>35.704949999999997</v>
      </c>
      <c r="U11" s="19">
        <v>37.75067</v>
      </c>
      <c r="V11" s="19">
        <v>34.309049999999999</v>
      </c>
      <c r="W11" s="19">
        <v>36.863460000000003</v>
      </c>
      <c r="X11" s="19">
        <v>39.976412599999996</v>
      </c>
      <c r="Y11" s="19">
        <v>35.788015699999995</v>
      </c>
      <c r="Z11" s="19">
        <v>35.752674500000005</v>
      </c>
      <c r="AA11" s="19">
        <v>33.106568799999998</v>
      </c>
      <c r="AB11" s="19">
        <v>34.046332</v>
      </c>
      <c r="AC11" s="19">
        <v>29.882867400000002</v>
      </c>
      <c r="AD11" s="19">
        <v>38.571258799999995</v>
      </c>
      <c r="AE11" s="19">
        <v>43.616175900000009</v>
      </c>
      <c r="AF11" s="20">
        <f t="shared" si="3"/>
        <v>435.36843570000002</v>
      </c>
      <c r="AG11" s="21">
        <f t="shared" si="4"/>
        <v>144.62813</v>
      </c>
      <c r="AI11" s="18">
        <f t="shared" si="5"/>
        <v>47.085359999999994</v>
      </c>
      <c r="AJ11" s="19">
        <f t="shared" si="6"/>
        <v>49.137879999999996</v>
      </c>
      <c r="AK11" s="19">
        <f t="shared" si="7"/>
        <v>43.888500000000001</v>
      </c>
      <c r="AL11" s="19">
        <f t="shared" si="8"/>
        <v>47.41874</v>
      </c>
      <c r="AM11" s="19">
        <f t="shared" si="9"/>
        <v>48.943832599999993</v>
      </c>
      <c r="AN11" s="19">
        <f t="shared" si="10"/>
        <v>43.815940199999993</v>
      </c>
      <c r="AO11" s="19">
        <f t="shared" si="11"/>
        <v>43.545796000000003</v>
      </c>
      <c r="AP11" s="19">
        <f t="shared" si="12"/>
        <v>39.332100999999994</v>
      </c>
      <c r="AQ11" s="19">
        <f t="shared" si="13"/>
        <v>41.650080600000003</v>
      </c>
      <c r="AR11" s="19">
        <f t="shared" si="14"/>
        <v>36.017282800000004</v>
      </c>
      <c r="AS11" s="19">
        <f t="shared" si="15"/>
        <v>45.137414899999996</v>
      </c>
      <c r="AT11" s="19">
        <f t="shared" si="16"/>
        <v>50.409704800000007</v>
      </c>
      <c r="AU11" s="20">
        <f t="shared" si="17"/>
        <v>536.38263290000009</v>
      </c>
      <c r="AV11" s="19">
        <f t="shared" si="18"/>
        <v>187.53048000000001</v>
      </c>
      <c r="AW11" s="145"/>
    </row>
    <row r="12" spans="2:52" ht="15.6" x14ac:dyDescent="0.3">
      <c r="B12" t="s">
        <v>50</v>
      </c>
      <c r="C12" s="13" t="s">
        <v>33</v>
      </c>
      <c r="D12" s="18">
        <v>2.7793999999999999</v>
      </c>
      <c r="E12" s="19">
        <v>3.9130699999999998</v>
      </c>
      <c r="F12" s="19">
        <v>2.9373100000000001</v>
      </c>
      <c r="G12" s="19">
        <v>4.0825199999999997</v>
      </c>
      <c r="H12" s="19">
        <v>5.3397699999999997</v>
      </c>
      <c r="I12" s="19">
        <v>5.0473349999999995</v>
      </c>
      <c r="J12" s="19">
        <v>4.2978458999999996</v>
      </c>
      <c r="K12" s="19">
        <v>2.81812</v>
      </c>
      <c r="L12" s="19">
        <v>3.3704514000000003</v>
      </c>
      <c r="M12" s="19">
        <v>3.4881000000000002</v>
      </c>
      <c r="N12" s="19">
        <v>3.6106400000000001</v>
      </c>
      <c r="O12" s="19">
        <v>3.5425001000000003</v>
      </c>
      <c r="P12" s="20">
        <f t="shared" si="1"/>
        <v>45.227062400000008</v>
      </c>
      <c r="Q12" s="21">
        <f t="shared" si="2"/>
        <v>13.712299999999999</v>
      </c>
      <c r="R12" s="153"/>
      <c r="T12" s="18">
        <v>0.15909999999999999</v>
      </c>
      <c r="U12" s="19">
        <v>0.18371999999999999</v>
      </c>
      <c r="V12" s="19">
        <v>0.15615000000000001</v>
      </c>
      <c r="W12" s="19">
        <v>0.25600000000000001</v>
      </c>
      <c r="X12" s="19">
        <v>0.2707</v>
      </c>
      <c r="Y12" s="19">
        <v>0.33389999999999997</v>
      </c>
      <c r="Z12" s="19">
        <v>0.62736409999999998</v>
      </c>
      <c r="AA12" s="19">
        <v>0.3659</v>
      </c>
      <c r="AB12" s="19">
        <v>5.7328799999999992E-2</v>
      </c>
      <c r="AC12" s="19">
        <v>4.8000000000000001E-2</v>
      </c>
      <c r="AD12" s="19">
        <v>6.0699999999999997E-2</v>
      </c>
      <c r="AE12" s="19">
        <v>6.9199999999999998E-2</v>
      </c>
      <c r="AF12" s="20">
        <f t="shared" si="3"/>
        <v>2.5880629000000002</v>
      </c>
      <c r="AG12" s="21">
        <f t="shared" si="4"/>
        <v>0.75497000000000003</v>
      </c>
      <c r="AI12" s="18">
        <f t="shared" si="5"/>
        <v>2.9384999999999999</v>
      </c>
      <c r="AJ12" s="19">
        <f t="shared" si="6"/>
        <v>4.0967899999999995</v>
      </c>
      <c r="AK12" s="19">
        <f t="shared" si="7"/>
        <v>3.0934600000000003</v>
      </c>
      <c r="AL12" s="19">
        <f t="shared" si="8"/>
        <v>4.3385199999999999</v>
      </c>
      <c r="AM12" s="19">
        <f t="shared" si="9"/>
        <v>5.6104699999999994</v>
      </c>
      <c r="AN12" s="19">
        <f t="shared" si="10"/>
        <v>5.3812349999999993</v>
      </c>
      <c r="AO12" s="19">
        <f t="shared" si="11"/>
        <v>4.9252099999999999</v>
      </c>
      <c r="AP12" s="19">
        <f t="shared" si="12"/>
        <v>3.1840199999999999</v>
      </c>
      <c r="AQ12" s="19">
        <f t="shared" si="13"/>
        <v>3.4277802000000004</v>
      </c>
      <c r="AR12" s="19">
        <f t="shared" si="14"/>
        <v>3.5361000000000002</v>
      </c>
      <c r="AS12" s="19">
        <f t="shared" si="15"/>
        <v>3.6713400000000003</v>
      </c>
      <c r="AT12" s="19">
        <f t="shared" si="16"/>
        <v>3.6117001000000002</v>
      </c>
      <c r="AU12" s="20">
        <f t="shared" si="17"/>
        <v>47.815125299999998</v>
      </c>
      <c r="AV12" s="19">
        <f t="shared" si="18"/>
        <v>14.467269999999999</v>
      </c>
      <c r="AW12" s="145"/>
    </row>
    <row r="13" spans="2:52" ht="15.6" x14ac:dyDescent="0.3">
      <c r="B13" t="s">
        <v>113</v>
      </c>
      <c r="C13" s="13" t="s">
        <v>9</v>
      </c>
      <c r="D13" s="18">
        <v>10.962949999999999</v>
      </c>
      <c r="E13" s="19">
        <v>5.8066245999999992</v>
      </c>
      <c r="F13" s="19">
        <v>5.0996600000000001</v>
      </c>
      <c r="G13" s="19">
        <v>5.3809801999999998</v>
      </c>
      <c r="H13" s="19">
        <v>4.4768400000000002</v>
      </c>
      <c r="I13" s="19">
        <v>4.9047499999999999</v>
      </c>
      <c r="J13" s="19">
        <v>5.4999200000000004</v>
      </c>
      <c r="K13" s="19">
        <v>3.74396</v>
      </c>
      <c r="L13" s="19">
        <v>4.4917005000000003</v>
      </c>
      <c r="M13" s="19">
        <v>3.2770800000000002</v>
      </c>
      <c r="N13" s="19">
        <v>10.098409999999999</v>
      </c>
      <c r="O13" s="19">
        <v>2.72675</v>
      </c>
      <c r="P13" s="20">
        <f t="shared" si="1"/>
        <v>66.469625300000004</v>
      </c>
      <c r="Q13" s="21">
        <f t="shared" si="2"/>
        <v>27.250214799999998</v>
      </c>
      <c r="R13" s="153"/>
      <c r="T13" s="18">
        <v>4.7672299999999996</v>
      </c>
      <c r="U13" s="19">
        <v>2.6237214</v>
      </c>
      <c r="V13" s="19">
        <v>2.01064</v>
      </c>
      <c r="W13" s="19">
        <v>4.9475600000000002</v>
      </c>
      <c r="X13" s="19">
        <v>4.0489699999999997</v>
      </c>
      <c r="Y13" s="19">
        <v>1.57542</v>
      </c>
      <c r="Z13" s="19">
        <v>1.7640400000000001</v>
      </c>
      <c r="AA13" s="19">
        <v>6.6722000000000001</v>
      </c>
      <c r="AB13" s="19">
        <v>1.06419</v>
      </c>
      <c r="AC13" s="19">
        <v>0.89365000000000006</v>
      </c>
      <c r="AD13" s="19">
        <v>1.08192</v>
      </c>
      <c r="AE13" s="19">
        <v>2.20025</v>
      </c>
      <c r="AF13" s="20">
        <f t="shared" si="3"/>
        <v>33.649791400000005</v>
      </c>
      <c r="AG13" s="21">
        <f t="shared" si="4"/>
        <v>14.3491514</v>
      </c>
      <c r="AI13" s="18">
        <f t="shared" si="5"/>
        <v>15.730179999999999</v>
      </c>
      <c r="AJ13" s="19">
        <f t="shared" si="6"/>
        <v>8.4303460000000001</v>
      </c>
      <c r="AK13" s="19">
        <f t="shared" si="7"/>
        <v>7.1103000000000005</v>
      </c>
      <c r="AL13" s="19">
        <f t="shared" si="8"/>
        <v>10.328540199999999</v>
      </c>
      <c r="AM13" s="19">
        <f t="shared" si="9"/>
        <v>8.5258099999999999</v>
      </c>
      <c r="AN13" s="19">
        <f t="shared" si="10"/>
        <v>6.4801700000000002</v>
      </c>
      <c r="AO13" s="19">
        <f t="shared" si="11"/>
        <v>7.2639600000000009</v>
      </c>
      <c r="AP13" s="19">
        <f t="shared" si="12"/>
        <v>10.41616</v>
      </c>
      <c r="AQ13" s="19">
        <f t="shared" si="13"/>
        <v>5.5558905000000003</v>
      </c>
      <c r="AR13" s="19">
        <f t="shared" si="14"/>
        <v>4.1707300000000007</v>
      </c>
      <c r="AS13" s="19">
        <f t="shared" si="15"/>
        <v>11.18033</v>
      </c>
      <c r="AT13" s="19">
        <f t="shared" si="16"/>
        <v>4.9269999999999996</v>
      </c>
      <c r="AU13" s="20">
        <f t="shared" si="17"/>
        <v>100.11941670000002</v>
      </c>
      <c r="AV13" s="19">
        <f t="shared" si="18"/>
        <v>41.599366199999999</v>
      </c>
      <c r="AW13" s="145"/>
    </row>
    <row r="14" spans="2:52" ht="15.6" x14ac:dyDescent="0.3">
      <c r="B14" t="s">
        <v>113</v>
      </c>
      <c r="C14" s="13" t="s">
        <v>22</v>
      </c>
      <c r="D14" s="18">
        <v>2.7335600000000002</v>
      </c>
      <c r="E14" s="19">
        <v>2.3263229999999999</v>
      </c>
      <c r="F14" s="19">
        <v>2.2726999999999999</v>
      </c>
      <c r="G14" s="19">
        <v>2.7573723999999999</v>
      </c>
      <c r="H14" s="19">
        <v>2.1749499999999999</v>
      </c>
      <c r="I14" s="19">
        <v>2.3113800000000002</v>
      </c>
      <c r="J14" s="19">
        <v>2.5393599999999998</v>
      </c>
      <c r="K14" s="19">
        <v>2.1406499999999999</v>
      </c>
      <c r="L14" s="19">
        <v>2.25874</v>
      </c>
      <c r="M14" s="19">
        <v>1.4418599999999999</v>
      </c>
      <c r="N14" s="19">
        <v>2.1752199999999999</v>
      </c>
      <c r="O14" s="19">
        <v>2.3079200000000002</v>
      </c>
      <c r="P14" s="20">
        <f t="shared" si="1"/>
        <v>27.440035399999996</v>
      </c>
      <c r="Q14" s="21">
        <f t="shared" si="2"/>
        <v>10.089955399999999</v>
      </c>
      <c r="R14" s="153"/>
      <c r="T14" s="18">
        <v>2.1227399999999998</v>
      </c>
      <c r="U14" s="19">
        <v>2.6480304000000006</v>
      </c>
      <c r="V14" s="19">
        <v>2.4915979999999998</v>
      </c>
      <c r="W14" s="19">
        <v>2.7307600999999999</v>
      </c>
      <c r="X14" s="19">
        <v>2.3039999999999998</v>
      </c>
      <c r="Y14" s="19">
        <v>0.89458000000000004</v>
      </c>
      <c r="Z14" s="19">
        <v>1.48471</v>
      </c>
      <c r="AA14" s="19">
        <v>0.90675399999999995</v>
      </c>
      <c r="AB14" s="19">
        <v>0.19792000000000001</v>
      </c>
      <c r="AC14" s="19">
        <v>6.4509999999999998E-2</v>
      </c>
      <c r="AD14" s="19">
        <v>1.4489999999999999E-2</v>
      </c>
      <c r="AE14" s="19">
        <v>8.1820000000000004E-2</v>
      </c>
      <c r="AF14" s="20">
        <f t="shared" si="3"/>
        <v>15.941912499999999</v>
      </c>
      <c r="AG14" s="21">
        <f t="shared" si="4"/>
        <v>9.9931284999999992</v>
      </c>
      <c r="AI14" s="18">
        <f t="shared" si="5"/>
        <v>4.8563000000000001</v>
      </c>
      <c r="AJ14" s="19">
        <f t="shared" si="6"/>
        <v>4.9743534</v>
      </c>
      <c r="AK14" s="19">
        <f t="shared" si="7"/>
        <v>4.7642980000000001</v>
      </c>
      <c r="AL14" s="19">
        <f t="shared" si="8"/>
        <v>5.4881324999999999</v>
      </c>
      <c r="AM14" s="19">
        <f t="shared" si="9"/>
        <v>4.4789499999999993</v>
      </c>
      <c r="AN14" s="19">
        <f t="shared" si="10"/>
        <v>3.2059600000000001</v>
      </c>
      <c r="AO14" s="19">
        <f t="shared" si="11"/>
        <v>4.02407</v>
      </c>
      <c r="AP14" s="19">
        <f t="shared" si="12"/>
        <v>3.0474039999999998</v>
      </c>
      <c r="AQ14" s="19">
        <f t="shared" si="13"/>
        <v>2.4566599999999998</v>
      </c>
      <c r="AR14" s="19">
        <f t="shared" si="14"/>
        <v>1.50637</v>
      </c>
      <c r="AS14" s="19">
        <f t="shared" si="15"/>
        <v>2.1897099999999998</v>
      </c>
      <c r="AT14" s="19">
        <f t="shared" si="16"/>
        <v>2.3897400000000002</v>
      </c>
      <c r="AU14" s="20">
        <f t="shared" si="17"/>
        <v>43.381947899999993</v>
      </c>
      <c r="AV14" s="19">
        <f t="shared" si="18"/>
        <v>20.083083899999998</v>
      </c>
      <c r="AW14" s="145"/>
    </row>
    <row r="15" spans="2:52" ht="15.6" x14ac:dyDescent="0.3">
      <c r="B15" t="s">
        <v>50</v>
      </c>
      <c r="C15" s="13" t="s">
        <v>26</v>
      </c>
      <c r="D15" s="18">
        <v>91.824160000000006</v>
      </c>
      <c r="E15" s="19">
        <v>85.253280000000004</v>
      </c>
      <c r="F15" s="19">
        <v>79.928730000000002</v>
      </c>
      <c r="G15" s="19">
        <v>79.702590000000001</v>
      </c>
      <c r="H15" s="19">
        <v>82.285910000000001</v>
      </c>
      <c r="I15" s="19">
        <v>82.033140000000003</v>
      </c>
      <c r="J15" s="19">
        <v>85.057781699999992</v>
      </c>
      <c r="K15" s="19">
        <v>67.623059999999995</v>
      </c>
      <c r="L15" s="19">
        <v>75.600859999999997</v>
      </c>
      <c r="M15" s="19">
        <v>60.357770000000002</v>
      </c>
      <c r="N15" s="19">
        <v>73.26979</v>
      </c>
      <c r="O15" s="19">
        <v>99.530670000000001</v>
      </c>
      <c r="P15" s="20">
        <f t="shared" si="1"/>
        <v>962.46774169999992</v>
      </c>
      <c r="Q15" s="21">
        <f t="shared" si="2"/>
        <v>336.70875999999998</v>
      </c>
      <c r="R15" s="153"/>
      <c r="T15" s="18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20">
        <f t="shared" si="3"/>
        <v>0</v>
      </c>
      <c r="AG15" s="21">
        <f t="shared" si="4"/>
        <v>0</v>
      </c>
      <c r="AI15" s="18">
        <f t="shared" si="5"/>
        <v>91.824160000000006</v>
      </c>
      <c r="AJ15" s="19">
        <f t="shared" si="6"/>
        <v>85.253280000000004</v>
      </c>
      <c r="AK15" s="19">
        <f t="shared" si="7"/>
        <v>79.928730000000002</v>
      </c>
      <c r="AL15" s="19">
        <f t="shared" si="8"/>
        <v>79.702590000000001</v>
      </c>
      <c r="AM15" s="19">
        <f t="shared" si="9"/>
        <v>82.285910000000001</v>
      </c>
      <c r="AN15" s="19">
        <f t="shared" si="10"/>
        <v>82.033140000000003</v>
      </c>
      <c r="AO15" s="19">
        <f t="shared" si="11"/>
        <v>85.057781699999992</v>
      </c>
      <c r="AP15" s="19">
        <f t="shared" si="12"/>
        <v>67.623059999999995</v>
      </c>
      <c r="AQ15" s="19">
        <f t="shared" si="13"/>
        <v>75.600859999999997</v>
      </c>
      <c r="AR15" s="19">
        <f t="shared" si="14"/>
        <v>60.357770000000002</v>
      </c>
      <c r="AS15" s="19">
        <f t="shared" si="15"/>
        <v>73.26979</v>
      </c>
      <c r="AT15" s="19">
        <f t="shared" si="16"/>
        <v>99.530670000000001</v>
      </c>
      <c r="AU15" s="20">
        <f t="shared" si="17"/>
        <v>962.46774169999992</v>
      </c>
      <c r="AV15" s="19">
        <f t="shared" si="18"/>
        <v>336.70875999999998</v>
      </c>
      <c r="AW15" s="145"/>
    </row>
    <row r="16" spans="2:52" ht="15.6" x14ac:dyDescent="0.3">
      <c r="B16" t="s">
        <v>50</v>
      </c>
      <c r="C16" s="13" t="s">
        <v>35</v>
      </c>
      <c r="D16" s="18">
        <v>10.44966</v>
      </c>
      <c r="E16" s="19">
        <v>8.4753675000000008</v>
      </c>
      <c r="F16" s="19">
        <v>7.7393799999999997</v>
      </c>
      <c r="G16" s="19">
        <v>9.2764574000000017</v>
      </c>
      <c r="H16" s="19">
        <v>9.2330400000000008</v>
      </c>
      <c r="I16" s="19">
        <v>10.043105200000003</v>
      </c>
      <c r="J16" s="19">
        <v>9.1461802000000052</v>
      </c>
      <c r="K16" s="19">
        <v>8.0428300000000021</v>
      </c>
      <c r="L16" s="19">
        <v>8.7230352</v>
      </c>
      <c r="M16" s="19">
        <v>7.3616097999999974</v>
      </c>
      <c r="N16" s="19">
        <v>8.4036031999999992</v>
      </c>
      <c r="O16" s="19">
        <v>10.134065699999999</v>
      </c>
      <c r="P16" s="20">
        <f t="shared" si="1"/>
        <v>107.0283342</v>
      </c>
      <c r="Q16" s="21">
        <f t="shared" si="2"/>
        <v>35.940864900000001</v>
      </c>
      <c r="R16" s="153"/>
      <c r="T16" s="18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20">
        <f t="shared" si="3"/>
        <v>0</v>
      </c>
      <c r="AG16" s="21">
        <f t="shared" si="4"/>
        <v>0</v>
      </c>
      <c r="AI16" s="18">
        <f t="shared" si="5"/>
        <v>10.44966</v>
      </c>
      <c r="AJ16" s="19">
        <f t="shared" si="6"/>
        <v>8.4753675000000008</v>
      </c>
      <c r="AK16" s="19">
        <f t="shared" si="7"/>
        <v>7.7393799999999997</v>
      </c>
      <c r="AL16" s="19">
        <f t="shared" si="8"/>
        <v>9.2764574000000017</v>
      </c>
      <c r="AM16" s="19">
        <f t="shared" si="9"/>
        <v>9.2330400000000008</v>
      </c>
      <c r="AN16" s="19">
        <f t="shared" si="10"/>
        <v>10.043105200000003</v>
      </c>
      <c r="AO16" s="19">
        <f t="shared" si="11"/>
        <v>9.1461802000000052</v>
      </c>
      <c r="AP16" s="19">
        <f t="shared" si="12"/>
        <v>8.0428300000000021</v>
      </c>
      <c r="AQ16" s="19">
        <f t="shared" si="13"/>
        <v>8.7230352</v>
      </c>
      <c r="AR16" s="19">
        <f t="shared" si="14"/>
        <v>7.3616097999999974</v>
      </c>
      <c r="AS16" s="19">
        <f t="shared" si="15"/>
        <v>8.4036031999999992</v>
      </c>
      <c r="AT16" s="19">
        <f t="shared" si="16"/>
        <v>10.134065699999999</v>
      </c>
      <c r="AU16" s="20">
        <f t="shared" si="17"/>
        <v>107.0283342</v>
      </c>
      <c r="AV16" s="19">
        <f t="shared" si="18"/>
        <v>35.940864900000001</v>
      </c>
      <c r="AW16" s="145"/>
    </row>
    <row r="17" spans="2:49" ht="15.6" x14ac:dyDescent="0.3">
      <c r="B17" t="s">
        <v>50</v>
      </c>
      <c r="C17" s="13" t="s">
        <v>17</v>
      </c>
      <c r="D17" s="18">
        <v>5.1331300000000004</v>
      </c>
      <c r="E17" s="19">
        <v>5.9824200000000003</v>
      </c>
      <c r="F17" s="19">
        <v>5.9692299999999996</v>
      </c>
      <c r="G17" s="19">
        <v>7.3657300000000001</v>
      </c>
      <c r="H17" s="19">
        <v>7.8632600000000004</v>
      </c>
      <c r="I17" s="19">
        <v>7.2698252000000005</v>
      </c>
      <c r="J17" s="19">
        <v>6.3879149000000002</v>
      </c>
      <c r="K17" s="19">
        <v>5.1147898999999999</v>
      </c>
      <c r="L17" s="19">
        <v>6.1565200000000004</v>
      </c>
      <c r="M17" s="19">
        <v>6.4989800000000004</v>
      </c>
      <c r="N17" s="19">
        <v>5.0389350000000004</v>
      </c>
      <c r="O17" s="19">
        <v>7.7642724999999997</v>
      </c>
      <c r="P17" s="20">
        <f t="shared" si="1"/>
        <v>76.545007500000011</v>
      </c>
      <c r="Q17" s="21">
        <f t="shared" si="2"/>
        <v>24.450510000000001</v>
      </c>
      <c r="R17" s="153"/>
      <c r="T17" s="18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20">
        <f t="shared" si="3"/>
        <v>0</v>
      </c>
      <c r="AG17" s="21">
        <f t="shared" si="4"/>
        <v>0</v>
      </c>
      <c r="AI17" s="18">
        <f t="shared" si="5"/>
        <v>5.1331300000000004</v>
      </c>
      <c r="AJ17" s="19">
        <f t="shared" si="6"/>
        <v>5.9824200000000003</v>
      </c>
      <c r="AK17" s="19">
        <f t="shared" si="7"/>
        <v>5.9692299999999996</v>
      </c>
      <c r="AL17" s="19">
        <f t="shared" si="8"/>
        <v>7.3657300000000001</v>
      </c>
      <c r="AM17" s="19">
        <f t="shared" si="9"/>
        <v>7.8632600000000004</v>
      </c>
      <c r="AN17" s="19">
        <f t="shared" si="10"/>
        <v>7.2698252000000005</v>
      </c>
      <c r="AO17" s="19">
        <f t="shared" si="11"/>
        <v>6.3879149000000002</v>
      </c>
      <c r="AP17" s="19">
        <f t="shared" si="12"/>
        <v>5.1147898999999999</v>
      </c>
      <c r="AQ17" s="19">
        <f t="shared" si="13"/>
        <v>6.1565200000000004</v>
      </c>
      <c r="AR17" s="19">
        <f t="shared" si="14"/>
        <v>6.4989800000000004</v>
      </c>
      <c r="AS17" s="19">
        <f t="shared" si="15"/>
        <v>5.0389350000000004</v>
      </c>
      <c r="AT17" s="19">
        <f t="shared" si="16"/>
        <v>7.7642724999999997</v>
      </c>
      <c r="AU17" s="20">
        <f t="shared" si="17"/>
        <v>76.545007500000011</v>
      </c>
      <c r="AV17" s="19">
        <f t="shared" si="18"/>
        <v>24.450510000000001</v>
      </c>
      <c r="AW17" s="145"/>
    </row>
    <row r="18" spans="2:49" ht="15.6" x14ac:dyDescent="0.3">
      <c r="B18" t="s">
        <v>113</v>
      </c>
      <c r="C18" s="13" t="s">
        <v>55</v>
      </c>
      <c r="D18" s="18">
        <v>0.86660000000000004</v>
      </c>
      <c r="E18" s="19">
        <v>0.71526000000000001</v>
      </c>
      <c r="F18" s="19">
        <v>0.59136999999999995</v>
      </c>
      <c r="G18" s="19">
        <v>0.73736000000000002</v>
      </c>
      <c r="H18" s="19">
        <v>0.68017000000000005</v>
      </c>
      <c r="I18" s="19">
        <v>1.4331199999999999</v>
      </c>
      <c r="J18" s="19">
        <v>0.7319</v>
      </c>
      <c r="K18" s="19">
        <v>0.60155000000000003</v>
      </c>
      <c r="L18" s="19">
        <v>0.66269</v>
      </c>
      <c r="M18" s="19">
        <v>0.56381000000000003</v>
      </c>
      <c r="N18" s="19">
        <v>1.10528</v>
      </c>
      <c r="O18" s="19">
        <v>0.93696999999999997</v>
      </c>
      <c r="P18" s="20">
        <f t="shared" si="1"/>
        <v>9.62608</v>
      </c>
      <c r="Q18" s="21">
        <f t="shared" si="2"/>
        <v>2.91059</v>
      </c>
      <c r="R18" s="153"/>
      <c r="T18" s="18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20">
        <f t="shared" si="3"/>
        <v>0</v>
      </c>
      <c r="AG18" s="21">
        <f t="shared" si="4"/>
        <v>0</v>
      </c>
      <c r="AI18" s="18">
        <f t="shared" si="5"/>
        <v>0.86660000000000004</v>
      </c>
      <c r="AJ18" s="19">
        <f t="shared" si="6"/>
        <v>0.71526000000000001</v>
      </c>
      <c r="AK18" s="19">
        <f t="shared" si="7"/>
        <v>0.59136999999999995</v>
      </c>
      <c r="AL18" s="19">
        <f t="shared" si="8"/>
        <v>0.73736000000000002</v>
      </c>
      <c r="AM18" s="19">
        <f t="shared" si="9"/>
        <v>0.68017000000000005</v>
      </c>
      <c r="AN18" s="19">
        <f t="shared" si="10"/>
        <v>1.4331199999999999</v>
      </c>
      <c r="AO18" s="19">
        <f t="shared" si="11"/>
        <v>0.7319</v>
      </c>
      <c r="AP18" s="19">
        <f t="shared" si="12"/>
        <v>0.60155000000000003</v>
      </c>
      <c r="AQ18" s="19">
        <f t="shared" si="13"/>
        <v>0.66269</v>
      </c>
      <c r="AR18" s="19">
        <f t="shared" si="14"/>
        <v>0.56381000000000003</v>
      </c>
      <c r="AS18" s="19">
        <f t="shared" si="15"/>
        <v>1.10528</v>
      </c>
      <c r="AT18" s="19">
        <f t="shared" si="16"/>
        <v>0.93696999999999997</v>
      </c>
      <c r="AU18" s="20">
        <f t="shared" si="17"/>
        <v>9.62608</v>
      </c>
      <c r="AV18" s="19">
        <f t="shared" si="18"/>
        <v>2.91059</v>
      </c>
      <c r="AW18" s="145"/>
    </row>
    <row r="19" spans="2:49" ht="15.6" x14ac:dyDescent="0.3">
      <c r="B19" t="s">
        <v>113</v>
      </c>
      <c r="C19" s="13" t="s">
        <v>31</v>
      </c>
      <c r="D19" s="18">
        <v>7.6197400000000002</v>
      </c>
      <c r="E19" s="19">
        <v>7.1964800000000002</v>
      </c>
      <c r="F19" s="19">
        <v>5.1516000000000002</v>
      </c>
      <c r="G19" s="19">
        <v>5.8052149999999996</v>
      </c>
      <c r="H19" s="19">
        <v>5.1143700000000001</v>
      </c>
      <c r="I19" s="19">
        <v>4.8693299999999997</v>
      </c>
      <c r="J19" s="19">
        <v>7.40428</v>
      </c>
      <c r="K19" s="19">
        <v>5.2230549999999996</v>
      </c>
      <c r="L19" s="19">
        <v>6.5559349999999998</v>
      </c>
      <c r="M19" s="19">
        <v>5.2506300000000001</v>
      </c>
      <c r="N19" s="19">
        <v>6.2587450000000002</v>
      </c>
      <c r="O19" s="19">
        <v>8.58643</v>
      </c>
      <c r="P19" s="20">
        <f t="shared" si="1"/>
        <v>75.035809999999998</v>
      </c>
      <c r="Q19" s="21">
        <f t="shared" si="2"/>
        <v>25.773035000000004</v>
      </c>
      <c r="R19" s="153"/>
      <c r="T19" s="18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0">
        <f t="shared" si="3"/>
        <v>0</v>
      </c>
      <c r="AG19" s="21">
        <f t="shared" si="4"/>
        <v>0</v>
      </c>
      <c r="AI19" s="18">
        <f t="shared" si="5"/>
        <v>7.6197400000000002</v>
      </c>
      <c r="AJ19" s="19">
        <f t="shared" si="6"/>
        <v>7.1964800000000002</v>
      </c>
      <c r="AK19" s="19">
        <f t="shared" si="7"/>
        <v>5.1516000000000002</v>
      </c>
      <c r="AL19" s="19">
        <f t="shared" si="8"/>
        <v>5.8052149999999996</v>
      </c>
      <c r="AM19" s="19">
        <f t="shared" si="9"/>
        <v>5.1143700000000001</v>
      </c>
      <c r="AN19" s="19">
        <f t="shared" si="10"/>
        <v>4.8693299999999997</v>
      </c>
      <c r="AO19" s="19">
        <f t="shared" si="11"/>
        <v>7.40428</v>
      </c>
      <c r="AP19" s="19">
        <f t="shared" si="12"/>
        <v>5.2230549999999996</v>
      </c>
      <c r="AQ19" s="19">
        <f t="shared" si="13"/>
        <v>6.5559349999999998</v>
      </c>
      <c r="AR19" s="19">
        <f t="shared" si="14"/>
        <v>5.2506300000000001</v>
      </c>
      <c r="AS19" s="19">
        <f t="shared" si="15"/>
        <v>6.2587450000000002</v>
      </c>
      <c r="AT19" s="19">
        <f t="shared" si="16"/>
        <v>8.58643</v>
      </c>
      <c r="AU19" s="20">
        <f t="shared" si="17"/>
        <v>75.035809999999998</v>
      </c>
      <c r="AV19" s="19">
        <f t="shared" si="18"/>
        <v>25.773035000000004</v>
      </c>
      <c r="AW19" s="145"/>
    </row>
    <row r="20" spans="2:49" ht="16.2" thickBot="1" x14ac:dyDescent="0.35">
      <c r="B20" t="s">
        <v>109</v>
      </c>
      <c r="C20" s="22" t="s">
        <v>34</v>
      </c>
      <c r="D20" s="18">
        <v>5.8716900000000001</v>
      </c>
      <c r="E20" s="19">
        <v>4.6068300000000004</v>
      </c>
      <c r="F20" s="19">
        <v>4.7623800000000003</v>
      </c>
      <c r="G20" s="19">
        <v>5.9152800000000001</v>
      </c>
      <c r="H20" s="19">
        <v>4.5450900000000001</v>
      </c>
      <c r="I20" s="19">
        <v>5.1970099999999997</v>
      </c>
      <c r="J20" s="19">
        <v>4.1425700000000001</v>
      </c>
      <c r="K20" s="19">
        <v>3.2422499999999999</v>
      </c>
      <c r="L20" s="19">
        <v>4.05518</v>
      </c>
      <c r="M20" s="19">
        <v>3.3102800000000001</v>
      </c>
      <c r="N20" s="19">
        <v>3.3246099999999998</v>
      </c>
      <c r="O20" s="19">
        <v>2.7709199999999998</v>
      </c>
      <c r="P20" s="20">
        <f t="shared" si="1"/>
        <v>51.744089999999993</v>
      </c>
      <c r="Q20" s="21">
        <f t="shared" si="2"/>
        <v>21.156179999999999</v>
      </c>
      <c r="R20" s="153"/>
      <c r="T20" s="18">
        <v>9.8021499999999993</v>
      </c>
      <c r="U20" s="19">
        <v>13.04256</v>
      </c>
      <c r="V20" s="19">
        <v>14.59625</v>
      </c>
      <c r="W20" s="19">
        <v>14.1784</v>
      </c>
      <c r="X20" s="19">
        <v>12.73517</v>
      </c>
      <c r="Y20" s="19">
        <v>15.465630000000001</v>
      </c>
      <c r="Z20" s="19">
        <v>15.907249999999999</v>
      </c>
      <c r="AA20" s="19">
        <v>7.0501699999999996</v>
      </c>
      <c r="AB20" s="19">
        <v>6.0408900000000001</v>
      </c>
      <c r="AC20" s="19">
        <v>7.1364900000000002</v>
      </c>
      <c r="AD20" s="19">
        <v>4.3553300000000004</v>
      </c>
      <c r="AE20" s="19">
        <v>0.34260000000000002</v>
      </c>
      <c r="AF20" s="20">
        <f t="shared" si="3"/>
        <v>120.65289</v>
      </c>
      <c r="AG20" s="21">
        <f t="shared" si="4"/>
        <v>51.61936</v>
      </c>
      <c r="AI20" s="18">
        <f t="shared" si="5"/>
        <v>15.673839999999998</v>
      </c>
      <c r="AJ20" s="19">
        <f t="shared" si="6"/>
        <v>17.64939</v>
      </c>
      <c r="AK20" s="19">
        <f t="shared" si="7"/>
        <v>19.358629999999998</v>
      </c>
      <c r="AL20" s="19">
        <f t="shared" si="8"/>
        <v>20.093679999999999</v>
      </c>
      <c r="AM20" s="19">
        <f t="shared" si="9"/>
        <v>17.280259999999998</v>
      </c>
      <c r="AN20" s="19">
        <f t="shared" si="10"/>
        <v>20.66264</v>
      </c>
      <c r="AO20" s="19">
        <f t="shared" si="11"/>
        <v>20.04982</v>
      </c>
      <c r="AP20" s="19">
        <f t="shared" si="12"/>
        <v>10.29242</v>
      </c>
      <c r="AQ20" s="19">
        <f t="shared" si="13"/>
        <v>10.096070000000001</v>
      </c>
      <c r="AR20" s="19">
        <f t="shared" si="14"/>
        <v>10.446770000000001</v>
      </c>
      <c r="AS20" s="19">
        <f t="shared" si="15"/>
        <v>7.6799400000000002</v>
      </c>
      <c r="AT20" s="19">
        <f t="shared" si="16"/>
        <v>3.1135199999999998</v>
      </c>
      <c r="AU20" s="20">
        <f t="shared" si="17"/>
        <v>172.39697999999999</v>
      </c>
      <c r="AV20" s="19">
        <f t="shared" si="18"/>
        <v>72.775540000000007</v>
      </c>
      <c r="AW20" s="145"/>
    </row>
    <row r="21" spans="2:49" ht="16.2" thickBot="1" x14ac:dyDescent="0.35">
      <c r="C21" s="23" t="s">
        <v>3</v>
      </c>
      <c r="D21" s="24">
        <f>SUM(D5:D20)</f>
        <v>257.54832999999996</v>
      </c>
      <c r="E21" s="24">
        <f t="shared" ref="E21:P21" si="19">SUM(E5:E20)</f>
        <v>239.51568509999998</v>
      </c>
      <c r="F21" s="24">
        <f t="shared" si="19"/>
        <v>221.70067710000004</v>
      </c>
      <c r="G21" s="24">
        <f t="shared" si="19"/>
        <v>240.65540500000003</v>
      </c>
      <c r="H21" s="24">
        <f t="shared" si="19"/>
        <v>234.77862879999998</v>
      </c>
      <c r="I21" s="24">
        <f t="shared" si="19"/>
        <v>239.62493170000005</v>
      </c>
      <c r="J21" s="24">
        <f t="shared" si="19"/>
        <v>248.83965519999998</v>
      </c>
      <c r="K21" s="24">
        <f t="shared" si="19"/>
        <v>189.55490940000001</v>
      </c>
      <c r="L21" s="24">
        <f t="shared" si="19"/>
        <v>221.19385700000001</v>
      </c>
      <c r="M21" s="24">
        <f t="shared" si="19"/>
        <v>184.55087219999999</v>
      </c>
      <c r="N21" s="24">
        <f t="shared" si="19"/>
        <v>229.58929710000001</v>
      </c>
      <c r="O21" s="24">
        <f t="shared" si="19"/>
        <v>268.3431473</v>
      </c>
      <c r="P21" s="24">
        <f t="shared" si="19"/>
        <v>2775.8953958999991</v>
      </c>
      <c r="Q21" s="24"/>
      <c r="R21" s="154"/>
      <c r="T21" s="24">
        <f>SUM(T5:T20)</f>
        <v>197.05459350000001</v>
      </c>
      <c r="U21" s="25">
        <f t="shared" ref="U21:AF21" si="20">SUM(U5:U20)</f>
        <v>219.03980079999999</v>
      </c>
      <c r="V21" s="25">
        <f t="shared" si="20"/>
        <v>212.62107930000008</v>
      </c>
      <c r="W21" s="25">
        <f t="shared" si="20"/>
        <v>213.63832160000004</v>
      </c>
      <c r="X21" s="25">
        <f t="shared" si="20"/>
        <v>208.50890290000001</v>
      </c>
      <c r="Y21" s="25">
        <f t="shared" si="20"/>
        <v>205.26256679999997</v>
      </c>
      <c r="Z21" s="25">
        <f t="shared" si="20"/>
        <v>203.72796860000003</v>
      </c>
      <c r="AA21" s="25">
        <f t="shared" si="20"/>
        <v>174.37092280000002</v>
      </c>
      <c r="AB21" s="25">
        <f t="shared" si="20"/>
        <v>176.29497079999999</v>
      </c>
      <c r="AC21" s="25">
        <f t="shared" si="20"/>
        <v>166.81085970000004</v>
      </c>
      <c r="AD21" s="25">
        <f t="shared" si="20"/>
        <v>190.70416880000002</v>
      </c>
      <c r="AE21" s="25">
        <f t="shared" si="20"/>
        <v>220.29459220000001</v>
      </c>
      <c r="AF21" s="26">
        <f t="shared" si="20"/>
        <v>2388.3287478000002</v>
      </c>
      <c r="AG21" s="27"/>
      <c r="AI21" s="24">
        <f>SUM(AI5:AI20)</f>
        <v>454.60292349999992</v>
      </c>
      <c r="AJ21" s="25">
        <f t="shared" ref="AJ21:AT21" si="21">SUM(AJ5:AJ20)</f>
        <v>458.55548589999995</v>
      </c>
      <c r="AK21" s="25">
        <f t="shared" si="21"/>
        <v>434.32175640000008</v>
      </c>
      <c r="AL21" s="25">
        <f t="shared" si="21"/>
        <v>454.29372660000007</v>
      </c>
      <c r="AM21" s="25">
        <f t="shared" si="21"/>
        <v>443.28753170000005</v>
      </c>
      <c r="AN21" s="25">
        <f t="shared" si="21"/>
        <v>444.88749849999999</v>
      </c>
      <c r="AO21" s="25">
        <f t="shared" si="21"/>
        <v>452.56762380000004</v>
      </c>
      <c r="AP21" s="25">
        <f t="shared" si="21"/>
        <v>363.92583219999995</v>
      </c>
      <c r="AQ21" s="25">
        <f t="shared" si="21"/>
        <v>397.48882779999997</v>
      </c>
      <c r="AR21" s="25">
        <f t="shared" si="21"/>
        <v>351.36173190000005</v>
      </c>
      <c r="AS21" s="25">
        <f t="shared" si="21"/>
        <v>420.29346589999994</v>
      </c>
      <c r="AT21" s="25">
        <f t="shared" si="21"/>
        <v>488.63773950000001</v>
      </c>
      <c r="AU21" s="26">
        <f>SUM(AU5:AU20)</f>
        <v>5164.2241437000012</v>
      </c>
      <c r="AV21" s="25"/>
      <c r="AW21" s="145"/>
    </row>
    <row r="22" spans="2:49" ht="15.6" x14ac:dyDescent="0.3">
      <c r="C22" s="28" t="s">
        <v>56</v>
      </c>
      <c r="D22" s="18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9"/>
      <c r="Q22" s="30"/>
      <c r="R22" s="155"/>
      <c r="T22" s="18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9"/>
      <c r="AG22" s="21"/>
      <c r="AI22" s="18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29"/>
      <c r="AV22" s="19"/>
      <c r="AW22" s="145"/>
    </row>
    <row r="23" spans="2:49" ht="15.6" x14ac:dyDescent="0.3">
      <c r="B23" t="s">
        <v>56</v>
      </c>
      <c r="C23" s="13" t="s">
        <v>27</v>
      </c>
      <c r="D23" s="18">
        <v>6.7185699999999997</v>
      </c>
      <c r="E23" s="19">
        <v>8.4654799999999994</v>
      </c>
      <c r="F23" s="19">
        <v>6.7593399999999999</v>
      </c>
      <c r="G23" s="19">
        <v>5.7266899999999996</v>
      </c>
      <c r="H23" s="19">
        <v>7.6286500000000004</v>
      </c>
      <c r="I23" s="19">
        <v>5.6399900000000001</v>
      </c>
      <c r="J23" s="19">
        <v>6.3816800000000002</v>
      </c>
      <c r="K23" s="19">
        <v>5.7636000000000003</v>
      </c>
      <c r="L23" s="19">
        <v>7.6926300000000003</v>
      </c>
      <c r="M23" s="19">
        <v>9.7978199999999998</v>
      </c>
      <c r="N23" s="19">
        <v>9.0803999999999991</v>
      </c>
      <c r="O23" s="19">
        <v>9.8826400000000003</v>
      </c>
      <c r="P23" s="20">
        <f t="shared" ref="P23:P31" si="22">SUM(D23:O23)</f>
        <v>89.537489999999991</v>
      </c>
      <c r="Q23" s="21">
        <f t="shared" ref="Q23:Q31" si="23">SUMIF($D$3:$O$3,$Q$3,D23:O23)</f>
        <v>27.670079999999999</v>
      </c>
      <c r="R23" s="153"/>
      <c r="T23" s="18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20">
        <f t="shared" ref="AF23:AF31" si="24">SUM(T23:AE23)</f>
        <v>0</v>
      </c>
      <c r="AG23" s="21">
        <f t="shared" ref="AG23:AG31" si="25">SUMIF($T$3:$AE$3,$AG$3,T23:AE23)</f>
        <v>0</v>
      </c>
      <c r="AI23" s="18">
        <f t="shared" ref="AI23:AI31" si="26">+D23+T23</f>
        <v>6.7185699999999997</v>
      </c>
      <c r="AJ23" s="19">
        <f t="shared" ref="AJ23:AJ31" si="27">+E23+U23</f>
        <v>8.4654799999999994</v>
      </c>
      <c r="AK23" s="19">
        <f t="shared" ref="AK23:AK31" si="28">+F23+V23</f>
        <v>6.7593399999999999</v>
      </c>
      <c r="AL23" s="19">
        <f t="shared" ref="AL23:AL31" si="29">+G23+W23</f>
        <v>5.7266899999999996</v>
      </c>
      <c r="AM23" s="19">
        <f t="shared" ref="AM23:AM31" si="30">+H23+X23</f>
        <v>7.6286500000000004</v>
      </c>
      <c r="AN23" s="19">
        <f t="shared" ref="AN23:AN31" si="31">+I23+Y23</f>
        <v>5.6399900000000001</v>
      </c>
      <c r="AO23" s="19">
        <f t="shared" ref="AO23:AO31" si="32">+J23+Z23</f>
        <v>6.3816800000000002</v>
      </c>
      <c r="AP23" s="19">
        <f t="shared" ref="AP23:AP31" si="33">+K23+AA23</f>
        <v>5.7636000000000003</v>
      </c>
      <c r="AQ23" s="19">
        <f t="shared" ref="AQ23:AQ31" si="34">+L23+AB23</f>
        <v>7.6926300000000003</v>
      </c>
      <c r="AR23" s="19">
        <f t="shared" ref="AR23:AR31" si="35">+M23+AC23</f>
        <v>9.7978199999999998</v>
      </c>
      <c r="AS23" s="19">
        <f t="shared" ref="AS23:AS31" si="36">+N23+AD23</f>
        <v>9.0803999999999991</v>
      </c>
      <c r="AT23" s="19">
        <f t="shared" ref="AT23:AT31" si="37">+O23+AE23</f>
        <v>9.8826400000000003</v>
      </c>
      <c r="AU23" s="20">
        <f t="shared" ref="AU23:AU31" si="38">SUM(AI23:AT23)</f>
        <v>89.537489999999991</v>
      </c>
      <c r="AV23" s="19">
        <f t="shared" ref="AV23:AV31" si="39">+Q23+AG23</f>
        <v>27.670079999999999</v>
      </c>
      <c r="AW23" s="145"/>
    </row>
    <row r="24" spans="2:49" ht="15.6" x14ac:dyDescent="0.3">
      <c r="B24" t="s">
        <v>56</v>
      </c>
      <c r="C24" s="13" t="s">
        <v>24</v>
      </c>
      <c r="D24" s="18">
        <v>6.5942999999999996</v>
      </c>
      <c r="E24" s="19">
        <v>11.80081</v>
      </c>
      <c r="F24" s="19">
        <v>15.378959999999999</v>
      </c>
      <c r="G24" s="19">
        <v>9.5668500000000005</v>
      </c>
      <c r="H24" s="19">
        <v>11.25325</v>
      </c>
      <c r="I24" s="19">
        <v>12.10248</v>
      </c>
      <c r="J24" s="19">
        <v>11.660489999999999</v>
      </c>
      <c r="K24" s="19">
        <v>10.48756</v>
      </c>
      <c r="L24" s="19">
        <v>12.118460000000001</v>
      </c>
      <c r="M24" s="19">
        <v>11.098409999999999</v>
      </c>
      <c r="N24" s="19">
        <v>10.35956</v>
      </c>
      <c r="O24" s="19">
        <v>15.91126</v>
      </c>
      <c r="P24" s="20">
        <f t="shared" si="22"/>
        <v>138.33239</v>
      </c>
      <c r="Q24" s="21">
        <f t="shared" si="23"/>
        <v>43.340919999999997</v>
      </c>
      <c r="R24" s="153"/>
      <c r="T24" s="18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20">
        <f t="shared" si="24"/>
        <v>0</v>
      </c>
      <c r="AG24" s="21">
        <f t="shared" si="25"/>
        <v>0</v>
      </c>
      <c r="AI24" s="18">
        <f t="shared" si="26"/>
        <v>6.5942999999999996</v>
      </c>
      <c r="AJ24" s="19">
        <f t="shared" si="27"/>
        <v>11.80081</v>
      </c>
      <c r="AK24" s="19">
        <f t="shared" si="28"/>
        <v>15.378959999999999</v>
      </c>
      <c r="AL24" s="19">
        <f t="shared" si="29"/>
        <v>9.5668500000000005</v>
      </c>
      <c r="AM24" s="19">
        <f t="shared" si="30"/>
        <v>11.25325</v>
      </c>
      <c r="AN24" s="19">
        <f t="shared" si="31"/>
        <v>12.10248</v>
      </c>
      <c r="AO24" s="19">
        <f t="shared" si="32"/>
        <v>11.660489999999999</v>
      </c>
      <c r="AP24" s="19">
        <f t="shared" si="33"/>
        <v>10.48756</v>
      </c>
      <c r="AQ24" s="19">
        <f t="shared" si="34"/>
        <v>12.118460000000001</v>
      </c>
      <c r="AR24" s="19">
        <f t="shared" si="35"/>
        <v>11.098409999999999</v>
      </c>
      <c r="AS24" s="19">
        <f t="shared" si="36"/>
        <v>10.35956</v>
      </c>
      <c r="AT24" s="19">
        <f t="shared" si="37"/>
        <v>15.91126</v>
      </c>
      <c r="AU24" s="20">
        <f t="shared" si="38"/>
        <v>138.33239</v>
      </c>
      <c r="AV24" s="19">
        <f t="shared" si="39"/>
        <v>43.340919999999997</v>
      </c>
      <c r="AW24" s="145"/>
    </row>
    <row r="25" spans="2:49" ht="15.6" x14ac:dyDescent="0.3">
      <c r="B25" t="s">
        <v>56</v>
      </c>
      <c r="C25" s="13" t="s">
        <v>25</v>
      </c>
      <c r="D25" s="18">
        <v>8.3107799999999994</v>
      </c>
      <c r="E25" s="19">
        <v>9.0242000000000004</v>
      </c>
      <c r="F25" s="19">
        <v>9.4662000000000006</v>
      </c>
      <c r="G25" s="19">
        <v>8.66235</v>
      </c>
      <c r="H25" s="19">
        <v>9.4327699999999997</v>
      </c>
      <c r="I25" s="19">
        <v>10.753959999999999</v>
      </c>
      <c r="J25" s="19">
        <v>8.7426700000000004</v>
      </c>
      <c r="K25" s="19">
        <v>10.01196</v>
      </c>
      <c r="L25" s="19">
        <v>8.7707499999999996</v>
      </c>
      <c r="M25" s="19">
        <v>9.1571700000000007</v>
      </c>
      <c r="N25" s="19">
        <v>7.3264800000000001</v>
      </c>
      <c r="O25" s="19">
        <v>10.09735</v>
      </c>
      <c r="P25" s="20">
        <f t="shared" si="22"/>
        <v>109.75664000000003</v>
      </c>
      <c r="Q25" s="21">
        <f t="shared" si="23"/>
        <v>35.463530000000006</v>
      </c>
      <c r="R25" s="153"/>
      <c r="T25" s="18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20">
        <f t="shared" si="24"/>
        <v>0</v>
      </c>
      <c r="AG25" s="21">
        <f t="shared" si="25"/>
        <v>0</v>
      </c>
      <c r="AI25" s="18">
        <f t="shared" si="26"/>
        <v>8.3107799999999994</v>
      </c>
      <c r="AJ25" s="19">
        <f t="shared" si="27"/>
        <v>9.0242000000000004</v>
      </c>
      <c r="AK25" s="19">
        <f t="shared" si="28"/>
        <v>9.4662000000000006</v>
      </c>
      <c r="AL25" s="19">
        <f t="shared" si="29"/>
        <v>8.66235</v>
      </c>
      <c r="AM25" s="19">
        <f t="shared" si="30"/>
        <v>9.4327699999999997</v>
      </c>
      <c r="AN25" s="19">
        <f t="shared" si="31"/>
        <v>10.753959999999999</v>
      </c>
      <c r="AO25" s="19">
        <f t="shared" si="32"/>
        <v>8.7426700000000004</v>
      </c>
      <c r="AP25" s="19">
        <f t="shared" si="33"/>
        <v>10.01196</v>
      </c>
      <c r="AQ25" s="19">
        <f t="shared" si="34"/>
        <v>8.7707499999999996</v>
      </c>
      <c r="AR25" s="19">
        <f t="shared" si="35"/>
        <v>9.1571700000000007</v>
      </c>
      <c r="AS25" s="19">
        <f t="shared" si="36"/>
        <v>7.3264800000000001</v>
      </c>
      <c r="AT25" s="19">
        <f t="shared" si="37"/>
        <v>10.09735</v>
      </c>
      <c r="AU25" s="20">
        <f t="shared" si="38"/>
        <v>109.75664000000003</v>
      </c>
      <c r="AV25" s="19">
        <f t="shared" si="39"/>
        <v>35.463530000000006</v>
      </c>
      <c r="AW25" s="145"/>
    </row>
    <row r="26" spans="2:49" ht="15.6" x14ac:dyDescent="0.3">
      <c r="B26" t="s">
        <v>56</v>
      </c>
      <c r="C26" s="13" t="s">
        <v>10</v>
      </c>
      <c r="D26" s="18">
        <v>3.5030000000000001</v>
      </c>
      <c r="E26" s="19">
        <v>4.1946000000000003</v>
      </c>
      <c r="F26" s="19">
        <v>3.3435999999999999</v>
      </c>
      <c r="G26" s="19">
        <v>1.7693000000000001</v>
      </c>
      <c r="H26" s="19">
        <v>1.84355</v>
      </c>
      <c r="I26" s="19">
        <v>2.0441199999999999</v>
      </c>
      <c r="J26" s="19">
        <v>3.2336</v>
      </c>
      <c r="K26" s="19">
        <v>3.4332500000000001</v>
      </c>
      <c r="L26" s="19">
        <v>3.0743999999999998</v>
      </c>
      <c r="M26" s="19">
        <v>3.71028</v>
      </c>
      <c r="N26" s="19">
        <v>2.8574999999999999</v>
      </c>
      <c r="O26" s="19">
        <v>3.83175</v>
      </c>
      <c r="P26" s="20">
        <f t="shared" si="22"/>
        <v>36.838950000000004</v>
      </c>
      <c r="Q26" s="21">
        <f t="shared" si="23"/>
        <v>12.810499999999999</v>
      </c>
      <c r="R26" s="153"/>
      <c r="T26" s="18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20">
        <f t="shared" si="24"/>
        <v>0</v>
      </c>
      <c r="AG26" s="21">
        <f t="shared" si="25"/>
        <v>0</v>
      </c>
      <c r="AI26" s="18">
        <f t="shared" si="26"/>
        <v>3.5030000000000001</v>
      </c>
      <c r="AJ26" s="19">
        <f t="shared" si="27"/>
        <v>4.1946000000000003</v>
      </c>
      <c r="AK26" s="19">
        <f t="shared" si="28"/>
        <v>3.3435999999999999</v>
      </c>
      <c r="AL26" s="19">
        <f t="shared" si="29"/>
        <v>1.7693000000000001</v>
      </c>
      <c r="AM26" s="19">
        <f t="shared" si="30"/>
        <v>1.84355</v>
      </c>
      <c r="AN26" s="19">
        <f t="shared" si="31"/>
        <v>2.0441199999999999</v>
      </c>
      <c r="AO26" s="19">
        <f t="shared" si="32"/>
        <v>3.2336</v>
      </c>
      <c r="AP26" s="19">
        <f t="shared" si="33"/>
        <v>3.4332500000000001</v>
      </c>
      <c r="AQ26" s="19">
        <f t="shared" si="34"/>
        <v>3.0743999999999998</v>
      </c>
      <c r="AR26" s="19">
        <f t="shared" si="35"/>
        <v>3.71028</v>
      </c>
      <c r="AS26" s="19">
        <f t="shared" si="36"/>
        <v>2.8574999999999999</v>
      </c>
      <c r="AT26" s="19">
        <f t="shared" si="37"/>
        <v>3.83175</v>
      </c>
      <c r="AU26" s="20">
        <f t="shared" si="38"/>
        <v>36.838950000000004</v>
      </c>
      <c r="AV26" s="19">
        <f t="shared" si="39"/>
        <v>12.810499999999999</v>
      </c>
      <c r="AW26" s="145"/>
    </row>
    <row r="27" spans="2:49" ht="15.6" x14ac:dyDescent="0.3">
      <c r="B27" t="s">
        <v>56</v>
      </c>
      <c r="C27" s="13" t="s">
        <v>15</v>
      </c>
      <c r="D27" s="18">
        <v>1.19974</v>
      </c>
      <c r="E27" s="19">
        <v>2.5034999999999998</v>
      </c>
      <c r="F27" s="19">
        <v>2.4390299999999998</v>
      </c>
      <c r="G27" s="19">
        <v>2.2772399999999999</v>
      </c>
      <c r="H27" s="19">
        <v>2.5410900000000001</v>
      </c>
      <c r="I27" s="19">
        <v>2.7259600000000002</v>
      </c>
      <c r="J27" s="19">
        <v>2.9664100000000002</v>
      </c>
      <c r="K27" s="19">
        <v>2.3878900000000001</v>
      </c>
      <c r="L27" s="19">
        <v>2.6223000000000001</v>
      </c>
      <c r="M27" s="19">
        <v>1.9194</v>
      </c>
      <c r="N27" s="19">
        <v>2.4212199999999999</v>
      </c>
      <c r="O27" s="19">
        <v>2.8054399999999999</v>
      </c>
      <c r="P27" s="20">
        <f t="shared" si="22"/>
        <v>28.80922</v>
      </c>
      <c r="Q27" s="21">
        <f t="shared" si="23"/>
        <v>8.4195099999999989</v>
      </c>
      <c r="R27" s="153"/>
      <c r="T27" s="18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20">
        <f t="shared" si="24"/>
        <v>0</v>
      </c>
      <c r="AG27" s="21">
        <f t="shared" si="25"/>
        <v>0</v>
      </c>
      <c r="AI27" s="18">
        <f t="shared" si="26"/>
        <v>1.19974</v>
      </c>
      <c r="AJ27" s="19">
        <f t="shared" si="27"/>
        <v>2.5034999999999998</v>
      </c>
      <c r="AK27" s="19">
        <f t="shared" si="28"/>
        <v>2.4390299999999998</v>
      </c>
      <c r="AL27" s="19">
        <f t="shared" si="29"/>
        <v>2.2772399999999999</v>
      </c>
      <c r="AM27" s="19">
        <f t="shared" si="30"/>
        <v>2.5410900000000001</v>
      </c>
      <c r="AN27" s="19">
        <f t="shared" si="31"/>
        <v>2.7259600000000002</v>
      </c>
      <c r="AO27" s="19">
        <f t="shared" si="32"/>
        <v>2.9664100000000002</v>
      </c>
      <c r="AP27" s="19">
        <f t="shared" si="33"/>
        <v>2.3878900000000001</v>
      </c>
      <c r="AQ27" s="19">
        <f t="shared" si="34"/>
        <v>2.6223000000000001</v>
      </c>
      <c r="AR27" s="19">
        <f t="shared" si="35"/>
        <v>1.9194</v>
      </c>
      <c r="AS27" s="19">
        <f t="shared" si="36"/>
        <v>2.4212199999999999</v>
      </c>
      <c r="AT27" s="19">
        <f t="shared" si="37"/>
        <v>2.8054399999999999</v>
      </c>
      <c r="AU27" s="20">
        <f t="shared" si="38"/>
        <v>28.80922</v>
      </c>
      <c r="AV27" s="19">
        <f t="shared" si="39"/>
        <v>8.4195099999999989</v>
      </c>
      <c r="AW27" s="145"/>
    </row>
    <row r="28" spans="2:49" ht="15.6" x14ac:dyDescent="0.3">
      <c r="B28" t="s">
        <v>56</v>
      </c>
      <c r="C28" s="13" t="s">
        <v>14</v>
      </c>
      <c r="D28" s="18">
        <v>0</v>
      </c>
      <c r="E28" s="19">
        <v>5.5906500000000001</v>
      </c>
      <c r="F28" s="19">
        <v>5.43316</v>
      </c>
      <c r="G28" s="19">
        <v>5.9224199999999998</v>
      </c>
      <c r="H28" s="19">
        <v>7.2063300000000003</v>
      </c>
      <c r="I28" s="19">
        <v>7.7698200000000002</v>
      </c>
      <c r="J28" s="19">
        <v>6.7633999999999999</v>
      </c>
      <c r="K28" s="19">
        <v>5.9958099999999996</v>
      </c>
      <c r="L28" s="19">
        <v>5.6100399999999997</v>
      </c>
      <c r="M28" s="19">
        <v>5.7114799999999999</v>
      </c>
      <c r="N28" s="19">
        <v>5.9066000000000001</v>
      </c>
      <c r="O28" s="19">
        <v>6.40937</v>
      </c>
      <c r="P28" s="20">
        <f t="shared" si="22"/>
        <v>68.31908</v>
      </c>
      <c r="Q28" s="21">
        <f t="shared" si="23"/>
        <v>16.94623</v>
      </c>
      <c r="R28" s="153"/>
      <c r="T28" s="18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0.45500000000000002</v>
      </c>
      <c r="Z28" s="19">
        <v>1.7130000000000001</v>
      </c>
      <c r="AA28" s="19">
        <v>1.5960000000000001</v>
      </c>
      <c r="AB28" s="19">
        <v>1.458</v>
      </c>
      <c r="AC28" s="19">
        <v>1.615</v>
      </c>
      <c r="AD28" s="19">
        <v>1.897</v>
      </c>
      <c r="AE28" s="19">
        <v>2.1850000000000001</v>
      </c>
      <c r="AF28" s="20">
        <f t="shared" si="24"/>
        <v>10.919</v>
      </c>
      <c r="AG28" s="21">
        <f t="shared" si="25"/>
        <v>0</v>
      </c>
      <c r="AI28" s="18">
        <f t="shared" si="26"/>
        <v>0</v>
      </c>
      <c r="AJ28" s="19">
        <f t="shared" si="27"/>
        <v>5.5906500000000001</v>
      </c>
      <c r="AK28" s="19">
        <f t="shared" si="28"/>
        <v>5.43316</v>
      </c>
      <c r="AL28" s="19">
        <f t="shared" si="29"/>
        <v>5.9224199999999998</v>
      </c>
      <c r="AM28" s="19">
        <f t="shared" si="30"/>
        <v>7.2063300000000003</v>
      </c>
      <c r="AN28" s="19">
        <f t="shared" si="31"/>
        <v>8.2248199999999994</v>
      </c>
      <c r="AO28" s="19">
        <f t="shared" si="32"/>
        <v>8.4763999999999999</v>
      </c>
      <c r="AP28" s="19">
        <f t="shared" si="33"/>
        <v>7.5918099999999997</v>
      </c>
      <c r="AQ28" s="19">
        <f t="shared" si="34"/>
        <v>7.0680399999999999</v>
      </c>
      <c r="AR28" s="19">
        <f t="shared" si="35"/>
        <v>7.3264800000000001</v>
      </c>
      <c r="AS28" s="19">
        <f t="shared" si="36"/>
        <v>7.8036000000000003</v>
      </c>
      <c r="AT28" s="19">
        <f t="shared" si="37"/>
        <v>8.5943699999999996</v>
      </c>
      <c r="AU28" s="20">
        <f t="shared" si="38"/>
        <v>79.238080000000011</v>
      </c>
      <c r="AV28" s="19">
        <f t="shared" si="39"/>
        <v>16.94623</v>
      </c>
      <c r="AW28" s="145"/>
    </row>
    <row r="29" spans="2:49" ht="15.6" x14ac:dyDescent="0.3">
      <c r="B29" t="s">
        <v>56</v>
      </c>
      <c r="C29" s="13" t="s">
        <v>37</v>
      </c>
      <c r="D29" s="18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2.0759699999999999</v>
      </c>
      <c r="O29" s="19">
        <v>2.0588099999999998</v>
      </c>
      <c r="P29" s="20">
        <f t="shared" si="22"/>
        <v>4.1347799999999992</v>
      </c>
      <c r="Q29" s="21">
        <f t="shared" si="23"/>
        <v>0</v>
      </c>
      <c r="R29" s="153"/>
      <c r="T29" s="18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20">
        <f t="shared" si="24"/>
        <v>0</v>
      </c>
      <c r="AG29" s="21">
        <f t="shared" si="25"/>
        <v>0</v>
      </c>
      <c r="AI29" s="18">
        <f t="shared" si="26"/>
        <v>0</v>
      </c>
      <c r="AJ29" s="19">
        <f t="shared" si="27"/>
        <v>0</v>
      </c>
      <c r="AK29" s="19">
        <f t="shared" si="28"/>
        <v>0</v>
      </c>
      <c r="AL29" s="19">
        <f t="shared" si="29"/>
        <v>0</v>
      </c>
      <c r="AM29" s="19">
        <f t="shared" si="30"/>
        <v>0</v>
      </c>
      <c r="AN29" s="19">
        <f t="shared" si="31"/>
        <v>0</v>
      </c>
      <c r="AO29" s="19">
        <f t="shared" si="32"/>
        <v>0</v>
      </c>
      <c r="AP29" s="19">
        <f t="shared" si="33"/>
        <v>0</v>
      </c>
      <c r="AQ29" s="19">
        <f t="shared" si="34"/>
        <v>0</v>
      </c>
      <c r="AR29" s="19">
        <f t="shared" si="35"/>
        <v>0</v>
      </c>
      <c r="AS29" s="19">
        <f t="shared" si="36"/>
        <v>2.0759699999999999</v>
      </c>
      <c r="AT29" s="19">
        <f t="shared" si="37"/>
        <v>2.0588099999999998</v>
      </c>
      <c r="AU29" s="20">
        <f t="shared" si="38"/>
        <v>4.1347799999999992</v>
      </c>
      <c r="AV29" s="19">
        <f t="shared" si="39"/>
        <v>0</v>
      </c>
      <c r="AW29" s="145"/>
    </row>
    <row r="30" spans="2:49" ht="15.6" x14ac:dyDescent="0.3">
      <c r="B30" t="s">
        <v>56</v>
      </c>
      <c r="C30" s="13" t="s">
        <v>12</v>
      </c>
      <c r="D30" s="18">
        <v>0</v>
      </c>
      <c r="E30" s="19">
        <v>0</v>
      </c>
      <c r="F30" s="19">
        <v>2.95655</v>
      </c>
      <c r="G30" s="19">
        <v>3.18004</v>
      </c>
      <c r="H30" s="19">
        <v>3.97519</v>
      </c>
      <c r="I30" s="19">
        <v>4.9815399999999999</v>
      </c>
      <c r="J30" s="19">
        <v>4.7068700000000003</v>
      </c>
      <c r="K30" s="19">
        <v>4.1496500000000003</v>
      </c>
      <c r="L30" s="19">
        <v>3.0896400000000002</v>
      </c>
      <c r="M30" s="19">
        <v>2.3477299999999999</v>
      </c>
      <c r="N30" s="19">
        <v>2.8004600000000002</v>
      </c>
      <c r="O30" s="19">
        <v>3.8704299999999998</v>
      </c>
      <c r="P30" s="20">
        <f t="shared" si="22"/>
        <v>36.058099999999996</v>
      </c>
      <c r="Q30" s="21">
        <f t="shared" si="23"/>
        <v>6.13659</v>
      </c>
      <c r="R30" s="153"/>
      <c r="T30" s="18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0.34799999999999998</v>
      </c>
      <c r="AC30" s="19">
        <v>0.23400000000000001</v>
      </c>
      <c r="AD30" s="19">
        <v>0.40500000000000003</v>
      </c>
      <c r="AE30" s="19">
        <v>0</v>
      </c>
      <c r="AF30" s="20">
        <f t="shared" si="24"/>
        <v>0.98699999999999999</v>
      </c>
      <c r="AG30" s="21">
        <f t="shared" si="25"/>
        <v>0</v>
      </c>
      <c r="AI30" s="18">
        <f t="shared" si="26"/>
        <v>0</v>
      </c>
      <c r="AJ30" s="19">
        <f t="shared" si="27"/>
        <v>0</v>
      </c>
      <c r="AK30" s="19">
        <f t="shared" si="28"/>
        <v>2.95655</v>
      </c>
      <c r="AL30" s="19">
        <f t="shared" si="29"/>
        <v>3.18004</v>
      </c>
      <c r="AM30" s="19">
        <f t="shared" si="30"/>
        <v>3.97519</v>
      </c>
      <c r="AN30" s="19">
        <f t="shared" si="31"/>
        <v>4.9815399999999999</v>
      </c>
      <c r="AO30" s="19">
        <f t="shared" si="32"/>
        <v>4.7068700000000003</v>
      </c>
      <c r="AP30" s="19">
        <f t="shared" si="33"/>
        <v>4.1496500000000003</v>
      </c>
      <c r="AQ30" s="19">
        <f t="shared" si="34"/>
        <v>3.43764</v>
      </c>
      <c r="AR30" s="19">
        <f t="shared" si="35"/>
        <v>2.5817299999999999</v>
      </c>
      <c r="AS30" s="19">
        <f t="shared" si="36"/>
        <v>3.2054600000000004</v>
      </c>
      <c r="AT30" s="19">
        <f t="shared" si="37"/>
        <v>3.8704299999999998</v>
      </c>
      <c r="AU30" s="20">
        <f t="shared" si="38"/>
        <v>37.045100000000005</v>
      </c>
      <c r="AV30" s="19">
        <f t="shared" si="39"/>
        <v>6.13659</v>
      </c>
      <c r="AW30" s="145"/>
    </row>
    <row r="31" spans="2:49" ht="16.2" thickBot="1" x14ac:dyDescent="0.35">
      <c r="B31" t="s">
        <v>56</v>
      </c>
      <c r="C31" s="13" t="s">
        <v>57</v>
      </c>
      <c r="D31" s="18">
        <v>0</v>
      </c>
      <c r="E31" s="19">
        <v>0</v>
      </c>
      <c r="F31" s="19">
        <v>0</v>
      </c>
      <c r="G31" s="19">
        <v>0</v>
      </c>
      <c r="H31" s="19">
        <v>1.8544400000000001</v>
      </c>
      <c r="I31" s="19">
        <v>2.3168000000000002</v>
      </c>
      <c r="J31" s="19">
        <v>1.8529899999999999</v>
      </c>
      <c r="K31" s="19">
        <v>1.68086</v>
      </c>
      <c r="L31" s="19">
        <v>1.21932</v>
      </c>
      <c r="M31" s="19">
        <v>0.37997999999999998</v>
      </c>
      <c r="N31" s="19">
        <v>0.11742</v>
      </c>
      <c r="O31" s="19">
        <v>0</v>
      </c>
      <c r="P31" s="20">
        <f t="shared" si="22"/>
        <v>9.4218099999999989</v>
      </c>
      <c r="Q31" s="21">
        <f t="shared" si="23"/>
        <v>0</v>
      </c>
      <c r="R31" s="153"/>
      <c r="T31" s="18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20">
        <f t="shared" si="24"/>
        <v>0</v>
      </c>
      <c r="AG31" s="21">
        <f t="shared" si="25"/>
        <v>0</v>
      </c>
      <c r="AI31" s="18">
        <f t="shared" si="26"/>
        <v>0</v>
      </c>
      <c r="AJ31" s="19">
        <f t="shared" si="27"/>
        <v>0</v>
      </c>
      <c r="AK31" s="19">
        <f t="shared" si="28"/>
        <v>0</v>
      </c>
      <c r="AL31" s="19">
        <f t="shared" si="29"/>
        <v>0</v>
      </c>
      <c r="AM31" s="19">
        <f t="shared" si="30"/>
        <v>1.8544400000000001</v>
      </c>
      <c r="AN31" s="19">
        <f t="shared" si="31"/>
        <v>2.3168000000000002</v>
      </c>
      <c r="AO31" s="19">
        <f t="shared" si="32"/>
        <v>1.8529899999999999</v>
      </c>
      <c r="AP31" s="19">
        <f t="shared" si="33"/>
        <v>1.68086</v>
      </c>
      <c r="AQ31" s="19">
        <f t="shared" si="34"/>
        <v>1.21932</v>
      </c>
      <c r="AR31" s="19">
        <f t="shared" si="35"/>
        <v>0.37997999999999998</v>
      </c>
      <c r="AS31" s="19">
        <f t="shared" si="36"/>
        <v>0.11742</v>
      </c>
      <c r="AT31" s="19">
        <f t="shared" si="37"/>
        <v>0</v>
      </c>
      <c r="AU31" s="20">
        <f t="shared" si="38"/>
        <v>9.4218099999999989</v>
      </c>
      <c r="AV31" s="19">
        <f t="shared" si="39"/>
        <v>0</v>
      </c>
      <c r="AW31" s="145"/>
    </row>
    <row r="32" spans="2:49" ht="16.2" thickBot="1" x14ac:dyDescent="0.35">
      <c r="C32" s="23" t="s">
        <v>58</v>
      </c>
      <c r="D32" s="24">
        <f t="shared" ref="D32:P32" si="40">SUM(D23:D31)</f>
        <v>26.326389999999996</v>
      </c>
      <c r="E32" s="25">
        <f t="shared" si="40"/>
        <v>41.579239999999999</v>
      </c>
      <c r="F32" s="25">
        <f t="shared" si="40"/>
        <v>45.776840000000007</v>
      </c>
      <c r="G32" s="25">
        <f t="shared" si="40"/>
        <v>37.104889999999997</v>
      </c>
      <c r="H32" s="25">
        <f t="shared" si="40"/>
        <v>45.735269999999993</v>
      </c>
      <c r="I32" s="25">
        <f t="shared" si="40"/>
        <v>48.334670000000003</v>
      </c>
      <c r="J32" s="25">
        <f t="shared" si="40"/>
        <v>46.308109999999999</v>
      </c>
      <c r="K32" s="25">
        <f t="shared" si="40"/>
        <v>43.910580000000003</v>
      </c>
      <c r="L32" s="25">
        <f t="shared" si="40"/>
        <v>44.197540000000004</v>
      </c>
      <c r="M32" s="25">
        <f t="shared" si="40"/>
        <v>44.122270000000007</v>
      </c>
      <c r="N32" s="25">
        <f t="shared" si="40"/>
        <v>42.945609999999995</v>
      </c>
      <c r="O32" s="25">
        <f t="shared" si="40"/>
        <v>54.867049999999999</v>
      </c>
      <c r="P32" s="26">
        <f t="shared" si="40"/>
        <v>521.20846000000006</v>
      </c>
      <c r="Q32" s="27"/>
      <c r="R32" s="154"/>
      <c r="T32" s="24">
        <f t="shared" ref="T32:AF32" si="41">SUM(T23:T31)</f>
        <v>0</v>
      </c>
      <c r="U32" s="25">
        <f t="shared" si="41"/>
        <v>0</v>
      </c>
      <c r="V32" s="25">
        <f t="shared" si="41"/>
        <v>0</v>
      </c>
      <c r="W32" s="25">
        <f t="shared" si="41"/>
        <v>0</v>
      </c>
      <c r="X32" s="25">
        <f t="shared" si="41"/>
        <v>0</v>
      </c>
      <c r="Y32" s="25">
        <f t="shared" si="41"/>
        <v>0.45500000000000002</v>
      </c>
      <c r="Z32" s="25">
        <f t="shared" si="41"/>
        <v>1.7130000000000001</v>
      </c>
      <c r="AA32" s="25">
        <f t="shared" si="41"/>
        <v>1.5960000000000001</v>
      </c>
      <c r="AB32" s="25">
        <f t="shared" si="41"/>
        <v>1.806</v>
      </c>
      <c r="AC32" s="25">
        <f t="shared" si="41"/>
        <v>1.849</v>
      </c>
      <c r="AD32" s="25">
        <f t="shared" si="41"/>
        <v>2.302</v>
      </c>
      <c r="AE32" s="25">
        <f t="shared" si="41"/>
        <v>2.1850000000000001</v>
      </c>
      <c r="AF32" s="26">
        <f t="shared" si="41"/>
        <v>11.906000000000001</v>
      </c>
      <c r="AG32" s="27"/>
      <c r="AI32" s="24">
        <f>SUM(AI23:AI31)</f>
        <v>26.326389999999996</v>
      </c>
      <c r="AJ32" s="25">
        <f t="shared" ref="AJ32:AU32" si="42">SUM(AJ23:AJ31)</f>
        <v>41.579239999999999</v>
      </c>
      <c r="AK32" s="25">
        <f t="shared" si="42"/>
        <v>45.776840000000007</v>
      </c>
      <c r="AL32" s="25">
        <f t="shared" si="42"/>
        <v>37.104889999999997</v>
      </c>
      <c r="AM32" s="25">
        <f t="shared" si="42"/>
        <v>45.735269999999993</v>
      </c>
      <c r="AN32" s="25">
        <f t="shared" si="42"/>
        <v>48.789670000000001</v>
      </c>
      <c r="AO32" s="25">
        <f t="shared" si="42"/>
        <v>48.02111</v>
      </c>
      <c r="AP32" s="25">
        <f t="shared" si="42"/>
        <v>45.506580000000007</v>
      </c>
      <c r="AQ32" s="25">
        <f t="shared" si="42"/>
        <v>46.003540000000008</v>
      </c>
      <c r="AR32" s="25">
        <f t="shared" si="42"/>
        <v>45.971270000000011</v>
      </c>
      <c r="AS32" s="25">
        <f t="shared" si="42"/>
        <v>45.247610000000002</v>
      </c>
      <c r="AT32" s="25">
        <f t="shared" si="42"/>
        <v>57.052049999999994</v>
      </c>
      <c r="AU32" s="26">
        <f t="shared" si="42"/>
        <v>533.11446000000012</v>
      </c>
      <c r="AV32" s="25"/>
      <c r="AW32" s="145"/>
    </row>
    <row r="33" spans="2:49" ht="15.6" x14ac:dyDescent="0.3">
      <c r="C33" s="28" t="s">
        <v>59</v>
      </c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9"/>
      <c r="Q33" s="30"/>
      <c r="R33" s="155"/>
      <c r="T33" s="18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29"/>
      <c r="AG33" s="21"/>
      <c r="AI33" s="18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29"/>
      <c r="AV33" s="19"/>
      <c r="AW33" s="145"/>
    </row>
    <row r="34" spans="2:49" ht="15.6" x14ac:dyDescent="0.3">
      <c r="B34" t="s">
        <v>59</v>
      </c>
      <c r="C34" s="13" t="s">
        <v>41</v>
      </c>
      <c r="D34" s="18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1.48647</v>
      </c>
      <c r="K34" s="19">
        <v>2.0819700000000001</v>
      </c>
      <c r="L34" s="19">
        <v>3.36836</v>
      </c>
      <c r="M34" s="19">
        <v>2.7043599999999999</v>
      </c>
      <c r="N34" s="19">
        <v>3.0315300000000001</v>
      </c>
      <c r="O34" s="19">
        <v>4.1028500000000001</v>
      </c>
      <c r="P34" s="20">
        <f t="shared" ref="P34:P38" si="43">SUM(D34:O34)</f>
        <v>16.775539999999999</v>
      </c>
      <c r="Q34" s="21">
        <f t="shared" ref="Q34:Q38" si="44">SUMIF($D$3:$O$3,$Q$3,D34:O34)</f>
        <v>0</v>
      </c>
      <c r="R34" s="153"/>
      <c r="T34" s="18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20">
        <f t="shared" ref="AF34:AF38" si="45">SUM(T34:AE34)</f>
        <v>0</v>
      </c>
      <c r="AG34" s="21">
        <f t="shared" ref="AG34:AG38" si="46">SUMIF($T$3:$AE$3,$AG$3,T34:AE34)</f>
        <v>0</v>
      </c>
      <c r="AI34" s="18">
        <f t="shared" ref="AI34:AT38" si="47">+D34+T34</f>
        <v>0</v>
      </c>
      <c r="AJ34" s="19">
        <f t="shared" si="47"/>
        <v>0</v>
      </c>
      <c r="AK34" s="19">
        <f t="shared" si="47"/>
        <v>0</v>
      </c>
      <c r="AL34" s="19">
        <f t="shared" si="47"/>
        <v>0</v>
      </c>
      <c r="AM34" s="19">
        <f t="shared" si="47"/>
        <v>0</v>
      </c>
      <c r="AN34" s="19">
        <f t="shared" si="47"/>
        <v>0</v>
      </c>
      <c r="AO34" s="19">
        <f t="shared" si="47"/>
        <v>1.48647</v>
      </c>
      <c r="AP34" s="19">
        <f t="shared" si="47"/>
        <v>2.0819700000000001</v>
      </c>
      <c r="AQ34" s="19">
        <f t="shared" si="47"/>
        <v>3.36836</v>
      </c>
      <c r="AR34" s="19">
        <f t="shared" si="47"/>
        <v>2.7043599999999999</v>
      </c>
      <c r="AS34" s="19">
        <f t="shared" si="47"/>
        <v>3.0315300000000001</v>
      </c>
      <c r="AT34" s="19">
        <f t="shared" si="47"/>
        <v>4.1028500000000001</v>
      </c>
      <c r="AU34" s="20">
        <f t="shared" ref="AU34:AU38" si="48">SUM(AI34:AT34)</f>
        <v>16.775539999999999</v>
      </c>
      <c r="AV34" s="19">
        <f>+Q34+AG34</f>
        <v>0</v>
      </c>
      <c r="AW34" s="145"/>
    </row>
    <row r="35" spans="2:49" ht="15.6" x14ac:dyDescent="0.3">
      <c r="B35" t="s">
        <v>59</v>
      </c>
      <c r="C35" s="13" t="s">
        <v>38</v>
      </c>
      <c r="D35" s="18">
        <v>0</v>
      </c>
      <c r="E35" s="19">
        <v>0</v>
      </c>
      <c r="F35" s="19">
        <v>0</v>
      </c>
      <c r="G35" s="19">
        <v>3.3554200000000001</v>
      </c>
      <c r="H35" s="19">
        <v>7.4790400000000004</v>
      </c>
      <c r="I35" s="19">
        <v>9.9024800000000006</v>
      </c>
      <c r="J35" s="19">
        <v>13.557029999999999</v>
      </c>
      <c r="K35" s="19">
        <v>10.66409</v>
      </c>
      <c r="L35" s="19">
        <v>10.44624</v>
      </c>
      <c r="M35" s="19">
        <v>8.6607500000000002</v>
      </c>
      <c r="N35" s="19">
        <v>11.44632</v>
      </c>
      <c r="O35" s="19">
        <v>11.33949</v>
      </c>
      <c r="P35" s="20">
        <f t="shared" si="43"/>
        <v>86.850860000000011</v>
      </c>
      <c r="Q35" s="21">
        <f t="shared" si="44"/>
        <v>3.3554200000000001</v>
      </c>
      <c r="R35" s="153"/>
      <c r="T35" s="18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20">
        <f t="shared" si="45"/>
        <v>0</v>
      </c>
      <c r="AG35" s="21">
        <f t="shared" si="46"/>
        <v>0</v>
      </c>
      <c r="AI35" s="18">
        <f t="shared" si="47"/>
        <v>0</v>
      </c>
      <c r="AJ35" s="19">
        <f t="shared" si="47"/>
        <v>0</v>
      </c>
      <c r="AK35" s="19">
        <f t="shared" si="47"/>
        <v>0</v>
      </c>
      <c r="AL35" s="19">
        <f t="shared" si="47"/>
        <v>3.3554200000000001</v>
      </c>
      <c r="AM35" s="19">
        <f t="shared" si="47"/>
        <v>7.4790400000000004</v>
      </c>
      <c r="AN35" s="19">
        <f t="shared" si="47"/>
        <v>9.9024800000000006</v>
      </c>
      <c r="AO35" s="19">
        <f t="shared" si="47"/>
        <v>13.557029999999999</v>
      </c>
      <c r="AP35" s="19">
        <f t="shared" si="47"/>
        <v>10.66409</v>
      </c>
      <c r="AQ35" s="19">
        <f t="shared" si="47"/>
        <v>10.44624</v>
      </c>
      <c r="AR35" s="19">
        <f t="shared" si="47"/>
        <v>8.6607500000000002</v>
      </c>
      <c r="AS35" s="19">
        <f t="shared" si="47"/>
        <v>11.44632</v>
      </c>
      <c r="AT35" s="19">
        <f t="shared" si="47"/>
        <v>11.33949</v>
      </c>
      <c r="AU35" s="20">
        <f t="shared" si="48"/>
        <v>86.850860000000011</v>
      </c>
      <c r="AV35" s="19">
        <f>+Q35+AG35</f>
        <v>3.3554200000000001</v>
      </c>
      <c r="AW35" s="145"/>
    </row>
    <row r="36" spans="2:49" ht="15.6" x14ac:dyDescent="0.3">
      <c r="B36" t="s">
        <v>59</v>
      </c>
      <c r="C36" s="13" t="s">
        <v>39</v>
      </c>
      <c r="D36" s="18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1.39029</v>
      </c>
      <c r="K36" s="19">
        <v>2.0858300000000001</v>
      </c>
      <c r="L36" s="19">
        <v>2.7778</v>
      </c>
      <c r="M36" s="19">
        <v>2.4121899999999998</v>
      </c>
      <c r="N36" s="19">
        <v>2.5744600000000002</v>
      </c>
      <c r="O36" s="19">
        <v>2.7769400000000002</v>
      </c>
      <c r="P36" s="20">
        <f t="shared" si="43"/>
        <v>14.01751</v>
      </c>
      <c r="Q36" s="21">
        <f t="shared" si="44"/>
        <v>0</v>
      </c>
      <c r="R36" s="153"/>
      <c r="T36" s="18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20">
        <f t="shared" si="45"/>
        <v>0</v>
      </c>
      <c r="AG36" s="21">
        <f t="shared" si="46"/>
        <v>0</v>
      </c>
      <c r="AI36" s="18">
        <f t="shared" si="47"/>
        <v>0</v>
      </c>
      <c r="AJ36" s="19">
        <f t="shared" si="47"/>
        <v>0</v>
      </c>
      <c r="AK36" s="19">
        <f t="shared" si="47"/>
        <v>0</v>
      </c>
      <c r="AL36" s="19">
        <f t="shared" si="47"/>
        <v>0</v>
      </c>
      <c r="AM36" s="19">
        <f t="shared" si="47"/>
        <v>0</v>
      </c>
      <c r="AN36" s="19">
        <f t="shared" si="47"/>
        <v>0</v>
      </c>
      <c r="AO36" s="19">
        <f t="shared" si="47"/>
        <v>1.39029</v>
      </c>
      <c r="AP36" s="19">
        <f t="shared" si="47"/>
        <v>2.0858300000000001</v>
      </c>
      <c r="AQ36" s="19">
        <f t="shared" si="47"/>
        <v>2.7778</v>
      </c>
      <c r="AR36" s="19">
        <f t="shared" si="47"/>
        <v>2.4121899999999998</v>
      </c>
      <c r="AS36" s="19">
        <f t="shared" si="47"/>
        <v>2.5744600000000002</v>
      </c>
      <c r="AT36" s="19">
        <f t="shared" si="47"/>
        <v>2.7769400000000002</v>
      </c>
      <c r="AU36" s="20">
        <f t="shared" si="48"/>
        <v>14.01751</v>
      </c>
      <c r="AV36" s="19">
        <f>+Q36+AG36</f>
        <v>0</v>
      </c>
      <c r="AW36" s="145"/>
    </row>
    <row r="37" spans="2:49" ht="15.6" x14ac:dyDescent="0.3">
      <c r="B37" t="s">
        <v>59</v>
      </c>
      <c r="C37" s="13" t="s">
        <v>40</v>
      </c>
      <c r="D37" s="18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4.2794999999999996</v>
      </c>
      <c r="P37" s="20">
        <f t="shared" si="43"/>
        <v>4.2794999999999996</v>
      </c>
      <c r="Q37" s="21">
        <f t="shared" si="44"/>
        <v>0</v>
      </c>
      <c r="R37" s="153"/>
      <c r="T37" s="18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20">
        <f t="shared" si="45"/>
        <v>0</v>
      </c>
      <c r="AG37" s="21">
        <f t="shared" si="46"/>
        <v>0</v>
      </c>
      <c r="AI37" s="18">
        <f t="shared" si="47"/>
        <v>0</v>
      </c>
      <c r="AJ37" s="19">
        <f t="shared" si="47"/>
        <v>0</v>
      </c>
      <c r="AK37" s="19">
        <f t="shared" si="47"/>
        <v>0</v>
      </c>
      <c r="AL37" s="19">
        <f t="shared" si="47"/>
        <v>0</v>
      </c>
      <c r="AM37" s="19">
        <f t="shared" si="47"/>
        <v>0</v>
      </c>
      <c r="AN37" s="19">
        <f t="shared" si="47"/>
        <v>0</v>
      </c>
      <c r="AO37" s="19">
        <f t="shared" si="47"/>
        <v>0</v>
      </c>
      <c r="AP37" s="19">
        <f t="shared" si="47"/>
        <v>0</v>
      </c>
      <c r="AQ37" s="19">
        <f t="shared" si="47"/>
        <v>0</v>
      </c>
      <c r="AR37" s="19">
        <f t="shared" si="47"/>
        <v>0</v>
      </c>
      <c r="AS37" s="19">
        <f t="shared" si="47"/>
        <v>0</v>
      </c>
      <c r="AT37" s="19">
        <f t="shared" si="47"/>
        <v>4.2794999999999996</v>
      </c>
      <c r="AU37" s="20">
        <f t="shared" si="48"/>
        <v>4.2794999999999996</v>
      </c>
      <c r="AV37" s="19">
        <f>+Q37+AG37</f>
        <v>0</v>
      </c>
      <c r="AW37" s="145"/>
    </row>
    <row r="38" spans="2:49" ht="16.2" thickBot="1" x14ac:dyDescent="0.35">
      <c r="B38" t="s">
        <v>59</v>
      </c>
      <c r="C38" s="13" t="s">
        <v>16</v>
      </c>
      <c r="D38" s="18">
        <v>4.6097400000000004</v>
      </c>
      <c r="E38" s="19">
        <v>8.8408499999999997</v>
      </c>
      <c r="F38" s="19">
        <v>7.9371799999999997</v>
      </c>
      <c r="G38" s="19">
        <v>8.7125000000000004</v>
      </c>
      <c r="H38" s="19">
        <v>7.7487899999999996</v>
      </c>
      <c r="I38" s="19">
        <v>9.3395700000000001</v>
      </c>
      <c r="J38" s="19">
        <v>11.05287</v>
      </c>
      <c r="K38" s="19">
        <v>8.1186900000000009</v>
      </c>
      <c r="L38" s="19">
        <v>8.0545399999999994</v>
      </c>
      <c r="M38" s="19">
        <v>7.0148799999999998</v>
      </c>
      <c r="N38" s="19">
        <v>8.2392500000000002</v>
      </c>
      <c r="O38" s="19">
        <v>10.251049999999999</v>
      </c>
      <c r="P38" s="20">
        <f t="shared" si="43"/>
        <v>99.919910000000016</v>
      </c>
      <c r="Q38" s="21">
        <f t="shared" si="44"/>
        <v>30.100270000000002</v>
      </c>
      <c r="R38" s="153"/>
      <c r="T38" s="18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20">
        <f t="shared" si="45"/>
        <v>0</v>
      </c>
      <c r="AG38" s="21">
        <f t="shared" si="46"/>
        <v>0</v>
      </c>
      <c r="AI38" s="18">
        <f t="shared" si="47"/>
        <v>4.6097400000000004</v>
      </c>
      <c r="AJ38" s="19">
        <f t="shared" si="47"/>
        <v>8.8408499999999997</v>
      </c>
      <c r="AK38" s="19">
        <f t="shared" si="47"/>
        <v>7.9371799999999997</v>
      </c>
      <c r="AL38" s="19">
        <f t="shared" si="47"/>
        <v>8.7125000000000004</v>
      </c>
      <c r="AM38" s="19">
        <f t="shared" si="47"/>
        <v>7.7487899999999996</v>
      </c>
      <c r="AN38" s="19">
        <f t="shared" si="47"/>
        <v>9.3395700000000001</v>
      </c>
      <c r="AO38" s="19">
        <f t="shared" si="47"/>
        <v>11.05287</v>
      </c>
      <c r="AP38" s="19">
        <f t="shared" si="47"/>
        <v>8.1186900000000009</v>
      </c>
      <c r="AQ38" s="19">
        <f t="shared" si="47"/>
        <v>8.0545399999999994</v>
      </c>
      <c r="AR38" s="19">
        <f t="shared" si="47"/>
        <v>7.0148799999999998</v>
      </c>
      <c r="AS38" s="19">
        <f t="shared" si="47"/>
        <v>8.2392500000000002</v>
      </c>
      <c r="AT38" s="19">
        <f t="shared" si="47"/>
        <v>10.251049999999999</v>
      </c>
      <c r="AU38" s="20">
        <f t="shared" si="48"/>
        <v>99.919910000000016</v>
      </c>
      <c r="AV38" s="19">
        <f>+Q38+AG38</f>
        <v>30.100270000000002</v>
      </c>
      <c r="AW38" s="145"/>
    </row>
    <row r="39" spans="2:49" ht="16.2" thickBot="1" x14ac:dyDescent="0.35">
      <c r="C39" s="23" t="s">
        <v>60</v>
      </c>
      <c r="D39" s="24">
        <f t="shared" ref="D39:P39" si="49">SUM(D34:D38)</f>
        <v>4.6097400000000004</v>
      </c>
      <c r="E39" s="25">
        <f t="shared" si="49"/>
        <v>8.8408499999999997</v>
      </c>
      <c r="F39" s="25">
        <f t="shared" si="49"/>
        <v>7.9371799999999997</v>
      </c>
      <c r="G39" s="25">
        <f t="shared" si="49"/>
        <v>12.067920000000001</v>
      </c>
      <c r="H39" s="25">
        <f t="shared" si="49"/>
        <v>15.227830000000001</v>
      </c>
      <c r="I39" s="25">
        <f t="shared" si="49"/>
        <v>19.242049999999999</v>
      </c>
      <c r="J39" s="25">
        <f t="shared" si="49"/>
        <v>27.486660000000001</v>
      </c>
      <c r="K39" s="25">
        <f>SUM(K34:K38)</f>
        <v>22.950580000000002</v>
      </c>
      <c r="L39" s="25">
        <f t="shared" si="49"/>
        <v>24.646939999999997</v>
      </c>
      <c r="M39" s="25">
        <f t="shared" si="49"/>
        <v>20.792180000000002</v>
      </c>
      <c r="N39" s="25">
        <f t="shared" si="49"/>
        <v>25.291559999999997</v>
      </c>
      <c r="O39" s="25">
        <f t="shared" si="49"/>
        <v>32.749830000000003</v>
      </c>
      <c r="P39" s="26">
        <f t="shared" si="49"/>
        <v>221.84332000000003</v>
      </c>
      <c r="Q39" s="27"/>
      <c r="R39" s="154"/>
      <c r="T39" s="24">
        <f t="shared" ref="T39:AF39" si="50">SUM(T34:T38)</f>
        <v>0</v>
      </c>
      <c r="U39" s="25">
        <f t="shared" si="50"/>
        <v>0</v>
      </c>
      <c r="V39" s="25">
        <f t="shared" si="50"/>
        <v>0</v>
      </c>
      <c r="W39" s="25">
        <f t="shared" si="50"/>
        <v>0</v>
      </c>
      <c r="X39" s="25">
        <f t="shared" si="50"/>
        <v>0</v>
      </c>
      <c r="Y39" s="25">
        <f t="shared" si="50"/>
        <v>0</v>
      </c>
      <c r="Z39" s="25">
        <f t="shared" si="50"/>
        <v>0</v>
      </c>
      <c r="AA39" s="25">
        <f t="shared" si="50"/>
        <v>0</v>
      </c>
      <c r="AB39" s="25">
        <f t="shared" si="50"/>
        <v>0</v>
      </c>
      <c r="AC39" s="25">
        <f t="shared" si="50"/>
        <v>0</v>
      </c>
      <c r="AD39" s="25">
        <f t="shared" si="50"/>
        <v>0</v>
      </c>
      <c r="AE39" s="25">
        <f t="shared" si="50"/>
        <v>0</v>
      </c>
      <c r="AF39" s="26">
        <f t="shared" si="50"/>
        <v>0</v>
      </c>
      <c r="AG39" s="27"/>
      <c r="AI39" s="24">
        <f t="shared" ref="AI39:AU39" si="51">SUM(AI34:AI38)</f>
        <v>4.6097400000000004</v>
      </c>
      <c r="AJ39" s="25">
        <f t="shared" si="51"/>
        <v>8.8408499999999997</v>
      </c>
      <c r="AK39" s="25">
        <f t="shared" si="51"/>
        <v>7.9371799999999997</v>
      </c>
      <c r="AL39" s="25">
        <f t="shared" si="51"/>
        <v>12.067920000000001</v>
      </c>
      <c r="AM39" s="25">
        <f t="shared" si="51"/>
        <v>15.227830000000001</v>
      </c>
      <c r="AN39" s="25">
        <f t="shared" si="51"/>
        <v>19.242049999999999</v>
      </c>
      <c r="AO39" s="25">
        <f t="shared" si="51"/>
        <v>27.486660000000001</v>
      </c>
      <c r="AP39" s="25">
        <f t="shared" si="51"/>
        <v>22.950580000000002</v>
      </c>
      <c r="AQ39" s="25">
        <f t="shared" si="51"/>
        <v>24.646939999999997</v>
      </c>
      <c r="AR39" s="25">
        <f t="shared" si="51"/>
        <v>20.792180000000002</v>
      </c>
      <c r="AS39" s="25">
        <f t="shared" si="51"/>
        <v>25.291559999999997</v>
      </c>
      <c r="AT39" s="25">
        <f t="shared" si="51"/>
        <v>32.749830000000003</v>
      </c>
      <c r="AU39" s="26">
        <f t="shared" si="51"/>
        <v>221.84332000000003</v>
      </c>
      <c r="AV39" s="25"/>
      <c r="AW39" s="145"/>
    </row>
    <row r="40" spans="2:49" ht="15.6" x14ac:dyDescent="0.3">
      <c r="C40" s="13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9"/>
      <c r="Q40" s="30"/>
      <c r="R40" s="155"/>
      <c r="T40" s="18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29"/>
      <c r="AG40" s="21"/>
      <c r="AI40" s="18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29"/>
      <c r="AV40" s="19"/>
      <c r="AW40" s="145"/>
    </row>
    <row r="41" spans="2:49" ht="15.6" x14ac:dyDescent="0.3">
      <c r="B41" t="s">
        <v>20</v>
      </c>
      <c r="C41" s="13" t="s">
        <v>20</v>
      </c>
      <c r="D41" s="18">
        <v>158.52575419999999</v>
      </c>
      <c r="E41" s="19">
        <v>177.35231210000001</v>
      </c>
      <c r="F41" s="19">
        <v>166.83202180000001</v>
      </c>
      <c r="G41" s="19">
        <v>168.12316329999999</v>
      </c>
      <c r="H41" s="19">
        <v>173.8642025</v>
      </c>
      <c r="I41" s="19">
        <v>158.96105070000002</v>
      </c>
      <c r="J41" s="19">
        <v>170.26187999999999</v>
      </c>
      <c r="K41" s="19">
        <v>160.1319488</v>
      </c>
      <c r="L41" s="19">
        <v>174.4716464</v>
      </c>
      <c r="M41" s="19">
        <v>154.74112779999999</v>
      </c>
      <c r="N41" s="19">
        <v>168.73191019999999</v>
      </c>
      <c r="O41" s="19">
        <v>181.23005649999999</v>
      </c>
      <c r="P41" s="20">
        <f t="shared" ref="P41:P43" si="52">SUM(D41:O41)</f>
        <v>2013.2270742999999</v>
      </c>
      <c r="Q41" s="21">
        <f t="shared" ref="Q41:Q43" si="53">SUMIF($D$3:$O$3,$Q$3,D41:O41)</f>
        <v>670.83325139999999</v>
      </c>
      <c r="R41" s="153"/>
      <c r="T41" s="18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20">
        <f t="shared" ref="AF41:AF43" si="54">SUM(T41:AE41)</f>
        <v>0</v>
      </c>
      <c r="AG41" s="21">
        <f t="shared" ref="AG41:AG43" si="55">SUMIF($T$3:$AE$3,$AG$3,T41:AE41)</f>
        <v>0</v>
      </c>
      <c r="AI41" s="18">
        <f t="shared" ref="AI41:AT43" si="56">+D41+T41</f>
        <v>158.52575419999999</v>
      </c>
      <c r="AJ41" s="19">
        <f t="shared" si="56"/>
        <v>177.35231210000001</v>
      </c>
      <c r="AK41" s="19">
        <f t="shared" si="56"/>
        <v>166.83202180000001</v>
      </c>
      <c r="AL41" s="19">
        <f t="shared" si="56"/>
        <v>168.12316329999999</v>
      </c>
      <c r="AM41" s="19">
        <f t="shared" si="56"/>
        <v>173.8642025</v>
      </c>
      <c r="AN41" s="19">
        <f t="shared" si="56"/>
        <v>158.96105070000002</v>
      </c>
      <c r="AO41" s="19">
        <f t="shared" si="56"/>
        <v>170.26187999999999</v>
      </c>
      <c r="AP41" s="19">
        <f t="shared" si="56"/>
        <v>160.1319488</v>
      </c>
      <c r="AQ41" s="19">
        <f t="shared" si="56"/>
        <v>174.4716464</v>
      </c>
      <c r="AR41" s="19">
        <f t="shared" si="56"/>
        <v>154.74112779999999</v>
      </c>
      <c r="AS41" s="19">
        <f t="shared" si="56"/>
        <v>168.73191019999999</v>
      </c>
      <c r="AT41" s="19">
        <f t="shared" si="56"/>
        <v>181.23005649999999</v>
      </c>
      <c r="AU41" s="20">
        <f t="shared" ref="AU41:AU43" si="57">SUM(AI41:AT41)</f>
        <v>2013.2270742999999</v>
      </c>
      <c r="AV41" s="19">
        <f>+Q41+AG41</f>
        <v>670.83325139999999</v>
      </c>
      <c r="AW41" s="145"/>
    </row>
    <row r="42" spans="2:49" ht="15.6" x14ac:dyDescent="0.3">
      <c r="B42" t="s">
        <v>61</v>
      </c>
      <c r="C42" s="13" t="s">
        <v>61</v>
      </c>
      <c r="D42" s="18">
        <v>23.034870000000002</v>
      </c>
      <c r="E42" s="19">
        <v>24.658329999999999</v>
      </c>
      <c r="F42" s="19">
        <v>23.333910599999999</v>
      </c>
      <c r="G42" s="19">
        <v>23.379940000000001</v>
      </c>
      <c r="H42" s="19">
        <v>23.379940000000001</v>
      </c>
      <c r="I42" s="19">
        <v>23.379940000000001</v>
      </c>
      <c r="J42" s="19">
        <v>23.428380000000001</v>
      </c>
      <c r="K42" s="19">
        <v>23.404129999999999</v>
      </c>
      <c r="L42" s="19">
        <v>23.404129999999999</v>
      </c>
      <c r="M42" s="19">
        <v>23.404140000000002</v>
      </c>
      <c r="N42" s="19">
        <v>23.721260000000001</v>
      </c>
      <c r="O42" s="19">
        <v>23.806819999999998</v>
      </c>
      <c r="P42" s="20">
        <f t="shared" si="52"/>
        <v>282.33579060000005</v>
      </c>
      <c r="Q42" s="21">
        <f t="shared" si="53"/>
        <v>94.407050600000005</v>
      </c>
      <c r="R42" s="153"/>
      <c r="T42" s="18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20">
        <f t="shared" si="54"/>
        <v>0</v>
      </c>
      <c r="AG42" s="21">
        <f t="shared" si="55"/>
        <v>0</v>
      </c>
      <c r="AI42" s="18">
        <f t="shared" si="56"/>
        <v>23.034870000000002</v>
      </c>
      <c r="AJ42" s="19">
        <f t="shared" si="56"/>
        <v>24.658329999999999</v>
      </c>
      <c r="AK42" s="19">
        <f t="shared" si="56"/>
        <v>23.333910599999999</v>
      </c>
      <c r="AL42" s="19">
        <f t="shared" si="56"/>
        <v>23.379940000000001</v>
      </c>
      <c r="AM42" s="19">
        <f t="shared" si="56"/>
        <v>23.379940000000001</v>
      </c>
      <c r="AN42" s="19">
        <f t="shared" si="56"/>
        <v>23.379940000000001</v>
      </c>
      <c r="AO42" s="19">
        <f t="shared" si="56"/>
        <v>23.428380000000001</v>
      </c>
      <c r="AP42" s="19">
        <f t="shared" si="56"/>
        <v>23.404129999999999</v>
      </c>
      <c r="AQ42" s="19">
        <f t="shared" si="56"/>
        <v>23.404129999999999</v>
      </c>
      <c r="AR42" s="19">
        <f t="shared" si="56"/>
        <v>23.404140000000002</v>
      </c>
      <c r="AS42" s="19">
        <f t="shared" si="56"/>
        <v>23.721260000000001</v>
      </c>
      <c r="AT42" s="19">
        <f t="shared" si="56"/>
        <v>23.806819999999998</v>
      </c>
      <c r="AU42" s="20">
        <f t="shared" si="57"/>
        <v>282.33579060000005</v>
      </c>
      <c r="AV42" s="19">
        <f>+Q42+AG42</f>
        <v>94.407050600000005</v>
      </c>
      <c r="AW42" s="145"/>
    </row>
    <row r="43" spans="2:49" ht="16.2" thickBot="1" x14ac:dyDescent="0.35">
      <c r="B43" t="s">
        <v>50</v>
      </c>
      <c r="C43" s="13" t="s">
        <v>62</v>
      </c>
      <c r="D43" s="18">
        <v>2.9434999999999998</v>
      </c>
      <c r="E43" s="19">
        <v>4.0155500000000002</v>
      </c>
      <c r="F43" s="19">
        <v>7.5957519999999992</v>
      </c>
      <c r="G43" s="19">
        <v>4.7923309999999999</v>
      </c>
      <c r="H43" s="19">
        <v>6.3899699999999999</v>
      </c>
      <c r="I43" s="19">
        <v>20.734829999999999</v>
      </c>
      <c r="J43" s="19">
        <v>7.1348000000000003</v>
      </c>
      <c r="K43" s="19">
        <v>7.5129299999999999</v>
      </c>
      <c r="L43" s="19">
        <v>7.0462199999999999</v>
      </c>
      <c r="M43" s="19">
        <v>8.8384</v>
      </c>
      <c r="N43" s="19">
        <v>21.548870000000001</v>
      </c>
      <c r="O43" s="19">
        <v>9.9990100000000002</v>
      </c>
      <c r="P43" s="20">
        <f t="shared" si="52"/>
        <v>108.55216299999998</v>
      </c>
      <c r="Q43" s="21">
        <f t="shared" si="53"/>
        <v>19.347132999999999</v>
      </c>
      <c r="R43" s="153"/>
      <c r="T43" s="18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20">
        <f t="shared" si="54"/>
        <v>0</v>
      </c>
      <c r="AG43" s="21">
        <f t="shared" si="55"/>
        <v>0</v>
      </c>
      <c r="AI43" s="18">
        <f t="shared" si="56"/>
        <v>2.9434999999999998</v>
      </c>
      <c r="AJ43" s="19">
        <f t="shared" si="56"/>
        <v>4.0155500000000002</v>
      </c>
      <c r="AK43" s="19">
        <f t="shared" si="56"/>
        <v>7.5957519999999992</v>
      </c>
      <c r="AL43" s="19">
        <f t="shared" si="56"/>
        <v>4.7923309999999999</v>
      </c>
      <c r="AM43" s="19">
        <f t="shared" si="56"/>
        <v>6.3899699999999999</v>
      </c>
      <c r="AN43" s="19">
        <f t="shared" si="56"/>
        <v>20.734829999999999</v>
      </c>
      <c r="AO43" s="19">
        <f t="shared" si="56"/>
        <v>7.1348000000000003</v>
      </c>
      <c r="AP43" s="19">
        <f t="shared" si="56"/>
        <v>7.5129299999999999</v>
      </c>
      <c r="AQ43" s="19">
        <f t="shared" si="56"/>
        <v>7.0462199999999999</v>
      </c>
      <c r="AR43" s="19">
        <f t="shared" si="56"/>
        <v>8.8384</v>
      </c>
      <c r="AS43" s="19">
        <f t="shared" si="56"/>
        <v>21.548870000000001</v>
      </c>
      <c r="AT43" s="19">
        <f t="shared" si="56"/>
        <v>9.9990100000000002</v>
      </c>
      <c r="AU43" s="20">
        <f t="shared" si="57"/>
        <v>108.55216299999998</v>
      </c>
      <c r="AV43" s="19">
        <f>+Q43+AG43</f>
        <v>19.347132999999999</v>
      </c>
      <c r="AW43" s="145"/>
    </row>
    <row r="44" spans="2:49" ht="16.2" thickBot="1" x14ac:dyDescent="0.35">
      <c r="C44" s="23" t="s">
        <v>63</v>
      </c>
      <c r="D44" s="24">
        <f t="shared" ref="D44:P44" si="58">SUM(D41:D43)</f>
        <v>184.50412420000001</v>
      </c>
      <c r="E44" s="25">
        <f t="shared" si="58"/>
        <v>206.0261921</v>
      </c>
      <c r="F44" s="25">
        <f t="shared" si="58"/>
        <v>197.76168440000001</v>
      </c>
      <c r="G44" s="25">
        <f t="shared" si="58"/>
        <v>196.29543429999998</v>
      </c>
      <c r="H44" s="25">
        <f t="shared" si="58"/>
        <v>203.63411250000001</v>
      </c>
      <c r="I44" s="25">
        <f t="shared" si="58"/>
        <v>203.07582070000001</v>
      </c>
      <c r="J44" s="25">
        <f t="shared" si="58"/>
        <v>200.82506000000001</v>
      </c>
      <c r="K44" s="25">
        <f t="shared" si="58"/>
        <v>191.04900880000002</v>
      </c>
      <c r="L44" s="25">
        <f t="shared" si="58"/>
        <v>204.92199640000001</v>
      </c>
      <c r="M44" s="25">
        <f t="shared" si="58"/>
        <v>186.98366780000001</v>
      </c>
      <c r="N44" s="25">
        <f t="shared" si="58"/>
        <v>214.00204019999998</v>
      </c>
      <c r="O44" s="25">
        <f t="shared" si="58"/>
        <v>215.03588649999998</v>
      </c>
      <c r="P44" s="26">
        <f t="shared" si="58"/>
        <v>2404.1150278999999</v>
      </c>
      <c r="Q44" s="27"/>
      <c r="R44" s="154"/>
      <c r="T44" s="24">
        <f>SUM(T41:T43)</f>
        <v>0</v>
      </c>
      <c r="U44" s="25">
        <f t="shared" ref="U44:AF44" si="59">SUM(U41:U43)</f>
        <v>0</v>
      </c>
      <c r="V44" s="25">
        <f t="shared" si="59"/>
        <v>0</v>
      </c>
      <c r="W44" s="25">
        <f t="shared" si="59"/>
        <v>0</v>
      </c>
      <c r="X44" s="25">
        <f t="shared" si="59"/>
        <v>0</v>
      </c>
      <c r="Y44" s="25">
        <f t="shared" si="59"/>
        <v>0</v>
      </c>
      <c r="Z44" s="25">
        <f t="shared" si="59"/>
        <v>0</v>
      </c>
      <c r="AA44" s="25">
        <f t="shared" si="59"/>
        <v>0</v>
      </c>
      <c r="AB44" s="25">
        <f t="shared" si="59"/>
        <v>0</v>
      </c>
      <c r="AC44" s="25">
        <f t="shared" si="59"/>
        <v>0</v>
      </c>
      <c r="AD44" s="25">
        <f t="shared" si="59"/>
        <v>0</v>
      </c>
      <c r="AE44" s="25">
        <f t="shared" si="59"/>
        <v>0</v>
      </c>
      <c r="AF44" s="26">
        <f t="shared" si="59"/>
        <v>0</v>
      </c>
      <c r="AG44" s="27"/>
      <c r="AI44" s="24">
        <f>SUM(AI41:AI43)</f>
        <v>184.50412420000001</v>
      </c>
      <c r="AJ44" s="25">
        <f t="shared" ref="AJ44:AT44" si="60">SUM(AJ41:AJ43)</f>
        <v>206.0261921</v>
      </c>
      <c r="AK44" s="25">
        <f t="shared" si="60"/>
        <v>197.76168440000001</v>
      </c>
      <c r="AL44" s="25">
        <f t="shared" si="60"/>
        <v>196.29543429999998</v>
      </c>
      <c r="AM44" s="25">
        <f t="shared" si="60"/>
        <v>203.63411250000001</v>
      </c>
      <c r="AN44" s="25">
        <f t="shared" si="60"/>
        <v>203.07582070000001</v>
      </c>
      <c r="AO44" s="25">
        <f t="shared" si="60"/>
        <v>200.82506000000001</v>
      </c>
      <c r="AP44" s="25">
        <f t="shared" si="60"/>
        <v>191.04900880000002</v>
      </c>
      <c r="AQ44" s="25">
        <f t="shared" si="60"/>
        <v>204.92199640000001</v>
      </c>
      <c r="AR44" s="25">
        <f t="shared" si="60"/>
        <v>186.98366780000001</v>
      </c>
      <c r="AS44" s="25">
        <f t="shared" si="60"/>
        <v>214.00204019999998</v>
      </c>
      <c r="AT44" s="25">
        <f t="shared" si="60"/>
        <v>215.03588649999998</v>
      </c>
      <c r="AU44" s="26">
        <f>SUM(AU41:AU43)</f>
        <v>2404.1150278999999</v>
      </c>
      <c r="AV44" s="25"/>
      <c r="AW44" s="145"/>
    </row>
    <row r="45" spans="2:49" ht="15.6" x14ac:dyDescent="0.3">
      <c r="C45" s="31"/>
      <c r="D45" s="18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9"/>
      <c r="Q45" s="30"/>
      <c r="R45" s="155"/>
      <c r="T45" s="18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29"/>
      <c r="AG45" s="21"/>
      <c r="AI45" s="18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29"/>
      <c r="AV45" s="19"/>
      <c r="AW45" s="145"/>
    </row>
    <row r="46" spans="2:49" ht="15.6" x14ac:dyDescent="0.3">
      <c r="C46" s="31" t="s">
        <v>64</v>
      </c>
      <c r="D46" s="18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20">
        <f t="shared" ref="P46" si="61">SUM(D46:O46)</f>
        <v>0</v>
      </c>
      <c r="Q46" s="21">
        <f t="shared" ref="Q46" si="62">D46</f>
        <v>0</v>
      </c>
      <c r="R46" s="153"/>
      <c r="T46" s="18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20">
        <f t="shared" ref="AF46" si="63">SUM(T46:AE46)</f>
        <v>0</v>
      </c>
      <c r="AG46" s="21">
        <f t="shared" ref="AG46" si="64">SUMIF($T$3:$AE$3,$AG$3,T46:AE46)</f>
        <v>0</v>
      </c>
      <c r="AI46" s="18">
        <f t="shared" ref="AI46:AT46" si="65">+D46+T46</f>
        <v>0</v>
      </c>
      <c r="AJ46" s="19">
        <f t="shared" si="65"/>
        <v>0</v>
      </c>
      <c r="AK46" s="19">
        <f t="shared" si="65"/>
        <v>0</v>
      </c>
      <c r="AL46" s="19">
        <f t="shared" si="65"/>
        <v>0</v>
      </c>
      <c r="AM46" s="19">
        <f t="shared" si="65"/>
        <v>0</v>
      </c>
      <c r="AN46" s="19">
        <f t="shared" si="65"/>
        <v>0</v>
      </c>
      <c r="AO46" s="19">
        <f t="shared" si="65"/>
        <v>0</v>
      </c>
      <c r="AP46" s="19">
        <f t="shared" si="65"/>
        <v>0</v>
      </c>
      <c r="AQ46" s="19">
        <f t="shared" si="65"/>
        <v>0</v>
      </c>
      <c r="AR46" s="19">
        <f t="shared" si="65"/>
        <v>0</v>
      </c>
      <c r="AS46" s="19">
        <f t="shared" si="65"/>
        <v>0</v>
      </c>
      <c r="AT46" s="19">
        <f t="shared" si="65"/>
        <v>0</v>
      </c>
      <c r="AU46" s="20">
        <f t="shared" ref="AU46" si="66">SUM(AI46:AT46)</f>
        <v>0</v>
      </c>
      <c r="AV46" s="19">
        <f>+Q46+AG46</f>
        <v>0</v>
      </c>
      <c r="AW46" s="145"/>
    </row>
    <row r="47" spans="2:49" ht="16.2" thickBot="1" x14ac:dyDescent="0.35">
      <c r="C47" s="31"/>
      <c r="D47" s="32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4"/>
      <c r="Q47" s="35"/>
      <c r="R47" s="155"/>
      <c r="T47" s="32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4"/>
      <c r="AG47" s="36"/>
      <c r="AI47" s="32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4"/>
      <c r="AV47" s="33"/>
      <c r="AW47" s="145"/>
    </row>
    <row r="48" spans="2:49" ht="16.2" thickBot="1" x14ac:dyDescent="0.35">
      <c r="C48" s="23" t="s">
        <v>4</v>
      </c>
      <c r="D48" s="24">
        <f>D21+D32+D39+D44</f>
        <v>472.98858419999999</v>
      </c>
      <c r="E48" s="24">
        <f t="shared" ref="E48:P48" si="67">E21+E32+E39+E44</f>
        <v>495.96196719999995</v>
      </c>
      <c r="F48" s="24">
        <f t="shared" si="67"/>
        <v>473.17638150000005</v>
      </c>
      <c r="G48" s="24">
        <f t="shared" si="67"/>
        <v>486.12364930000001</v>
      </c>
      <c r="H48" s="24">
        <f t="shared" si="67"/>
        <v>499.37584129999999</v>
      </c>
      <c r="I48" s="24">
        <f t="shared" si="67"/>
        <v>510.27747240000008</v>
      </c>
      <c r="J48" s="24">
        <f t="shared" si="67"/>
        <v>523.45948520000002</v>
      </c>
      <c r="K48" s="24">
        <f t="shared" si="67"/>
        <v>447.46507820000005</v>
      </c>
      <c r="L48" s="24">
        <f t="shared" si="67"/>
        <v>494.96033339999997</v>
      </c>
      <c r="M48" s="24">
        <f t="shared" si="67"/>
        <v>436.44898999999998</v>
      </c>
      <c r="N48" s="24">
        <f t="shared" si="67"/>
        <v>511.82850729999996</v>
      </c>
      <c r="O48" s="24">
        <f t="shared" si="67"/>
        <v>570.99591379999993</v>
      </c>
      <c r="P48" s="24">
        <f t="shared" si="67"/>
        <v>5923.0622037999983</v>
      </c>
      <c r="Q48" s="24"/>
      <c r="R48" s="154"/>
      <c r="T48" s="24">
        <f>T21+T32+T39+T44</f>
        <v>197.05459350000001</v>
      </c>
      <c r="U48" s="24">
        <f t="shared" ref="U48:AF48" si="68">U21+U32+U39+U44</f>
        <v>219.03980079999999</v>
      </c>
      <c r="V48" s="24">
        <f t="shared" si="68"/>
        <v>212.62107930000008</v>
      </c>
      <c r="W48" s="24">
        <f t="shared" si="68"/>
        <v>213.63832160000004</v>
      </c>
      <c r="X48" s="24">
        <f t="shared" si="68"/>
        <v>208.50890290000001</v>
      </c>
      <c r="Y48" s="24">
        <f t="shared" si="68"/>
        <v>205.71756679999999</v>
      </c>
      <c r="Z48" s="24">
        <f t="shared" si="68"/>
        <v>205.44096860000002</v>
      </c>
      <c r="AA48" s="24">
        <f t="shared" si="68"/>
        <v>175.96692280000002</v>
      </c>
      <c r="AB48" s="24">
        <f t="shared" si="68"/>
        <v>178.1009708</v>
      </c>
      <c r="AC48" s="24">
        <f t="shared" si="68"/>
        <v>168.65985970000003</v>
      </c>
      <c r="AD48" s="24">
        <f t="shared" si="68"/>
        <v>193.00616880000001</v>
      </c>
      <c r="AE48" s="24">
        <f t="shared" si="68"/>
        <v>222.47959220000001</v>
      </c>
      <c r="AF48" s="24">
        <f t="shared" si="68"/>
        <v>2400.2347478000002</v>
      </c>
      <c r="AG48" s="24"/>
      <c r="AI48" s="24">
        <f>AI21+AI32+AI39+AI44</f>
        <v>670.04317769999989</v>
      </c>
      <c r="AJ48" s="24">
        <f t="shared" ref="AJ48:AT48" si="69">AJ21+AJ32+AJ39+AJ44</f>
        <v>715.00176799999986</v>
      </c>
      <c r="AK48" s="24">
        <f t="shared" si="69"/>
        <v>685.79746080000007</v>
      </c>
      <c r="AL48" s="24">
        <f t="shared" si="69"/>
        <v>699.76197090000005</v>
      </c>
      <c r="AM48" s="24">
        <f t="shared" si="69"/>
        <v>707.88474420000011</v>
      </c>
      <c r="AN48" s="24">
        <f t="shared" si="69"/>
        <v>715.99503919999995</v>
      </c>
      <c r="AO48" s="24">
        <f t="shared" si="69"/>
        <v>728.90045380000004</v>
      </c>
      <c r="AP48" s="24">
        <f t="shared" si="69"/>
        <v>623.4320009999999</v>
      </c>
      <c r="AQ48" s="24">
        <f t="shared" si="69"/>
        <v>673.0613042</v>
      </c>
      <c r="AR48" s="24">
        <f t="shared" si="69"/>
        <v>605.10884970000006</v>
      </c>
      <c r="AS48" s="24">
        <f t="shared" si="69"/>
        <v>704.83467609999991</v>
      </c>
      <c r="AT48" s="24">
        <f t="shared" si="69"/>
        <v>793.47550599999988</v>
      </c>
      <c r="AU48" s="24">
        <f>AU21+AU32+AU39+AU44</f>
        <v>8323.2969516000012</v>
      </c>
      <c r="AV48" s="24"/>
      <c r="AW48" s="145"/>
    </row>
  </sheetData>
  <autoFilter ref="B4:AZ48" xr:uid="{4F47A7BE-0608-4724-B6F3-1436D0E38CA2}"/>
  <mergeCells count="1">
    <mergeCell ref="C2:C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6D05-E2DE-4809-8688-12E2388E71EE}">
  <dimension ref="A1:AX82"/>
  <sheetViews>
    <sheetView workbookViewId="0">
      <pane xSplit="3" ySplit="3" topLeftCell="AG19" activePane="bottomRight" state="frozen"/>
      <selection pane="topRight" activeCell="D1" sqref="D1"/>
      <selection pane="bottomLeft" activeCell="A4" sqref="A4"/>
      <selection pane="bottomRight" activeCell="AW23" sqref="AW23"/>
    </sheetView>
  </sheetViews>
  <sheetFormatPr defaultColWidth="8.88671875" defaultRowHeight="14.4" x14ac:dyDescent="0.3"/>
  <cols>
    <col min="1" max="1" width="12.109375" bestFit="1" customWidth="1"/>
    <col min="2" max="2" width="12.109375" customWidth="1"/>
    <col min="3" max="3" width="19.21875" bestFit="1" customWidth="1"/>
    <col min="4" max="15" width="8.88671875" customWidth="1"/>
    <col min="16" max="16" width="10" customWidth="1"/>
    <col min="17" max="17" width="9.88671875" style="246" customWidth="1"/>
    <col min="18" max="18" width="2.5546875" customWidth="1"/>
    <col min="19" max="19" width="10" style="176" customWidth="1"/>
    <col min="20" max="31" width="9" customWidth="1"/>
    <col min="32" max="32" width="10" customWidth="1"/>
    <col min="33" max="33" width="9.88671875" style="246" customWidth="1"/>
    <col min="34" max="34" width="2.5546875" customWidth="1"/>
    <col min="35" max="35" width="10" customWidth="1"/>
    <col min="36" max="47" width="9" customWidth="1"/>
    <col min="48" max="48" width="10.109375" bestFit="1" customWidth="1"/>
    <col min="49" max="49" width="9.88671875" style="246" customWidth="1"/>
    <col min="50" max="50" width="9.88671875" bestFit="1" customWidth="1"/>
  </cols>
  <sheetData>
    <row r="1" spans="1:49" s="204" customFormat="1" ht="21" x14ac:dyDescent="0.4">
      <c r="C1" s="242" t="s">
        <v>106</v>
      </c>
      <c r="Q1" s="252"/>
      <c r="S1" s="242" t="s">
        <v>1</v>
      </c>
      <c r="AG1" s="252"/>
      <c r="AI1" s="242" t="s">
        <v>3</v>
      </c>
      <c r="AR1" s="204" t="s">
        <v>120</v>
      </c>
      <c r="AW1" s="252"/>
    </row>
    <row r="2" spans="1:49" s="204" customFormat="1" ht="21" x14ac:dyDescent="0.4">
      <c r="C2" s="242" t="s">
        <v>105</v>
      </c>
      <c r="D2" s="242" t="s">
        <v>53</v>
      </c>
      <c r="E2" s="242" t="s">
        <v>53</v>
      </c>
      <c r="F2" s="242" t="s">
        <v>53</v>
      </c>
      <c r="G2" s="242" t="s">
        <v>53</v>
      </c>
      <c r="Q2" s="252"/>
      <c r="S2" s="3"/>
      <c r="T2" s="242" t="s">
        <v>53</v>
      </c>
      <c r="U2" s="204" t="s">
        <v>53</v>
      </c>
      <c r="V2" s="204" t="s">
        <v>53</v>
      </c>
      <c r="W2" s="204" t="s">
        <v>53</v>
      </c>
      <c r="AG2" s="252"/>
      <c r="AJ2" s="204" t="s">
        <v>53</v>
      </c>
      <c r="AK2" s="204" t="s">
        <v>53</v>
      </c>
      <c r="AL2" s="204" t="s">
        <v>53</v>
      </c>
      <c r="AM2" s="204" t="s">
        <v>53</v>
      </c>
      <c r="AW2" s="252"/>
    </row>
    <row r="3" spans="1:49" s="204" customFormat="1" x14ac:dyDescent="0.3">
      <c r="A3" s="243" t="s">
        <v>54</v>
      </c>
      <c r="B3" s="243"/>
      <c r="C3" s="243" t="s">
        <v>4</v>
      </c>
      <c r="D3" s="244">
        <v>45383</v>
      </c>
      <c r="E3" s="244">
        <v>45413</v>
      </c>
      <c r="F3" s="244">
        <v>45444</v>
      </c>
      <c r="G3" s="244">
        <v>45474</v>
      </c>
      <c r="H3" s="244">
        <v>45505</v>
      </c>
      <c r="I3" s="244">
        <v>45536</v>
      </c>
      <c r="J3" s="244">
        <v>45566</v>
      </c>
      <c r="K3" s="244">
        <v>45597</v>
      </c>
      <c r="L3" s="244">
        <v>45627</v>
      </c>
      <c r="M3" s="244">
        <v>45658</v>
      </c>
      <c r="N3" s="244">
        <v>45689</v>
      </c>
      <c r="O3" s="244">
        <v>45717</v>
      </c>
      <c r="P3" s="245" t="s">
        <v>122</v>
      </c>
      <c r="Q3" s="253" t="s">
        <v>53</v>
      </c>
      <c r="S3" s="243" t="s">
        <v>54</v>
      </c>
      <c r="T3" s="244">
        <v>45383</v>
      </c>
      <c r="U3" s="244">
        <v>45413</v>
      </c>
      <c r="V3" s="244">
        <v>45444</v>
      </c>
      <c r="W3" s="244">
        <v>45474</v>
      </c>
      <c r="X3" s="244">
        <v>45505</v>
      </c>
      <c r="Y3" s="244">
        <v>45536</v>
      </c>
      <c r="Z3" s="244">
        <v>45566</v>
      </c>
      <c r="AA3" s="244">
        <v>45597</v>
      </c>
      <c r="AB3" s="244">
        <v>45627</v>
      </c>
      <c r="AC3" s="244">
        <v>45658</v>
      </c>
      <c r="AD3" s="244">
        <v>45689</v>
      </c>
      <c r="AE3" s="244">
        <v>45717</v>
      </c>
      <c r="AF3" s="245" t="s">
        <v>122</v>
      </c>
      <c r="AG3" s="253" t="s">
        <v>53</v>
      </c>
      <c r="AI3" s="243" t="s">
        <v>54</v>
      </c>
      <c r="AJ3" s="244">
        <v>45383</v>
      </c>
      <c r="AK3" s="244">
        <v>45413</v>
      </c>
      <c r="AL3" s="244">
        <v>45444</v>
      </c>
      <c r="AM3" s="244">
        <v>45474</v>
      </c>
      <c r="AN3" s="244">
        <v>45505</v>
      </c>
      <c r="AO3" s="244">
        <v>45536</v>
      </c>
      <c r="AP3" s="244">
        <v>45566</v>
      </c>
      <c r="AQ3" s="244">
        <v>45597</v>
      </c>
      <c r="AR3" s="244">
        <v>45627</v>
      </c>
      <c r="AS3" s="244">
        <v>45658</v>
      </c>
      <c r="AT3" s="244">
        <v>45689</v>
      </c>
      <c r="AU3" s="244">
        <v>45717</v>
      </c>
      <c r="AV3" s="245" t="s">
        <v>122</v>
      </c>
      <c r="AW3" s="253" t="s">
        <v>53</v>
      </c>
    </row>
    <row r="4" spans="1:49" x14ac:dyDescent="0.3">
      <c r="A4" s="246">
        <v>249.11107714285748</v>
      </c>
      <c r="B4" s="246" t="s">
        <v>109</v>
      </c>
      <c r="C4" t="s">
        <v>8</v>
      </c>
      <c r="D4" s="176">
        <v>23.60023241385835</v>
      </c>
      <c r="E4" s="176">
        <v>26.178121503047326</v>
      </c>
      <c r="F4" s="176">
        <v>23.326474280493148</v>
      </c>
      <c r="G4" s="176">
        <v>22.91583708044535</v>
      </c>
      <c r="H4" s="176">
        <v>24.934803314013706</v>
      </c>
      <c r="I4" s="176">
        <v>25.094495558476737</v>
      </c>
      <c r="J4" s="176">
        <v>21.672518891411727</v>
      </c>
      <c r="K4" s="176">
        <v>22.813177780433399</v>
      </c>
      <c r="L4" s="176">
        <v>22.242848335922567</v>
      </c>
      <c r="M4" s="176">
        <v>22.242848335922567</v>
      </c>
      <c r="N4" s="176">
        <v>25.094495558476737</v>
      </c>
      <c r="O4" s="176">
        <v>26.23515444749841</v>
      </c>
      <c r="P4" s="247">
        <v>286.35100749999998</v>
      </c>
      <c r="Q4" s="268">
        <f>SUMIF($D$2:$O$2,$Q$3,D4:O4)</f>
        <v>96.020665277844159</v>
      </c>
      <c r="S4" s="176">
        <v>384.14670000000029</v>
      </c>
      <c r="T4" s="176">
        <v>41.083042059416648</v>
      </c>
      <c r="U4" s="176">
        <v>45.570604894326358</v>
      </c>
      <c r="V4" s="176">
        <v>40.606486714116507</v>
      </c>
      <c r="W4" s="176">
        <v>39.891653696166287</v>
      </c>
      <c r="X4" s="176">
        <v>43.40624936775486</v>
      </c>
      <c r="Y4" s="176">
        <v>43.684239985846609</v>
      </c>
      <c r="Z4" s="176">
        <v>37.727298169594796</v>
      </c>
      <c r="AA4" s="176">
        <v>39.712945441678741</v>
      </c>
      <c r="AB4" s="176">
        <v>38.720121805636772</v>
      </c>
      <c r="AC4" s="176">
        <v>38.720121805636772</v>
      </c>
      <c r="AD4" s="176">
        <v>43.684239985846609</v>
      </c>
      <c r="AE4" s="176">
        <v>45.669887257930547</v>
      </c>
      <c r="AF4" s="247">
        <v>498.47689118395152</v>
      </c>
      <c r="AG4" s="268">
        <f>SUMIF($T$2:$AE$2,$AG$3,T4:AE4)</f>
        <v>167.15178736402581</v>
      </c>
      <c r="AI4" s="180">
        <v>633.25777714285778</v>
      </c>
      <c r="AJ4" s="180">
        <v>64.683274473274992</v>
      </c>
      <c r="AK4" s="180">
        <v>71.748726397373687</v>
      </c>
      <c r="AL4" s="180">
        <v>63.932960994609658</v>
      </c>
      <c r="AM4" s="180">
        <v>62.807490776611637</v>
      </c>
      <c r="AN4" s="180">
        <v>68.341052681768559</v>
      </c>
      <c r="AO4" s="180">
        <v>68.778735544323354</v>
      </c>
      <c r="AP4" s="180">
        <v>59.399817061006523</v>
      </c>
      <c r="AQ4" s="180">
        <v>62.52612322211214</v>
      </c>
      <c r="AR4" s="180">
        <v>60.962970141559339</v>
      </c>
      <c r="AS4" s="180">
        <v>60.962970141559339</v>
      </c>
      <c r="AT4" s="180">
        <v>68.778735544323354</v>
      </c>
      <c r="AU4" s="180">
        <v>71.905041705428957</v>
      </c>
      <c r="AV4" s="247">
        <v>784.8278986839515</v>
      </c>
      <c r="AW4" s="268">
        <f>Q4+AG4</f>
        <v>263.17245264187</v>
      </c>
    </row>
    <row r="5" spans="1:49" x14ac:dyDescent="0.3">
      <c r="A5" s="246">
        <v>995.93775071427171</v>
      </c>
      <c r="B5" s="246" t="s">
        <v>50</v>
      </c>
      <c r="C5" t="s">
        <v>26</v>
      </c>
      <c r="D5" s="176">
        <v>91.834968283938821</v>
      </c>
      <c r="E5" s="176">
        <v>101.86624079827915</v>
      </c>
      <c r="F5" s="176">
        <v>90.769700406309738</v>
      </c>
      <c r="G5" s="176">
        <v>89.171798589866157</v>
      </c>
      <c r="H5" s="176">
        <v>97.028149187380507</v>
      </c>
      <c r="I5" s="176">
        <v>97.649555449330776</v>
      </c>
      <c r="J5" s="176">
        <v>84.333706978967498</v>
      </c>
      <c r="K5" s="176">
        <v>88.772323135755258</v>
      </c>
      <c r="L5" s="176">
        <v>86.553015057361378</v>
      </c>
      <c r="M5" s="176">
        <v>86.553015057361378</v>
      </c>
      <c r="N5" s="176">
        <v>97.649555449330776</v>
      </c>
      <c r="O5" s="176">
        <v>102.08817160611855</v>
      </c>
      <c r="P5" s="247">
        <v>1114.2701999999999</v>
      </c>
      <c r="Q5" s="268">
        <f t="shared" ref="Q5:Q17" si="0">SUMIF($D$2:$O$2,$Q$3,D5:O5)</f>
        <v>373.64270807839387</v>
      </c>
      <c r="S5" s="176">
        <v>0.4939885714285715</v>
      </c>
      <c r="T5" s="176">
        <v>0</v>
      </c>
      <c r="U5" s="176">
        <v>0</v>
      </c>
      <c r="V5" s="176">
        <v>0</v>
      </c>
      <c r="W5" s="176">
        <v>0</v>
      </c>
      <c r="X5" s="176">
        <v>0</v>
      </c>
      <c r="Y5" s="176">
        <v>0</v>
      </c>
      <c r="Z5" s="176">
        <v>0</v>
      </c>
      <c r="AA5" s="176">
        <v>0</v>
      </c>
      <c r="AB5" s="176">
        <v>0</v>
      </c>
      <c r="AC5" s="176">
        <v>0</v>
      </c>
      <c r="AD5" s="176">
        <v>0</v>
      </c>
      <c r="AE5" s="176">
        <v>0</v>
      </c>
      <c r="AF5" s="247">
        <v>0</v>
      </c>
      <c r="AG5" s="268">
        <f t="shared" ref="AG5:AG17" si="1">SUMIF($T$2:$AE$2,$AG$3,T5:AE5)</f>
        <v>0</v>
      </c>
      <c r="AI5" s="180">
        <v>996.43173928570025</v>
      </c>
      <c r="AJ5" s="180">
        <v>91.834968283938821</v>
      </c>
      <c r="AK5" s="180">
        <v>101.86624079827915</v>
      </c>
      <c r="AL5" s="180">
        <v>90.769700406309738</v>
      </c>
      <c r="AM5" s="180">
        <v>89.171798589866157</v>
      </c>
      <c r="AN5" s="180">
        <v>97.028149187380507</v>
      </c>
      <c r="AO5" s="180">
        <v>97.649555449330776</v>
      </c>
      <c r="AP5" s="180">
        <v>84.333706978967498</v>
      </c>
      <c r="AQ5" s="180">
        <v>88.772323135755258</v>
      </c>
      <c r="AR5" s="180">
        <v>86.553015057361378</v>
      </c>
      <c r="AS5" s="180">
        <v>86.553015057361378</v>
      </c>
      <c r="AT5" s="180">
        <v>97.649555449330776</v>
      </c>
      <c r="AU5" s="180">
        <v>102.08817160611855</v>
      </c>
      <c r="AV5" s="247">
        <v>1114.2701999999999</v>
      </c>
      <c r="AW5" s="268">
        <f t="shared" ref="AW5:AW17" si="2">Q5+AG5</f>
        <v>373.64270807839387</v>
      </c>
    </row>
    <row r="6" spans="1:49" x14ac:dyDescent="0.3">
      <c r="A6" s="246">
        <v>772.22158499999739</v>
      </c>
      <c r="B6" s="246" t="s">
        <v>109</v>
      </c>
      <c r="C6" t="s">
        <v>30</v>
      </c>
      <c r="D6" s="176">
        <v>76.413054402629058</v>
      </c>
      <c r="E6" s="176">
        <v>84.759767933317391</v>
      </c>
      <c r="F6" s="176">
        <v>75.526677744502862</v>
      </c>
      <c r="G6" s="176">
        <v>74.197112757313562</v>
      </c>
      <c r="H6" s="176">
        <v>80.73414061099426</v>
      </c>
      <c r="I6" s="176">
        <v>81.251193661567868</v>
      </c>
      <c r="J6" s="176">
        <v>70.171485434990416</v>
      </c>
      <c r="K6" s="176">
        <v>73.864721510516247</v>
      </c>
      <c r="L6" s="176">
        <v>72.018103472753339</v>
      </c>
      <c r="M6" s="176">
        <v>72.018103472753339</v>
      </c>
      <c r="N6" s="176">
        <v>81.251193661567868</v>
      </c>
      <c r="O6" s="176">
        <v>84.944429737093699</v>
      </c>
      <c r="P6" s="247">
        <v>927.14998439999988</v>
      </c>
      <c r="Q6" s="268">
        <f t="shared" si="0"/>
        <v>310.89661283776286</v>
      </c>
      <c r="S6" s="176">
        <v>858.08451071428271</v>
      </c>
      <c r="T6" s="176">
        <v>85.192099372688091</v>
      </c>
      <c r="U6" s="176">
        <v>94.497761266466512</v>
      </c>
      <c r="V6" s="176">
        <v>84.203887490162941</v>
      </c>
      <c r="W6" s="176">
        <v>82.721569666375245</v>
      </c>
      <c r="X6" s="176">
        <v>90.00963229999816</v>
      </c>
      <c r="Y6" s="176">
        <v>90.586089231471149</v>
      </c>
      <c r="Z6" s="176">
        <v>78.233440699906893</v>
      </c>
      <c r="AA6" s="176">
        <v>82.350990210428321</v>
      </c>
      <c r="AB6" s="176">
        <v>80.292215455167607</v>
      </c>
      <c r="AC6" s="176">
        <v>80.292215455167607</v>
      </c>
      <c r="AD6" s="176">
        <v>90.586089231471149</v>
      </c>
      <c r="AE6" s="176">
        <v>94.703638741992563</v>
      </c>
      <c r="AF6" s="247">
        <v>1033.6696291212961</v>
      </c>
      <c r="AG6" s="268">
        <f t="shared" si="1"/>
        <v>346.61531779569282</v>
      </c>
      <c r="AI6" s="180">
        <v>1630.3060957142802</v>
      </c>
      <c r="AJ6" s="180">
        <v>161.60515377531715</v>
      </c>
      <c r="AK6" s="180">
        <v>179.2575291997839</v>
      </c>
      <c r="AL6" s="180">
        <v>159.73056523466579</v>
      </c>
      <c r="AM6" s="180">
        <v>156.91868242368881</v>
      </c>
      <c r="AN6" s="180">
        <v>170.74377291099242</v>
      </c>
      <c r="AO6" s="180">
        <v>171.837282893039</v>
      </c>
      <c r="AP6" s="180">
        <v>148.40492613489732</v>
      </c>
      <c r="AQ6" s="180">
        <v>156.21571172094457</v>
      </c>
      <c r="AR6" s="180">
        <v>152.31031892792095</v>
      </c>
      <c r="AS6" s="180">
        <v>152.31031892792095</v>
      </c>
      <c r="AT6" s="180">
        <v>171.837282893039</v>
      </c>
      <c r="AU6" s="180">
        <v>179.64806847908625</v>
      </c>
      <c r="AV6" s="247">
        <v>1960.8196135212959</v>
      </c>
      <c r="AW6" s="268">
        <f t="shared" si="2"/>
        <v>657.51193063345568</v>
      </c>
    </row>
    <row r="7" spans="1:49" x14ac:dyDescent="0.3">
      <c r="A7" s="246">
        <v>22.632667857142845</v>
      </c>
      <c r="B7" s="246" t="s">
        <v>109</v>
      </c>
      <c r="C7" t="s">
        <v>29</v>
      </c>
      <c r="D7" s="176">
        <v>0</v>
      </c>
      <c r="E7" s="176">
        <v>0</v>
      </c>
      <c r="F7" s="176">
        <v>0</v>
      </c>
      <c r="G7" s="176">
        <v>0</v>
      </c>
      <c r="H7" s="176">
        <v>0</v>
      </c>
      <c r="I7" s="176">
        <v>0</v>
      </c>
      <c r="J7" s="176">
        <v>0</v>
      </c>
      <c r="K7" s="176">
        <v>0</v>
      </c>
      <c r="L7" s="176">
        <v>0</v>
      </c>
      <c r="M7" s="176">
        <v>0</v>
      </c>
      <c r="N7" s="176">
        <v>0</v>
      </c>
      <c r="O7" s="176">
        <v>0</v>
      </c>
      <c r="P7" s="247">
        <v>0</v>
      </c>
      <c r="Q7" s="268">
        <f t="shared" si="0"/>
        <v>0</v>
      </c>
      <c r="S7" s="176">
        <v>155.9434342857144</v>
      </c>
      <c r="T7" s="176">
        <v>19.324071443040001</v>
      </c>
      <c r="U7" s="176">
        <v>22.084653077760006</v>
      </c>
      <c r="V7" s="176">
        <v>22.084653077760006</v>
      </c>
      <c r="W7" s="176">
        <v>24.84523471248</v>
      </c>
      <c r="X7" s="176">
        <v>24.84523471248</v>
      </c>
      <c r="Y7" s="176">
        <v>24.84523471248</v>
      </c>
      <c r="Z7" s="176">
        <v>19.324071443040001</v>
      </c>
      <c r="AA7" s="176">
        <v>22.084653077760006</v>
      </c>
      <c r="AB7" s="176">
        <v>22.084653077760006</v>
      </c>
      <c r="AC7" s="176">
        <v>22.084653077760006</v>
      </c>
      <c r="AD7" s="176">
        <v>24.84523471248</v>
      </c>
      <c r="AE7" s="176">
        <v>27.605816347200001</v>
      </c>
      <c r="AF7" s="247">
        <v>276.05816347199999</v>
      </c>
      <c r="AG7" s="268">
        <f t="shared" si="1"/>
        <v>88.338612311040009</v>
      </c>
      <c r="AI7" s="180">
        <v>178.57610214285725</v>
      </c>
      <c r="AJ7" s="180">
        <v>19.324071443040001</v>
      </c>
      <c r="AK7" s="180">
        <v>22.084653077760006</v>
      </c>
      <c r="AL7" s="180">
        <v>22.084653077760006</v>
      </c>
      <c r="AM7" s="180">
        <v>24.84523471248</v>
      </c>
      <c r="AN7" s="180">
        <v>24.84523471248</v>
      </c>
      <c r="AO7" s="180">
        <v>24.84523471248</v>
      </c>
      <c r="AP7" s="180">
        <v>19.324071443040001</v>
      </c>
      <c r="AQ7" s="180">
        <v>22.084653077760006</v>
      </c>
      <c r="AR7" s="180">
        <v>22.084653077760006</v>
      </c>
      <c r="AS7" s="180">
        <v>22.084653077760006</v>
      </c>
      <c r="AT7" s="180">
        <v>24.84523471248</v>
      </c>
      <c r="AU7" s="180">
        <v>27.605816347200001</v>
      </c>
      <c r="AV7" s="247">
        <v>276.05816347199999</v>
      </c>
      <c r="AW7" s="268">
        <f t="shared" si="2"/>
        <v>88.338612311040009</v>
      </c>
    </row>
    <row r="8" spans="1:49" x14ac:dyDescent="0.3">
      <c r="A8" s="246">
        <v>105.35688104285703</v>
      </c>
      <c r="B8" s="246" t="s">
        <v>50</v>
      </c>
      <c r="C8" t="s">
        <v>35</v>
      </c>
      <c r="D8" s="176">
        <v>11.488867550987891</v>
      </c>
      <c r="E8" s="176">
        <v>12.743813934034417</v>
      </c>
      <c r="F8" s="176">
        <v>11.355598908540472</v>
      </c>
      <c r="G8" s="176">
        <v>11.155695944869343</v>
      </c>
      <c r="H8" s="176">
        <v>12.13855218291906</v>
      </c>
      <c r="I8" s="176">
        <v>12.21629222434672</v>
      </c>
      <c r="J8" s="176">
        <v>10.550434193753985</v>
      </c>
      <c r="K8" s="176">
        <v>11.105720203951563</v>
      </c>
      <c r="L8" s="176">
        <v>10.828077198852775</v>
      </c>
      <c r="M8" s="176">
        <v>10.828077198852775</v>
      </c>
      <c r="N8" s="176">
        <v>12.21629222434672</v>
      </c>
      <c r="O8" s="176">
        <v>12.771578234544297</v>
      </c>
      <c r="P8" s="247">
        <v>139.39900000000003</v>
      </c>
      <c r="Q8" s="268">
        <f t="shared" si="0"/>
        <v>46.743976338432127</v>
      </c>
      <c r="T8" s="176">
        <v>0</v>
      </c>
      <c r="U8" s="176">
        <v>0</v>
      </c>
      <c r="V8" s="176">
        <v>0</v>
      </c>
      <c r="W8" s="176">
        <v>0</v>
      </c>
      <c r="X8" s="176">
        <v>0</v>
      </c>
      <c r="Y8" s="176">
        <v>0</v>
      </c>
      <c r="Z8" s="176">
        <v>0</v>
      </c>
      <c r="AA8" s="176">
        <v>0</v>
      </c>
      <c r="AB8" s="176">
        <v>0</v>
      </c>
      <c r="AC8" s="176">
        <v>0</v>
      </c>
      <c r="AD8" s="176">
        <v>0</v>
      </c>
      <c r="AE8" s="176">
        <v>0</v>
      </c>
      <c r="AF8" s="247">
        <v>0</v>
      </c>
      <c r="AG8" s="268">
        <f t="shared" si="1"/>
        <v>0</v>
      </c>
      <c r="AI8" s="180">
        <v>105.35688104285703</v>
      </c>
      <c r="AJ8" s="180">
        <v>11.488867550987891</v>
      </c>
      <c r="AK8" s="180">
        <v>12.743813934034417</v>
      </c>
      <c r="AL8" s="180">
        <v>11.355598908540472</v>
      </c>
      <c r="AM8" s="180">
        <v>11.155695944869343</v>
      </c>
      <c r="AN8" s="180">
        <v>12.13855218291906</v>
      </c>
      <c r="AO8" s="180">
        <v>12.21629222434672</v>
      </c>
      <c r="AP8" s="180">
        <v>10.550434193753985</v>
      </c>
      <c r="AQ8" s="180">
        <v>11.105720203951563</v>
      </c>
      <c r="AR8" s="180">
        <v>10.828077198852775</v>
      </c>
      <c r="AS8" s="180">
        <v>10.828077198852775</v>
      </c>
      <c r="AT8" s="180">
        <v>12.21629222434672</v>
      </c>
      <c r="AU8" s="180">
        <v>12.771578234544297</v>
      </c>
      <c r="AV8" s="247">
        <v>139.39900000000003</v>
      </c>
      <c r="AW8" s="268">
        <f t="shared" si="2"/>
        <v>46.743976338432127</v>
      </c>
    </row>
    <row r="9" spans="1:49" x14ac:dyDescent="0.3">
      <c r="A9" s="246">
        <v>36.647157964285711</v>
      </c>
      <c r="B9" s="246" t="s">
        <v>109</v>
      </c>
      <c r="C9" t="s">
        <v>18</v>
      </c>
      <c r="D9" s="176">
        <v>4.8</v>
      </c>
      <c r="E9" s="176">
        <v>5.7599999999999989</v>
      </c>
      <c r="F9" s="176">
        <v>6.7199999999999989</v>
      </c>
      <c r="G9" s="176">
        <v>7.6799999999999988</v>
      </c>
      <c r="H9" s="176">
        <v>7.6799999999999988</v>
      </c>
      <c r="I9" s="176">
        <v>9.6</v>
      </c>
      <c r="J9" s="176">
        <v>7.6799999999999988</v>
      </c>
      <c r="K9" s="176">
        <v>8.6399999999999988</v>
      </c>
      <c r="L9" s="176">
        <v>8.6399999999999988</v>
      </c>
      <c r="M9" s="176">
        <v>8.6399999999999988</v>
      </c>
      <c r="N9" s="176">
        <v>9.6</v>
      </c>
      <c r="O9" s="176">
        <v>10.559999999999999</v>
      </c>
      <c r="P9" s="247">
        <v>95.999999999999986</v>
      </c>
      <c r="Q9" s="268">
        <f t="shared" si="0"/>
        <v>24.959999999999997</v>
      </c>
      <c r="S9" s="176">
        <v>94.751904885714296</v>
      </c>
      <c r="T9" s="176">
        <v>11.670781010337947</v>
      </c>
      <c r="U9" s="176">
        <v>14.004937212405537</v>
      </c>
      <c r="V9" s="176">
        <v>16.33909341447313</v>
      </c>
      <c r="W9" s="176">
        <v>18.673249616540716</v>
      </c>
      <c r="X9" s="176">
        <v>18.673249616540716</v>
      </c>
      <c r="Y9" s="176">
        <v>23.341562020675894</v>
      </c>
      <c r="Z9" s="176">
        <v>18.673249616540716</v>
      </c>
      <c r="AA9" s="176">
        <v>21.007405818608305</v>
      </c>
      <c r="AB9" s="176">
        <v>21.007405818608305</v>
      </c>
      <c r="AC9" s="176">
        <v>21.007405818608305</v>
      </c>
      <c r="AD9" s="176">
        <v>23.341562020675894</v>
      </c>
      <c r="AE9" s="176">
        <v>25.675718222743484</v>
      </c>
      <c r="AF9" s="247">
        <v>233.41562020675894</v>
      </c>
      <c r="AG9" s="268">
        <f t="shared" si="1"/>
        <v>60.688061253757326</v>
      </c>
      <c r="AI9" s="180">
        <v>131.39906285000001</v>
      </c>
      <c r="AJ9" s="180">
        <v>16.470781010337948</v>
      </c>
      <c r="AK9" s="180">
        <v>19.764937212405535</v>
      </c>
      <c r="AL9" s="180">
        <v>23.059093414473129</v>
      </c>
      <c r="AM9" s="180">
        <v>26.353249616540715</v>
      </c>
      <c r="AN9" s="180">
        <v>26.353249616540715</v>
      </c>
      <c r="AO9" s="180">
        <v>32.941562020675896</v>
      </c>
      <c r="AP9" s="180">
        <v>26.353249616540715</v>
      </c>
      <c r="AQ9" s="180">
        <v>29.647405818608306</v>
      </c>
      <c r="AR9" s="180">
        <v>29.647405818608306</v>
      </c>
      <c r="AS9" s="180">
        <v>29.647405818608306</v>
      </c>
      <c r="AT9" s="180">
        <v>32.941562020675896</v>
      </c>
      <c r="AU9" s="180">
        <v>36.235718222743486</v>
      </c>
      <c r="AV9" s="247">
        <v>329.41562020675906</v>
      </c>
      <c r="AW9" s="268">
        <f t="shared" si="2"/>
        <v>85.648061253757319</v>
      </c>
    </row>
    <row r="10" spans="1:49" x14ac:dyDescent="0.3">
      <c r="A10" s="246">
        <v>34.342011192857171</v>
      </c>
      <c r="B10" s="246" t="s">
        <v>109</v>
      </c>
      <c r="C10" t="s">
        <v>36</v>
      </c>
      <c r="D10" s="176">
        <v>6.2163199999999996</v>
      </c>
      <c r="E10" s="176">
        <v>7.7703999999999986</v>
      </c>
      <c r="F10" s="176">
        <v>9.3244799999999994</v>
      </c>
      <c r="G10" s="176">
        <v>10.87856</v>
      </c>
      <c r="H10" s="176">
        <v>13.986719999999998</v>
      </c>
      <c r="I10" s="176">
        <v>15.540799999999997</v>
      </c>
      <c r="J10" s="176">
        <v>12.432639999999999</v>
      </c>
      <c r="K10" s="176">
        <v>13.986719999999998</v>
      </c>
      <c r="L10" s="176">
        <v>13.986719999999998</v>
      </c>
      <c r="M10" s="176">
        <v>13.986719999999998</v>
      </c>
      <c r="N10" s="176">
        <v>17.094879999999996</v>
      </c>
      <c r="O10" s="176">
        <v>20.203039999999998</v>
      </c>
      <c r="P10" s="247">
        <v>155.40799999999996</v>
      </c>
      <c r="Q10" s="268">
        <f t="shared" si="0"/>
        <v>34.18976</v>
      </c>
      <c r="S10" s="176">
        <v>45.14190798571429</v>
      </c>
      <c r="T10" s="176">
        <v>8.6194040864876253</v>
      </c>
      <c r="U10" s="176">
        <v>17.238808172975251</v>
      </c>
      <c r="V10" s="176">
        <v>21.548510216219064</v>
      </c>
      <c r="W10" s="176">
        <v>30.167914302706691</v>
      </c>
      <c r="X10" s="176">
        <v>34.477616345950501</v>
      </c>
      <c r="Y10" s="176">
        <v>43.097020432438129</v>
      </c>
      <c r="Z10" s="176">
        <v>38.787318389194311</v>
      </c>
      <c r="AA10" s="176">
        <v>43.097020432438129</v>
      </c>
      <c r="AB10" s="176">
        <v>43.097020432438129</v>
      </c>
      <c r="AC10" s="176">
        <v>43.097020432438129</v>
      </c>
      <c r="AD10" s="176">
        <v>51.716424518925741</v>
      </c>
      <c r="AE10" s="176">
        <v>56.026126562169573</v>
      </c>
      <c r="AF10" s="247">
        <v>430.9702043243812</v>
      </c>
      <c r="AG10" s="268">
        <f t="shared" si="1"/>
        <v>77.574636778388623</v>
      </c>
      <c r="AI10" s="180">
        <v>79.483919178571455</v>
      </c>
      <c r="AJ10" s="180">
        <v>14.835724086487625</v>
      </c>
      <c r="AK10" s="180">
        <v>25.009208172975249</v>
      </c>
      <c r="AL10" s="180">
        <v>30.872990216219065</v>
      </c>
      <c r="AM10" s="180">
        <v>41.046474302706692</v>
      </c>
      <c r="AN10" s="180">
        <v>48.4643363459505</v>
      </c>
      <c r="AO10" s="180">
        <v>58.637820432438126</v>
      </c>
      <c r="AP10" s="180">
        <v>51.219958389194311</v>
      </c>
      <c r="AQ10" s="180">
        <v>57.083740432438127</v>
      </c>
      <c r="AR10" s="180">
        <v>57.083740432438127</v>
      </c>
      <c r="AS10" s="180">
        <v>57.083740432438127</v>
      </c>
      <c r="AT10" s="180">
        <v>68.811304518925738</v>
      </c>
      <c r="AU10" s="180">
        <v>76.229166562169567</v>
      </c>
      <c r="AV10" s="247">
        <v>586.37820432438116</v>
      </c>
      <c r="AW10" s="268">
        <f t="shared" si="2"/>
        <v>111.76439677838863</v>
      </c>
    </row>
    <row r="11" spans="1:49" x14ac:dyDescent="0.3">
      <c r="A11" s="246">
        <v>77.531630442857008</v>
      </c>
      <c r="B11" s="246" t="s">
        <v>109</v>
      </c>
      <c r="C11" t="s">
        <v>23</v>
      </c>
      <c r="D11" s="176">
        <v>6.4743280000000007</v>
      </c>
      <c r="E11" s="176">
        <v>7.7691935999999995</v>
      </c>
      <c r="F11" s="176">
        <v>10.3589248</v>
      </c>
      <c r="G11" s="176">
        <v>11.6537904</v>
      </c>
      <c r="H11" s="176">
        <v>11.6537904</v>
      </c>
      <c r="I11" s="176">
        <v>12.948656000000001</v>
      </c>
      <c r="J11" s="176">
        <v>9.0640592000000026</v>
      </c>
      <c r="K11" s="176">
        <v>10.3589248</v>
      </c>
      <c r="L11" s="176">
        <v>10.3589248</v>
      </c>
      <c r="M11" s="176">
        <v>10.3589248</v>
      </c>
      <c r="N11" s="176">
        <v>12.948656000000001</v>
      </c>
      <c r="O11" s="176">
        <v>15.538387199999999</v>
      </c>
      <c r="P11" s="247">
        <v>129.48656</v>
      </c>
      <c r="Q11" s="268">
        <f t="shared" si="0"/>
        <v>36.256236800000003</v>
      </c>
      <c r="S11" s="176">
        <v>229.47952419999993</v>
      </c>
      <c r="T11" s="176">
        <v>20.678112000000002</v>
      </c>
      <c r="U11" s="176">
        <v>31.017167999999995</v>
      </c>
      <c r="V11" s="176">
        <v>41.356224000000005</v>
      </c>
      <c r="W11" s="176">
        <v>46.525751999999997</v>
      </c>
      <c r="X11" s="176">
        <v>46.525751999999997</v>
      </c>
      <c r="Y11" s="176">
        <v>51.695280000000004</v>
      </c>
      <c r="Z11" s="176">
        <v>36.186696000000005</v>
      </c>
      <c r="AA11" s="176">
        <v>41.356224000000005</v>
      </c>
      <c r="AB11" s="176">
        <v>41.356224000000005</v>
      </c>
      <c r="AC11" s="176">
        <v>41.356224000000005</v>
      </c>
      <c r="AD11" s="176">
        <v>56.864808000000004</v>
      </c>
      <c r="AE11" s="176">
        <v>62.034335999999989</v>
      </c>
      <c r="AF11" s="247">
        <v>516.95279999999991</v>
      </c>
      <c r="AG11" s="268">
        <f t="shared" si="1"/>
        <v>139.57725599999998</v>
      </c>
      <c r="AI11" s="180">
        <v>307.01115464285692</v>
      </c>
      <c r="AJ11" s="180">
        <v>27.152440000000002</v>
      </c>
      <c r="AK11" s="180">
        <v>38.786361599999992</v>
      </c>
      <c r="AL11" s="180">
        <v>51.715148800000009</v>
      </c>
      <c r="AM11" s="180">
        <v>58.179542399999995</v>
      </c>
      <c r="AN11" s="180">
        <v>58.179542399999995</v>
      </c>
      <c r="AO11" s="180">
        <v>64.643936000000011</v>
      </c>
      <c r="AP11" s="180">
        <v>45.250755200000008</v>
      </c>
      <c r="AQ11" s="180">
        <v>51.715148800000009</v>
      </c>
      <c r="AR11" s="180">
        <v>51.715148800000009</v>
      </c>
      <c r="AS11" s="180">
        <v>51.715148800000009</v>
      </c>
      <c r="AT11" s="180">
        <v>69.81346400000001</v>
      </c>
      <c r="AU11" s="180">
        <v>77.572723199999984</v>
      </c>
      <c r="AV11" s="247">
        <v>646.43936000000008</v>
      </c>
      <c r="AW11" s="268">
        <f t="shared" si="2"/>
        <v>175.83349279999999</v>
      </c>
    </row>
    <row r="12" spans="1:49" x14ac:dyDescent="0.3">
      <c r="A12" s="246">
        <v>85.822644707142928</v>
      </c>
      <c r="B12" s="246" t="s">
        <v>109</v>
      </c>
      <c r="C12" t="s">
        <v>28</v>
      </c>
      <c r="D12" s="176">
        <v>8.5778639999999999</v>
      </c>
      <c r="E12" s="176">
        <v>10.007508</v>
      </c>
      <c r="F12" s="176">
        <v>11.646040391969406</v>
      </c>
      <c r="G12" s="176">
        <v>12.866795999999999</v>
      </c>
      <c r="H12" s="176">
        <v>12.866795999999999</v>
      </c>
      <c r="I12" s="176">
        <v>14.1534756</v>
      </c>
      <c r="J12" s="176">
        <v>10.007508</v>
      </c>
      <c r="K12" s="176">
        <v>11.389770554493309</v>
      </c>
      <c r="L12" s="176">
        <v>11.437152000000001</v>
      </c>
      <c r="M12" s="176">
        <v>11.437152000000001</v>
      </c>
      <c r="N12" s="176">
        <v>12.866795999999999</v>
      </c>
      <c r="O12" s="176">
        <v>15.726084</v>
      </c>
      <c r="P12" s="247">
        <v>142.98294254646271</v>
      </c>
      <c r="Q12" s="268">
        <f t="shared" si="0"/>
        <v>43.098208391969408</v>
      </c>
      <c r="S12" s="176">
        <v>431.79379457142863</v>
      </c>
      <c r="T12" s="176">
        <v>43.827550795265488</v>
      </c>
      <c r="U12" s="176">
        <v>48.61490047130706</v>
      </c>
      <c r="V12" s="176">
        <v>43.319159679225677</v>
      </c>
      <c r="W12" s="176">
        <v>42.556573005165959</v>
      </c>
      <c r="X12" s="176">
        <v>46.305957485959574</v>
      </c>
      <c r="Y12" s="176">
        <v>46.602518970316126</v>
      </c>
      <c r="Z12" s="176">
        <v>40.247630019818473</v>
      </c>
      <c r="AA12" s="176">
        <v>42.365926336651029</v>
      </c>
      <c r="AB12" s="176">
        <v>41.306778178234765</v>
      </c>
      <c r="AC12" s="176">
        <v>41.306778178234765</v>
      </c>
      <c r="AD12" s="176">
        <v>46.602518970316126</v>
      </c>
      <c r="AE12" s="176">
        <v>48.720815287148682</v>
      </c>
      <c r="AF12" s="247">
        <v>531.77710737764369</v>
      </c>
      <c r="AG12" s="268">
        <f t="shared" si="1"/>
        <v>178.31818395096417</v>
      </c>
      <c r="AI12" s="180">
        <v>517.61643927857153</v>
      </c>
      <c r="AJ12" s="180">
        <v>52.405414795265486</v>
      </c>
      <c r="AK12" s="180">
        <v>58.622408471307061</v>
      </c>
      <c r="AL12" s="180">
        <v>54.965200071195085</v>
      </c>
      <c r="AM12" s="180">
        <v>55.423369005165959</v>
      </c>
      <c r="AN12" s="180">
        <v>59.172753485959575</v>
      </c>
      <c r="AO12" s="180">
        <v>60.755994570316126</v>
      </c>
      <c r="AP12" s="180">
        <v>50.255138019818475</v>
      </c>
      <c r="AQ12" s="180">
        <v>53.755696891144339</v>
      </c>
      <c r="AR12" s="180">
        <v>52.743930178234763</v>
      </c>
      <c r="AS12" s="180">
        <v>52.743930178234763</v>
      </c>
      <c r="AT12" s="180">
        <v>59.469314970316127</v>
      </c>
      <c r="AU12" s="180">
        <v>64.446899287148682</v>
      </c>
      <c r="AV12" s="247">
        <v>674.7600499241064</v>
      </c>
      <c r="AW12" s="268">
        <f t="shared" si="2"/>
        <v>221.41639234293359</v>
      </c>
    </row>
    <row r="13" spans="1:49" x14ac:dyDescent="0.3">
      <c r="A13" s="246">
        <v>44.496411807142778</v>
      </c>
      <c r="B13" s="246" t="s">
        <v>50</v>
      </c>
      <c r="C13" t="s">
        <v>33</v>
      </c>
      <c r="D13" s="176">
        <v>4.9822772999999998</v>
      </c>
      <c r="E13" s="176">
        <v>5.9787327599999998</v>
      </c>
      <c r="F13" s="176">
        <v>6.9751882199999997</v>
      </c>
      <c r="G13" s="176">
        <v>7.9743428104684515</v>
      </c>
      <c r="H13" s="176">
        <v>8.9680991399999996</v>
      </c>
      <c r="I13" s="176">
        <v>9.9645545999999996</v>
      </c>
      <c r="J13" s="176">
        <v>7.9716436799999997</v>
      </c>
      <c r="K13" s="176">
        <v>8.9680991399999996</v>
      </c>
      <c r="L13" s="176">
        <v>7.9716436799999997</v>
      </c>
      <c r="M13" s="176">
        <v>7.9716436799999997</v>
      </c>
      <c r="N13" s="176">
        <v>9.9645545999999996</v>
      </c>
      <c r="O13" s="176">
        <v>11.95746552</v>
      </c>
      <c r="P13" s="247">
        <v>99.648245130468453</v>
      </c>
      <c r="Q13" s="268">
        <f t="shared" si="0"/>
        <v>25.910541090468449</v>
      </c>
      <c r="S13" s="176">
        <v>2.6543771857142868</v>
      </c>
      <c r="T13" s="176">
        <v>0</v>
      </c>
      <c r="U13" s="176">
        <v>0</v>
      </c>
      <c r="V13" s="176">
        <v>0</v>
      </c>
      <c r="W13" s="176">
        <v>0</v>
      </c>
      <c r="X13" s="176">
        <v>0</v>
      </c>
      <c r="Y13" s="176">
        <v>0</v>
      </c>
      <c r="Z13" s="176">
        <v>0</v>
      </c>
      <c r="AA13" s="176">
        <v>0</v>
      </c>
      <c r="AB13" s="176">
        <v>0</v>
      </c>
      <c r="AC13" s="176">
        <v>0</v>
      </c>
      <c r="AD13" s="176">
        <v>0</v>
      </c>
      <c r="AE13" s="176">
        <v>0</v>
      </c>
      <c r="AF13" s="247">
        <v>0</v>
      </c>
      <c r="AG13" s="268">
        <f t="shared" si="1"/>
        <v>0</v>
      </c>
      <c r="AI13" s="180">
        <v>47.150788992857066</v>
      </c>
      <c r="AJ13" s="180">
        <v>4.9822772999999998</v>
      </c>
      <c r="AK13" s="180">
        <v>5.9787327599999998</v>
      </c>
      <c r="AL13" s="180">
        <v>6.9751882199999997</v>
      </c>
      <c r="AM13" s="180">
        <v>7.9743428104684515</v>
      </c>
      <c r="AN13" s="180">
        <v>8.9680991399999996</v>
      </c>
      <c r="AO13" s="180">
        <v>9.9645545999999996</v>
      </c>
      <c r="AP13" s="180">
        <v>7.9716436799999997</v>
      </c>
      <c r="AQ13" s="180">
        <v>8.9680991399999996</v>
      </c>
      <c r="AR13" s="180">
        <v>7.9716436799999997</v>
      </c>
      <c r="AS13" s="180">
        <v>7.9716436799999997</v>
      </c>
      <c r="AT13" s="180">
        <v>9.9645545999999996</v>
      </c>
      <c r="AU13" s="180">
        <v>11.95746552</v>
      </c>
      <c r="AV13" s="247">
        <v>99.648245130468453</v>
      </c>
      <c r="AW13" s="268">
        <f t="shared" si="2"/>
        <v>25.910541090468449</v>
      </c>
    </row>
    <row r="14" spans="1:49" x14ac:dyDescent="0.3">
      <c r="A14" s="246">
        <v>76.946152935713869</v>
      </c>
      <c r="B14" s="246" t="s">
        <v>50</v>
      </c>
      <c r="C14" t="s">
        <v>17</v>
      </c>
      <c r="D14" s="176">
        <v>8.82</v>
      </c>
      <c r="E14" s="176">
        <v>10.08</v>
      </c>
      <c r="F14" s="176">
        <v>11.34</v>
      </c>
      <c r="G14" s="176">
        <v>11.34</v>
      </c>
      <c r="H14" s="176">
        <v>11.34</v>
      </c>
      <c r="I14" s="176">
        <v>11.34</v>
      </c>
      <c r="J14" s="176">
        <v>8.82</v>
      </c>
      <c r="K14" s="176">
        <v>10.038240917782026</v>
      </c>
      <c r="L14" s="176">
        <v>9.7872848948374767</v>
      </c>
      <c r="M14" s="176">
        <v>9.7872848948374767</v>
      </c>
      <c r="N14" s="176">
        <v>10.71</v>
      </c>
      <c r="O14" s="176">
        <v>12.6</v>
      </c>
      <c r="P14" s="247">
        <v>126.002810707457</v>
      </c>
      <c r="Q14" s="268">
        <f t="shared" si="0"/>
        <v>41.58</v>
      </c>
      <c r="T14" s="176">
        <v>0.35</v>
      </c>
      <c r="U14" s="176">
        <v>0.35</v>
      </c>
      <c r="V14" s="176">
        <v>0.35</v>
      </c>
      <c r="W14" s="176">
        <v>0.35</v>
      </c>
      <c r="X14" s="176">
        <v>0.35</v>
      </c>
      <c r="Y14" s="176">
        <v>0.35</v>
      </c>
      <c r="Z14" s="176">
        <v>0.35</v>
      </c>
      <c r="AA14" s="176">
        <v>0.35</v>
      </c>
      <c r="AB14" s="176">
        <v>0.35</v>
      </c>
      <c r="AC14" s="176">
        <v>0.35</v>
      </c>
      <c r="AD14" s="176">
        <v>0.35</v>
      </c>
      <c r="AE14" s="176">
        <v>0.35</v>
      </c>
      <c r="AF14" s="247">
        <v>4.2</v>
      </c>
      <c r="AG14" s="268">
        <f t="shared" si="1"/>
        <v>1.4</v>
      </c>
      <c r="AI14" s="180">
        <v>76.946152935713869</v>
      </c>
      <c r="AJ14" s="180">
        <v>9.17</v>
      </c>
      <c r="AK14" s="180">
        <v>10.43</v>
      </c>
      <c r="AL14" s="180">
        <v>11.69</v>
      </c>
      <c r="AM14" s="180">
        <v>11.69</v>
      </c>
      <c r="AN14" s="180">
        <v>11.69</v>
      </c>
      <c r="AO14" s="180">
        <v>11.69</v>
      </c>
      <c r="AP14" s="180">
        <v>9.17</v>
      </c>
      <c r="AQ14" s="180">
        <v>10.388240917782026</v>
      </c>
      <c r="AR14" s="180">
        <v>10.137284894837476</v>
      </c>
      <c r="AS14" s="180">
        <v>10.137284894837476</v>
      </c>
      <c r="AT14" s="180">
        <v>11.06</v>
      </c>
      <c r="AU14" s="180">
        <v>12.95</v>
      </c>
      <c r="AV14" s="247">
        <v>130.20281070745699</v>
      </c>
      <c r="AW14" s="268">
        <f t="shared" si="2"/>
        <v>42.98</v>
      </c>
    </row>
    <row r="15" spans="1:49" x14ac:dyDescent="0.3">
      <c r="A15" s="246">
        <v>74.505354185714083</v>
      </c>
      <c r="B15" s="246" t="s">
        <v>113</v>
      </c>
      <c r="C15" t="s">
        <v>31</v>
      </c>
      <c r="D15" s="176">
        <v>6.5859200000000007</v>
      </c>
      <c r="E15" s="176">
        <v>6.9975400000000008</v>
      </c>
      <c r="F15" s="176">
        <v>6.9975400000000008</v>
      </c>
      <c r="G15" s="176">
        <v>6.9975400000000008</v>
      </c>
      <c r="H15" s="176">
        <v>7.168589228808159</v>
      </c>
      <c r="I15" s="176">
        <v>7.2144996813256856</v>
      </c>
      <c r="J15" s="176">
        <v>6.2307042702358189</v>
      </c>
      <c r="K15" s="176">
        <v>6.5586360739324423</v>
      </c>
      <c r="L15" s="176">
        <v>6.3946701720841315</v>
      </c>
      <c r="M15" s="176">
        <v>6.3946701720841315</v>
      </c>
      <c r="N15" s="176">
        <v>7.2144996813256856</v>
      </c>
      <c r="O15" s="176">
        <v>7.5424314850223082</v>
      </c>
      <c r="P15" s="247">
        <v>82.297240764818369</v>
      </c>
      <c r="Q15" s="268">
        <f t="shared" si="0"/>
        <v>27.578540000000004</v>
      </c>
      <c r="T15" s="176">
        <v>0</v>
      </c>
      <c r="U15" s="176">
        <v>0</v>
      </c>
      <c r="V15" s="176">
        <v>0</v>
      </c>
      <c r="W15" s="176">
        <v>0</v>
      </c>
      <c r="X15" s="176">
        <v>0</v>
      </c>
      <c r="Y15" s="176">
        <v>0</v>
      </c>
      <c r="Z15" s="176">
        <v>0</v>
      </c>
      <c r="AA15" s="176">
        <v>0</v>
      </c>
      <c r="AB15" s="176">
        <v>0</v>
      </c>
      <c r="AC15" s="176">
        <v>0</v>
      </c>
      <c r="AD15" s="176">
        <v>0</v>
      </c>
      <c r="AE15" s="176">
        <v>0</v>
      </c>
      <c r="AF15" s="247">
        <v>0</v>
      </c>
      <c r="AG15" s="268">
        <f t="shared" si="1"/>
        <v>0</v>
      </c>
      <c r="AI15" s="180">
        <v>74.505354185714083</v>
      </c>
      <c r="AJ15" s="180">
        <v>6.5859200000000007</v>
      </c>
      <c r="AK15" s="180">
        <v>6.9975400000000008</v>
      </c>
      <c r="AL15" s="180">
        <v>6.9975400000000008</v>
      </c>
      <c r="AM15" s="180">
        <v>6.9975400000000008</v>
      </c>
      <c r="AN15" s="180">
        <v>7.168589228808159</v>
      </c>
      <c r="AO15" s="180">
        <v>7.2144996813256856</v>
      </c>
      <c r="AP15" s="180">
        <v>6.2307042702358189</v>
      </c>
      <c r="AQ15" s="180">
        <v>6.5586360739324423</v>
      </c>
      <c r="AR15" s="180">
        <v>6.3946701720841315</v>
      </c>
      <c r="AS15" s="180">
        <v>6.3946701720841315</v>
      </c>
      <c r="AT15" s="180">
        <v>7.2144996813256856</v>
      </c>
      <c r="AU15" s="180">
        <v>7.5424314850223082</v>
      </c>
      <c r="AV15" s="247">
        <v>82.297240764818369</v>
      </c>
      <c r="AW15" s="268">
        <f t="shared" si="2"/>
        <v>27.578540000000004</v>
      </c>
    </row>
    <row r="16" spans="1:49" x14ac:dyDescent="0.3">
      <c r="A16" s="246">
        <v>70.334955528571271</v>
      </c>
      <c r="B16" s="246" t="s">
        <v>113</v>
      </c>
      <c r="C16" t="s">
        <v>9</v>
      </c>
      <c r="D16" s="176">
        <v>5.6311946791347998</v>
      </c>
      <c r="E16" s="176">
        <v>6.2462985928537291</v>
      </c>
      <c r="F16" s="176">
        <v>5.5658739095363288</v>
      </c>
      <c r="G16" s="176">
        <v>5.4678927551386227</v>
      </c>
      <c r="H16" s="176">
        <v>5.9496334309273422</v>
      </c>
      <c r="I16" s="176">
        <v>5.9877372131931175</v>
      </c>
      <c r="J16" s="176">
        <v>5.1712275932122367</v>
      </c>
      <c r="K16" s="176">
        <v>5.4433974665391975</v>
      </c>
      <c r="L16" s="176">
        <v>5.3073125298757171</v>
      </c>
      <c r="M16" s="176">
        <v>5.3073125298757171</v>
      </c>
      <c r="N16" s="176">
        <v>5.9877372131931175</v>
      </c>
      <c r="O16" s="176">
        <v>6.2599070865200765</v>
      </c>
      <c r="P16" s="247">
        <v>68.325524999999985</v>
      </c>
      <c r="Q16" s="268">
        <f t="shared" si="0"/>
        <v>22.911259936663477</v>
      </c>
      <c r="S16" s="176">
        <v>33.383340214285731</v>
      </c>
      <c r="T16" s="176">
        <v>3.7196722754248261</v>
      </c>
      <c r="U16" s="176">
        <v>4.1259777052199018</v>
      </c>
      <c r="V16" s="176">
        <v>3.6765247961545526</v>
      </c>
      <c r="W16" s="176">
        <v>3.6118035772491424</v>
      </c>
      <c r="X16" s="176">
        <v>3.9300162368674094</v>
      </c>
      <c r="Y16" s="176">
        <v>3.9551855997750689</v>
      </c>
      <c r="Z16" s="176">
        <v>3.4158421088966504</v>
      </c>
      <c r="AA16" s="176">
        <v>3.5956232725227899</v>
      </c>
      <c r="AB16" s="176">
        <v>3.5057326907097206</v>
      </c>
      <c r="AC16" s="176">
        <v>3.5057326907097206</v>
      </c>
      <c r="AD16" s="176">
        <v>3.9551855997750689</v>
      </c>
      <c r="AE16" s="176">
        <v>4.1349667634012084</v>
      </c>
      <c r="AF16" s="247">
        <v>45.132263316706066</v>
      </c>
      <c r="AG16" s="268">
        <f t="shared" si="1"/>
        <v>15.133978354048423</v>
      </c>
      <c r="AI16" s="180">
        <v>103.71829574285701</v>
      </c>
      <c r="AJ16" s="180">
        <v>9.3508669545596259</v>
      </c>
      <c r="AK16" s="180">
        <v>10.372276298073631</v>
      </c>
      <c r="AL16" s="180">
        <v>9.2423987056908814</v>
      </c>
      <c r="AM16" s="180">
        <v>9.0796963323877655</v>
      </c>
      <c r="AN16" s="180">
        <v>9.8796496677947516</v>
      </c>
      <c r="AO16" s="180">
        <v>9.9429228129681864</v>
      </c>
      <c r="AP16" s="180">
        <v>8.587069702108888</v>
      </c>
      <c r="AQ16" s="180">
        <v>9.0390207390619874</v>
      </c>
      <c r="AR16" s="180">
        <v>8.8130452205854368</v>
      </c>
      <c r="AS16" s="180">
        <v>8.8130452205854368</v>
      </c>
      <c r="AT16" s="180">
        <v>9.9429228129681864</v>
      </c>
      <c r="AU16" s="180">
        <v>10.394873849921286</v>
      </c>
      <c r="AV16" s="247">
        <v>113.45778831670606</v>
      </c>
      <c r="AW16" s="268">
        <f t="shared" si="2"/>
        <v>38.0452382907119</v>
      </c>
    </row>
    <row r="17" spans="1:49" x14ac:dyDescent="0.3">
      <c r="A17" s="246">
        <v>27.128413099999978</v>
      </c>
      <c r="B17" s="246" t="s">
        <v>113</v>
      </c>
      <c r="C17" t="s">
        <v>22</v>
      </c>
      <c r="D17" s="176">
        <v>2.415</v>
      </c>
      <c r="E17" s="176">
        <v>2.76</v>
      </c>
      <c r="F17" s="176">
        <v>2.76</v>
      </c>
      <c r="G17" s="176">
        <v>3.1049999999999995</v>
      </c>
      <c r="H17" s="176">
        <v>3.1049999999999995</v>
      </c>
      <c r="I17" s="176">
        <v>3.1049999999999995</v>
      </c>
      <c r="J17" s="176">
        <v>2.415</v>
      </c>
      <c r="K17" s="176">
        <v>2.76</v>
      </c>
      <c r="L17" s="176">
        <v>2.76</v>
      </c>
      <c r="M17" s="176">
        <v>2.76</v>
      </c>
      <c r="N17" s="176">
        <v>3.1049999999999995</v>
      </c>
      <c r="O17" s="176">
        <v>3.4499999999999997</v>
      </c>
      <c r="P17" s="247">
        <v>34.499999999999993</v>
      </c>
      <c r="Q17" s="268">
        <f t="shared" si="0"/>
        <v>11.04</v>
      </c>
      <c r="S17" s="176">
        <v>16.012978714285719</v>
      </c>
      <c r="T17" s="176">
        <v>3.1510948698180576</v>
      </c>
      <c r="U17" s="176">
        <v>3.6012512797920659</v>
      </c>
      <c r="V17" s="176">
        <v>3.6012512797920659</v>
      </c>
      <c r="W17" s="176">
        <v>4.0514076897660738</v>
      </c>
      <c r="X17" s="176">
        <v>4.0514076897660738</v>
      </c>
      <c r="Y17" s="176">
        <v>4.0514076897660738</v>
      </c>
      <c r="Z17" s="176">
        <v>3.1510948698180576</v>
      </c>
      <c r="AA17" s="176">
        <v>3.6012512797920659</v>
      </c>
      <c r="AB17" s="176">
        <v>3.6012512797920659</v>
      </c>
      <c r="AC17" s="176">
        <v>3.6012512797920659</v>
      </c>
      <c r="AD17" s="176">
        <v>4.0514076897660738</v>
      </c>
      <c r="AE17" s="176">
        <v>4.501564099740083</v>
      </c>
      <c r="AF17" s="247">
        <v>45.015640997400823</v>
      </c>
      <c r="AG17" s="268">
        <f t="shared" si="1"/>
        <v>14.405005119168262</v>
      </c>
      <c r="AI17" s="180">
        <v>43.141391814285697</v>
      </c>
      <c r="AJ17" s="180">
        <v>5.5660948698180572</v>
      </c>
      <c r="AK17" s="180">
        <v>6.3612512797920662</v>
      </c>
      <c r="AL17" s="180">
        <v>6.3612512797920662</v>
      </c>
      <c r="AM17" s="180">
        <v>7.1564076897660733</v>
      </c>
      <c r="AN17" s="180">
        <v>7.1564076897660733</v>
      </c>
      <c r="AO17" s="180">
        <v>7.1564076897660733</v>
      </c>
      <c r="AP17" s="180">
        <v>5.5660948698180572</v>
      </c>
      <c r="AQ17" s="180">
        <v>6.3612512797920662</v>
      </c>
      <c r="AR17" s="180">
        <v>6.3612512797920662</v>
      </c>
      <c r="AS17" s="180">
        <v>6.3612512797920662</v>
      </c>
      <c r="AT17" s="180">
        <v>7.1564076897660733</v>
      </c>
      <c r="AU17" s="180">
        <v>7.9515640997400823</v>
      </c>
      <c r="AV17" s="247">
        <v>79.515640997400823</v>
      </c>
      <c r="AW17" s="268">
        <f t="shared" si="2"/>
        <v>25.445005119168261</v>
      </c>
    </row>
    <row r="18" spans="1:49" x14ac:dyDescent="0.3">
      <c r="A18" s="248">
        <v>2734.4949104071252</v>
      </c>
      <c r="B18" s="248"/>
      <c r="C18" s="203" t="s">
        <v>3</v>
      </c>
      <c r="D18" s="248">
        <v>257.84002663054895</v>
      </c>
      <c r="E18" s="248">
        <v>288.91761712153203</v>
      </c>
      <c r="F18" s="248">
        <v>272.66649866135197</v>
      </c>
      <c r="G18" s="248">
        <v>275.40436633810145</v>
      </c>
      <c r="H18" s="248">
        <v>297.55427349504305</v>
      </c>
      <c r="I18" s="248">
        <v>306.0662599882408</v>
      </c>
      <c r="J18" s="248">
        <v>256.5209282425717</v>
      </c>
      <c r="K18" s="248">
        <v>274.69973158340343</v>
      </c>
      <c r="L18" s="248">
        <v>268.2857521416874</v>
      </c>
      <c r="M18" s="248">
        <v>268.2857521416874</v>
      </c>
      <c r="N18" s="248">
        <v>305.70366038824085</v>
      </c>
      <c r="O18" s="248">
        <v>329.87664931679734</v>
      </c>
      <c r="P18" s="248">
        <v>3401.8215160492064</v>
      </c>
      <c r="Q18" s="269"/>
      <c r="S18" s="248">
        <v>2378.8975727571401</v>
      </c>
      <c r="T18" s="248">
        <v>237.61582791247866</v>
      </c>
      <c r="U18" s="248">
        <v>281.10606208025268</v>
      </c>
      <c r="V18" s="248">
        <v>277.08579066790395</v>
      </c>
      <c r="W18" s="248">
        <v>293.3951582664501</v>
      </c>
      <c r="X18" s="248">
        <v>312.57511575531731</v>
      </c>
      <c r="Y18" s="248">
        <v>332.20853864276904</v>
      </c>
      <c r="Z18" s="248">
        <v>276.09664131680995</v>
      </c>
      <c r="AA18" s="248">
        <v>299.52203986987945</v>
      </c>
      <c r="AB18" s="248">
        <v>295.32140273834733</v>
      </c>
      <c r="AC18" s="248">
        <v>295.32140273834733</v>
      </c>
      <c r="AD18" s="248">
        <v>345.99747072925663</v>
      </c>
      <c r="AE18" s="248">
        <v>369.42286928232619</v>
      </c>
      <c r="AF18" s="248">
        <v>3615.6683200001376</v>
      </c>
      <c r="AG18" s="269"/>
      <c r="AI18" s="248">
        <v>5113.3924831642653</v>
      </c>
      <c r="AJ18" s="248">
        <v>495.45585454302761</v>
      </c>
      <c r="AK18" s="248">
        <v>570.0236792017846</v>
      </c>
      <c r="AL18" s="248">
        <v>549.75228932925586</v>
      </c>
      <c r="AM18" s="248">
        <v>568.79952460455172</v>
      </c>
      <c r="AN18" s="248">
        <v>610.12938925036053</v>
      </c>
      <c r="AO18" s="248">
        <v>638.27479863101007</v>
      </c>
      <c r="AP18" s="248">
        <v>532.61756955938154</v>
      </c>
      <c r="AQ18" s="248">
        <v>574.22177145328294</v>
      </c>
      <c r="AR18" s="248">
        <v>563.60715488003473</v>
      </c>
      <c r="AS18" s="248">
        <v>563.60715488003473</v>
      </c>
      <c r="AT18" s="248">
        <v>651.70113111749754</v>
      </c>
      <c r="AU18" s="248">
        <v>699.29951859912353</v>
      </c>
      <c r="AV18" s="248">
        <v>7017.4898360493435</v>
      </c>
      <c r="AW18" s="269"/>
    </row>
    <row r="20" spans="1:49" x14ac:dyDescent="0.3">
      <c r="C20" s="192" t="s">
        <v>56</v>
      </c>
    </row>
    <row r="21" spans="1:49" x14ac:dyDescent="0.3">
      <c r="A21" s="246">
        <v>84.582096428570509</v>
      </c>
      <c r="B21" s="246" t="s">
        <v>56</v>
      </c>
      <c r="C21" t="s">
        <v>27</v>
      </c>
      <c r="D21" s="176">
        <v>8.8351179094964944</v>
      </c>
      <c r="E21" s="176">
        <v>9.800191204588911</v>
      </c>
      <c r="F21" s="176">
        <v>8.7326322498406643</v>
      </c>
      <c r="G21" s="176">
        <v>8.5789037603569174</v>
      </c>
      <c r="H21" s="176">
        <v>9.3347355003186756</v>
      </c>
      <c r="I21" s="176">
        <v>9.3945188017845762</v>
      </c>
      <c r="J21" s="176">
        <v>8.1134480560866784</v>
      </c>
      <c r="K21" s="176">
        <v>8.5404716379859789</v>
      </c>
      <c r="L21" s="176">
        <v>8.3269598470363313</v>
      </c>
      <c r="M21" s="176">
        <v>8.3269598470363313</v>
      </c>
      <c r="N21" s="176">
        <v>9.3945188017845762</v>
      </c>
      <c r="O21" s="176">
        <v>9.8215423836838767</v>
      </c>
      <c r="P21" s="247">
        <v>107.2</v>
      </c>
      <c r="Q21" s="268">
        <f t="shared" ref="Q21:Q29" si="3">SUMIF($D$2:$O$2,$Q$3,D21:O21)</f>
        <v>35.946845124282987</v>
      </c>
      <c r="T21" s="176">
        <v>0</v>
      </c>
      <c r="U21" s="176">
        <v>0</v>
      </c>
      <c r="V21" s="176">
        <v>0</v>
      </c>
      <c r="W21" s="176">
        <v>0</v>
      </c>
      <c r="X21" s="176">
        <v>0</v>
      </c>
      <c r="Y21" s="176">
        <v>0</v>
      </c>
      <c r="Z21" s="176">
        <v>0</v>
      </c>
      <c r="AA21" s="176">
        <v>0</v>
      </c>
      <c r="AB21" s="176">
        <v>0</v>
      </c>
      <c r="AC21" s="176">
        <v>0</v>
      </c>
      <c r="AD21" s="176">
        <v>0</v>
      </c>
      <c r="AE21" s="176">
        <v>0</v>
      </c>
      <c r="AF21" s="247">
        <v>0</v>
      </c>
      <c r="AG21" s="268">
        <f t="shared" ref="AG21:AG29" si="4">SUMIF($T$2:$AE$2,$AG$3,T21:AE21)</f>
        <v>0</v>
      </c>
      <c r="AI21" s="180">
        <v>84.582096428570509</v>
      </c>
      <c r="AJ21" s="180">
        <v>8.8351179094964944</v>
      </c>
      <c r="AK21" s="180">
        <v>9.800191204588911</v>
      </c>
      <c r="AL21" s="180">
        <v>8.7326322498406643</v>
      </c>
      <c r="AM21" s="180">
        <v>8.5789037603569174</v>
      </c>
      <c r="AN21" s="180">
        <v>9.3347355003186756</v>
      </c>
      <c r="AO21" s="180">
        <v>9.3945188017845762</v>
      </c>
      <c r="AP21" s="180">
        <v>8.1134480560866784</v>
      </c>
      <c r="AQ21" s="180">
        <v>8.5404716379859789</v>
      </c>
      <c r="AR21" s="180">
        <v>8.3269598470363313</v>
      </c>
      <c r="AS21" s="180">
        <v>8.3269598470363313</v>
      </c>
      <c r="AT21" s="180">
        <v>9.3945188017845762</v>
      </c>
      <c r="AU21" s="180">
        <v>9.8215423836838767</v>
      </c>
      <c r="AV21" s="247">
        <v>107.2</v>
      </c>
      <c r="AW21" s="268">
        <f t="shared" ref="AW21:AW29" si="5">Q21+AG21</f>
        <v>35.946845124282987</v>
      </c>
    </row>
    <row r="22" spans="1:49" x14ac:dyDescent="0.3">
      <c r="A22" s="246">
        <v>124.57919714285717</v>
      </c>
      <c r="B22" s="246" t="s">
        <v>56</v>
      </c>
      <c r="C22" t="s">
        <v>24</v>
      </c>
      <c r="D22" s="176">
        <v>13.436160000000001</v>
      </c>
      <c r="E22" s="176">
        <v>15.354120458891014</v>
      </c>
      <c r="F22" s="176">
        <v>13.681558317399618</v>
      </c>
      <c r="G22" s="176">
        <v>13.440709369024857</v>
      </c>
      <c r="H22" s="176">
        <v>14.624883365200766</v>
      </c>
      <c r="I22" s="176">
        <v>14.611824</v>
      </c>
      <c r="J22" s="176">
        <v>12.260496</v>
      </c>
      <c r="K22" s="176">
        <v>13.380497131931168</v>
      </c>
      <c r="L22" s="176">
        <v>13.04598470363289</v>
      </c>
      <c r="M22" s="176">
        <v>13.04598470363289</v>
      </c>
      <c r="N22" s="176">
        <v>14.275920000000003</v>
      </c>
      <c r="O22" s="176">
        <v>16.795200000000001</v>
      </c>
      <c r="P22" s="247">
        <v>167.95333804971321</v>
      </c>
      <c r="Q22" s="268">
        <f t="shared" si="3"/>
        <v>55.91254814531549</v>
      </c>
      <c r="T22" s="176">
        <v>0</v>
      </c>
      <c r="U22" s="176">
        <v>0</v>
      </c>
      <c r="V22" s="176">
        <v>0</v>
      </c>
      <c r="W22" s="176">
        <v>0</v>
      </c>
      <c r="X22" s="176">
        <v>0</v>
      </c>
      <c r="Y22" s="176">
        <v>0</v>
      </c>
      <c r="Z22" s="176">
        <v>0</v>
      </c>
      <c r="AA22" s="176">
        <v>0</v>
      </c>
      <c r="AB22" s="176">
        <v>0</v>
      </c>
      <c r="AC22" s="176">
        <v>0</v>
      </c>
      <c r="AD22" s="176">
        <v>0</v>
      </c>
      <c r="AE22" s="176">
        <v>0</v>
      </c>
      <c r="AF22" s="247">
        <v>0</v>
      </c>
      <c r="AG22" s="268">
        <f t="shared" si="4"/>
        <v>0</v>
      </c>
      <c r="AI22" s="180">
        <v>124.57919714285717</v>
      </c>
      <c r="AJ22" s="180">
        <v>13.436160000000001</v>
      </c>
      <c r="AK22" s="180">
        <v>15.354120458891014</v>
      </c>
      <c r="AL22" s="180">
        <v>13.681558317399618</v>
      </c>
      <c r="AM22" s="180">
        <v>13.440709369024857</v>
      </c>
      <c r="AN22" s="180">
        <v>14.624883365200766</v>
      </c>
      <c r="AO22" s="180">
        <v>14.611824</v>
      </c>
      <c r="AP22" s="180">
        <v>12.260496</v>
      </c>
      <c r="AQ22" s="180">
        <v>13.380497131931168</v>
      </c>
      <c r="AR22" s="180">
        <v>13.04598470363289</v>
      </c>
      <c r="AS22" s="180">
        <v>13.04598470363289</v>
      </c>
      <c r="AT22" s="180">
        <v>14.275920000000003</v>
      </c>
      <c r="AU22" s="180">
        <v>16.795200000000001</v>
      </c>
      <c r="AV22" s="247">
        <v>167.95333804971321</v>
      </c>
      <c r="AW22" s="268">
        <f t="shared" si="5"/>
        <v>55.91254814531549</v>
      </c>
    </row>
    <row r="23" spans="1:49" x14ac:dyDescent="0.3">
      <c r="A23" s="246">
        <v>108.92561857142849</v>
      </c>
      <c r="B23" s="246" t="s">
        <v>56</v>
      </c>
      <c r="C23" t="s">
        <v>25</v>
      </c>
      <c r="D23" s="176">
        <v>11.659439999999998</v>
      </c>
      <c r="E23" s="176">
        <v>13.116869999999997</v>
      </c>
      <c r="F23" s="176">
        <v>13.116869999999997</v>
      </c>
      <c r="G23" s="176">
        <v>11.663387786806881</v>
      </c>
      <c r="H23" s="176">
        <v>12.690973470363287</v>
      </c>
      <c r="I23" s="176">
        <v>12.772251434034414</v>
      </c>
      <c r="J23" s="176">
        <v>10.202009999999998</v>
      </c>
      <c r="K23" s="176">
        <v>11.611137667304012</v>
      </c>
      <c r="L23" s="176">
        <v>11.320859225621412</v>
      </c>
      <c r="M23" s="176">
        <v>11.320859225621412</v>
      </c>
      <c r="N23" s="176">
        <v>12.772251434034414</v>
      </c>
      <c r="O23" s="176">
        <v>13.554098999999997</v>
      </c>
      <c r="P23" s="247">
        <v>145.80100924378581</v>
      </c>
      <c r="Q23" s="268">
        <f t="shared" si="3"/>
        <v>49.556567786806873</v>
      </c>
      <c r="S23" s="176">
        <v>0.18757142857142858</v>
      </c>
      <c r="T23" s="176">
        <v>0</v>
      </c>
      <c r="U23" s="176">
        <v>0</v>
      </c>
      <c r="V23" s="176">
        <v>0</v>
      </c>
      <c r="W23" s="176">
        <v>0</v>
      </c>
      <c r="X23" s="176">
        <v>0</v>
      </c>
      <c r="Y23" s="176">
        <v>0</v>
      </c>
      <c r="Z23" s="176">
        <v>0</v>
      </c>
      <c r="AA23" s="176">
        <v>0</v>
      </c>
      <c r="AB23" s="176">
        <v>0</v>
      </c>
      <c r="AC23" s="176">
        <v>0</v>
      </c>
      <c r="AD23" s="176">
        <v>0</v>
      </c>
      <c r="AE23" s="176">
        <v>0</v>
      </c>
      <c r="AF23" s="247">
        <v>0</v>
      </c>
      <c r="AG23" s="268">
        <f t="shared" si="4"/>
        <v>0</v>
      </c>
      <c r="AI23" s="180">
        <v>109.11318999999992</v>
      </c>
      <c r="AJ23" s="180">
        <v>11.659439999999998</v>
      </c>
      <c r="AK23" s="180">
        <v>13.116869999999997</v>
      </c>
      <c r="AL23" s="180">
        <v>13.116869999999997</v>
      </c>
      <c r="AM23" s="180">
        <v>11.663387786806881</v>
      </c>
      <c r="AN23" s="180">
        <v>12.690973470363287</v>
      </c>
      <c r="AO23" s="180">
        <v>12.772251434034414</v>
      </c>
      <c r="AP23" s="180">
        <v>10.202009999999998</v>
      </c>
      <c r="AQ23" s="180">
        <v>11.611137667304012</v>
      </c>
      <c r="AR23" s="180">
        <v>11.320859225621412</v>
      </c>
      <c r="AS23" s="180">
        <v>11.320859225621412</v>
      </c>
      <c r="AT23" s="180">
        <v>12.772251434034414</v>
      </c>
      <c r="AU23" s="180">
        <v>13.554098999999997</v>
      </c>
      <c r="AV23" s="247">
        <v>145.80100924378581</v>
      </c>
      <c r="AW23" s="268">
        <f t="shared" si="5"/>
        <v>49.556567786806873</v>
      </c>
    </row>
    <row r="24" spans="1:49" x14ac:dyDescent="0.3">
      <c r="A24" s="246">
        <v>37.087346428571493</v>
      </c>
      <c r="B24" s="246" t="s">
        <v>56</v>
      </c>
      <c r="C24" t="s">
        <v>10</v>
      </c>
      <c r="D24" s="176">
        <v>4.2502400000000007</v>
      </c>
      <c r="E24" s="176">
        <v>4.8569455066921616</v>
      </c>
      <c r="F24" s="176">
        <v>4.3278664754620779</v>
      </c>
      <c r="G24" s="176">
        <v>4.2516790949649463</v>
      </c>
      <c r="H24" s="176">
        <v>4.6262670490758451</v>
      </c>
      <c r="I24" s="176">
        <v>4.6221359999999994</v>
      </c>
      <c r="J24" s="176">
        <v>3.8783439999999998</v>
      </c>
      <c r="K24" s="176">
        <v>4.2326322498406634</v>
      </c>
      <c r="L24" s="176">
        <v>4.1268164435946462</v>
      </c>
      <c r="M24" s="176">
        <v>4.1268164435946462</v>
      </c>
      <c r="N24" s="176">
        <v>4.5158800000000001</v>
      </c>
      <c r="O24" s="176">
        <v>5.3128000000000011</v>
      </c>
      <c r="P24" s="247">
        <v>53.128423263224995</v>
      </c>
      <c r="Q24" s="268">
        <f t="shared" si="3"/>
        <v>17.686731077119184</v>
      </c>
      <c r="T24" s="176">
        <v>0</v>
      </c>
      <c r="U24" s="176">
        <v>0</v>
      </c>
      <c r="V24" s="176">
        <v>0</v>
      </c>
      <c r="W24" s="176">
        <v>0</v>
      </c>
      <c r="X24" s="176">
        <v>0</v>
      </c>
      <c r="Y24" s="176">
        <v>0</v>
      </c>
      <c r="Z24" s="176">
        <v>0</v>
      </c>
      <c r="AA24" s="176">
        <v>0</v>
      </c>
      <c r="AB24" s="176">
        <v>0</v>
      </c>
      <c r="AC24" s="176">
        <v>0</v>
      </c>
      <c r="AD24" s="176">
        <v>0</v>
      </c>
      <c r="AE24" s="176">
        <v>0</v>
      </c>
      <c r="AF24" s="247">
        <v>0</v>
      </c>
      <c r="AG24" s="268">
        <f t="shared" si="4"/>
        <v>0</v>
      </c>
      <c r="AI24" s="180">
        <v>37.087346428571493</v>
      </c>
      <c r="AJ24" s="180">
        <v>4.2502400000000007</v>
      </c>
      <c r="AK24" s="180">
        <v>4.8569455066921616</v>
      </c>
      <c r="AL24" s="180">
        <v>4.3278664754620779</v>
      </c>
      <c r="AM24" s="180">
        <v>4.2516790949649463</v>
      </c>
      <c r="AN24" s="180">
        <v>4.6262670490758451</v>
      </c>
      <c r="AO24" s="180">
        <v>4.6221359999999994</v>
      </c>
      <c r="AP24" s="180">
        <v>3.8783439999999998</v>
      </c>
      <c r="AQ24" s="180">
        <v>4.2326322498406634</v>
      </c>
      <c r="AR24" s="180">
        <v>4.1268164435946462</v>
      </c>
      <c r="AS24" s="180">
        <v>4.1268164435946462</v>
      </c>
      <c r="AT24" s="180">
        <v>4.5158800000000001</v>
      </c>
      <c r="AU24" s="180">
        <v>5.3128000000000011</v>
      </c>
      <c r="AV24" s="247">
        <v>53.128423263224995</v>
      </c>
      <c r="AW24" s="268">
        <f t="shared" si="5"/>
        <v>17.686731077119184</v>
      </c>
    </row>
    <row r="25" spans="1:49" x14ac:dyDescent="0.3">
      <c r="A25" s="246">
        <v>31.349905</v>
      </c>
      <c r="B25" s="246" t="s">
        <v>56</v>
      </c>
      <c r="C25" t="s">
        <v>15</v>
      </c>
      <c r="D25" s="176">
        <v>3.3392789674952201</v>
      </c>
      <c r="E25" s="176">
        <v>3.7040334608030596</v>
      </c>
      <c r="F25" s="176">
        <v>3.3005439770554492</v>
      </c>
      <c r="G25" s="176">
        <v>3.2424414913957937</v>
      </c>
      <c r="H25" s="176">
        <v>3.528112045889102</v>
      </c>
      <c r="I25" s="176">
        <v>3.5507074569789676</v>
      </c>
      <c r="J25" s="176">
        <v>3.0665200764818357</v>
      </c>
      <c r="K25" s="176">
        <v>3.2279158699808796</v>
      </c>
      <c r="L25" s="176">
        <v>3.1472179732313581</v>
      </c>
      <c r="M25" s="176">
        <v>3.1472179732313581</v>
      </c>
      <c r="N25" s="176">
        <v>3.5507074569789676</v>
      </c>
      <c r="O25" s="176">
        <v>3.712103250478012</v>
      </c>
      <c r="P25" s="247">
        <v>40.516800000000003</v>
      </c>
      <c r="Q25" s="268">
        <f t="shared" si="3"/>
        <v>13.586297896749524</v>
      </c>
      <c r="T25" s="176">
        <v>0</v>
      </c>
      <c r="U25" s="176">
        <v>0</v>
      </c>
      <c r="V25" s="176">
        <v>0</v>
      </c>
      <c r="W25" s="176">
        <v>0</v>
      </c>
      <c r="X25" s="176">
        <v>0</v>
      </c>
      <c r="Y25" s="176">
        <v>0</v>
      </c>
      <c r="Z25" s="176">
        <v>0</v>
      </c>
      <c r="AA25" s="176">
        <v>0</v>
      </c>
      <c r="AB25" s="176">
        <v>0</v>
      </c>
      <c r="AC25" s="176">
        <v>0</v>
      </c>
      <c r="AD25" s="176">
        <v>0</v>
      </c>
      <c r="AE25" s="176">
        <v>0</v>
      </c>
      <c r="AF25" s="247">
        <v>0</v>
      </c>
      <c r="AG25" s="268">
        <f t="shared" si="4"/>
        <v>0</v>
      </c>
      <c r="AI25" s="180">
        <v>31.349905</v>
      </c>
      <c r="AJ25" s="180">
        <v>3.3392789674952201</v>
      </c>
      <c r="AK25" s="180">
        <v>3.7040334608030596</v>
      </c>
      <c r="AL25" s="180">
        <v>3.3005439770554492</v>
      </c>
      <c r="AM25" s="180">
        <v>3.2424414913957937</v>
      </c>
      <c r="AN25" s="180">
        <v>3.528112045889102</v>
      </c>
      <c r="AO25" s="180">
        <v>3.5507074569789676</v>
      </c>
      <c r="AP25" s="180">
        <v>3.0665200764818357</v>
      </c>
      <c r="AQ25" s="180">
        <v>3.2279158699808796</v>
      </c>
      <c r="AR25" s="180">
        <v>3.1472179732313581</v>
      </c>
      <c r="AS25" s="180">
        <v>3.1472179732313581</v>
      </c>
      <c r="AT25" s="180">
        <v>3.5507074569789676</v>
      </c>
      <c r="AU25" s="180">
        <v>3.712103250478012</v>
      </c>
      <c r="AV25" s="247">
        <v>40.516800000000003</v>
      </c>
      <c r="AW25" s="268">
        <f t="shared" si="5"/>
        <v>13.586297896749524</v>
      </c>
    </row>
    <row r="26" spans="1:49" x14ac:dyDescent="0.3">
      <c r="A26" s="246">
        <v>71.906945000000434</v>
      </c>
      <c r="B26" s="246" t="s">
        <v>56</v>
      </c>
      <c r="C26" t="s">
        <v>14</v>
      </c>
      <c r="D26" s="176">
        <v>9.068144144359465</v>
      </c>
      <c r="E26" s="176">
        <v>10.058671247609944</v>
      </c>
      <c r="F26" s="176">
        <v>8.9629554254302093</v>
      </c>
      <c r="G26" s="176">
        <v>8.8051723470363292</v>
      </c>
      <c r="H26" s="176">
        <v>9.5809391491395797</v>
      </c>
      <c r="I26" s="176">
        <v>9.6422992351816443</v>
      </c>
      <c r="J26" s="176">
        <v>8.3274402485659653</v>
      </c>
      <c r="K26" s="176">
        <v>8.7657265774378583</v>
      </c>
      <c r="L26" s="176">
        <v>8.5465834130019118</v>
      </c>
      <c r="M26" s="176">
        <v>8.5465834130019118</v>
      </c>
      <c r="N26" s="176">
        <v>9.6422992351816443</v>
      </c>
      <c r="O26" s="176">
        <v>10.080585564053537</v>
      </c>
      <c r="P26" s="247">
        <v>110.0274</v>
      </c>
      <c r="Q26" s="268">
        <f t="shared" si="3"/>
        <v>36.894943164435944</v>
      </c>
      <c r="S26" s="176">
        <v>10.992928571428569</v>
      </c>
      <c r="T26" s="176">
        <v>3.9749788878266412</v>
      </c>
      <c r="U26" s="176">
        <v>4.4091718451242832</v>
      </c>
      <c r="V26" s="176">
        <v>3.928869901210962</v>
      </c>
      <c r="W26" s="176">
        <v>3.8597064212874437</v>
      </c>
      <c r="X26" s="176">
        <v>4.1997601975780752</v>
      </c>
      <c r="Y26" s="176">
        <v>4.2266571064372211</v>
      </c>
      <c r="Z26" s="176">
        <v>3.6502947737412361</v>
      </c>
      <c r="AA26" s="176">
        <v>3.8424155513065643</v>
      </c>
      <c r="AB26" s="176">
        <v>3.7463551625239004</v>
      </c>
      <c r="AC26" s="176">
        <v>3.7463551625239004</v>
      </c>
      <c r="AD26" s="176">
        <v>4.2266571064372211</v>
      </c>
      <c r="AE26" s="176">
        <v>4.4187778840025498</v>
      </c>
      <c r="AF26" s="247">
        <v>48.230000000000004</v>
      </c>
      <c r="AG26" s="268">
        <f t="shared" si="4"/>
        <v>16.172727055449332</v>
      </c>
      <c r="AI26" s="180">
        <v>82.899873571428998</v>
      </c>
      <c r="AJ26" s="180">
        <v>13.043123032186106</v>
      </c>
      <c r="AK26" s="180">
        <v>14.467843092734228</v>
      </c>
      <c r="AL26" s="180">
        <v>12.891825326641172</v>
      </c>
      <c r="AM26" s="180">
        <v>12.664878768323772</v>
      </c>
      <c r="AN26" s="180">
        <v>13.780699346717654</v>
      </c>
      <c r="AO26" s="180">
        <v>13.868956341618865</v>
      </c>
      <c r="AP26" s="180">
        <v>11.977735022307201</v>
      </c>
      <c r="AQ26" s="180">
        <v>12.608142128744422</v>
      </c>
      <c r="AR26" s="180">
        <v>12.292938575525813</v>
      </c>
      <c r="AS26" s="180">
        <v>12.292938575525813</v>
      </c>
      <c r="AT26" s="180">
        <v>13.868956341618865</v>
      </c>
      <c r="AU26" s="180">
        <v>14.499363448056087</v>
      </c>
      <c r="AV26" s="247">
        <v>158.25740000000002</v>
      </c>
      <c r="AW26" s="268">
        <f t="shared" si="5"/>
        <v>53.067670219885272</v>
      </c>
    </row>
    <row r="27" spans="1:49" x14ac:dyDescent="0.3">
      <c r="A27" s="246">
        <v>4.3193292857142938</v>
      </c>
      <c r="B27" s="246" t="s">
        <v>56</v>
      </c>
      <c r="C27" t="s">
        <v>123</v>
      </c>
      <c r="D27" s="176">
        <v>4.3632</v>
      </c>
      <c r="E27" s="176">
        <v>5.0904000000000007</v>
      </c>
      <c r="F27" s="176">
        <v>5.0904000000000007</v>
      </c>
      <c r="G27" s="176">
        <v>5.8176000000000005</v>
      </c>
      <c r="H27" s="176">
        <v>6.5448000000000004</v>
      </c>
      <c r="I27" s="176">
        <v>7.2720000000000002</v>
      </c>
      <c r="J27" s="176">
        <v>5.0904000000000007</v>
      </c>
      <c r="K27" s="176">
        <v>5.8176000000000005</v>
      </c>
      <c r="L27" s="176">
        <v>5.8176000000000005</v>
      </c>
      <c r="M27" s="176">
        <v>5.8176000000000005</v>
      </c>
      <c r="N27" s="176">
        <v>7.2720000000000002</v>
      </c>
      <c r="O27" s="176">
        <v>8.7263999999999999</v>
      </c>
      <c r="P27" s="247">
        <v>72.72</v>
      </c>
      <c r="Q27" s="268">
        <f t="shared" si="3"/>
        <v>20.361600000000003</v>
      </c>
      <c r="T27" s="176">
        <v>0</v>
      </c>
      <c r="U27" s="176">
        <v>0</v>
      </c>
      <c r="V27" s="176">
        <v>0</v>
      </c>
      <c r="W27" s="176">
        <v>0</v>
      </c>
      <c r="X27" s="176">
        <v>0</v>
      </c>
      <c r="Y27" s="176">
        <v>0</v>
      </c>
      <c r="Z27" s="176">
        <v>0</v>
      </c>
      <c r="AA27" s="176">
        <v>0</v>
      </c>
      <c r="AB27" s="176">
        <v>0</v>
      </c>
      <c r="AC27" s="176">
        <v>0</v>
      </c>
      <c r="AD27" s="176">
        <v>0</v>
      </c>
      <c r="AE27" s="176">
        <v>0</v>
      </c>
      <c r="AF27" s="247">
        <v>0</v>
      </c>
      <c r="AG27" s="268">
        <f t="shared" si="4"/>
        <v>0</v>
      </c>
      <c r="AI27" s="180">
        <v>4.3193292857142938</v>
      </c>
      <c r="AJ27" s="180">
        <v>4.3632</v>
      </c>
      <c r="AK27" s="180">
        <v>5.0904000000000007</v>
      </c>
      <c r="AL27" s="180">
        <v>5.0904000000000007</v>
      </c>
      <c r="AM27" s="180">
        <v>5.8176000000000005</v>
      </c>
      <c r="AN27" s="180">
        <v>6.5448000000000004</v>
      </c>
      <c r="AO27" s="180">
        <v>7.2720000000000002</v>
      </c>
      <c r="AP27" s="180">
        <v>5.0904000000000007</v>
      </c>
      <c r="AQ27" s="180">
        <v>5.8176000000000005</v>
      </c>
      <c r="AR27" s="180">
        <v>5.8176000000000005</v>
      </c>
      <c r="AS27" s="180">
        <v>5.8176000000000005</v>
      </c>
      <c r="AT27" s="180">
        <v>7.2720000000000002</v>
      </c>
      <c r="AU27" s="180">
        <v>8.7263999999999999</v>
      </c>
      <c r="AV27" s="247">
        <v>72.72</v>
      </c>
      <c r="AW27" s="268">
        <f t="shared" si="5"/>
        <v>20.361600000000003</v>
      </c>
    </row>
    <row r="28" spans="1:49" x14ac:dyDescent="0.3">
      <c r="A28" s="246">
        <v>36.172281428571274</v>
      </c>
      <c r="B28" s="246" t="s">
        <v>56</v>
      </c>
      <c r="C28" t="s">
        <v>12</v>
      </c>
      <c r="D28" s="176">
        <v>4.078999999999998</v>
      </c>
      <c r="E28" s="176">
        <v>4.7588333333333317</v>
      </c>
      <c r="F28" s="176">
        <v>4.7588333333333317</v>
      </c>
      <c r="G28" s="176">
        <v>5.4386666666666637</v>
      </c>
      <c r="H28" s="176">
        <v>6.1184999999999974</v>
      </c>
      <c r="I28" s="176">
        <v>6.7983333333333311</v>
      </c>
      <c r="J28" s="176">
        <v>4.7588333333333317</v>
      </c>
      <c r="K28" s="176">
        <v>5.4386666666666637</v>
      </c>
      <c r="L28" s="176">
        <v>5.4386666666666637</v>
      </c>
      <c r="M28" s="176">
        <v>5.4386666666666637</v>
      </c>
      <c r="N28" s="176">
        <v>6.7983333333333311</v>
      </c>
      <c r="O28" s="176">
        <v>8.1579999999999959</v>
      </c>
      <c r="P28" s="247">
        <v>67.983333333333306</v>
      </c>
      <c r="Q28" s="268">
        <f t="shared" si="3"/>
        <v>19.035333333333323</v>
      </c>
      <c r="S28" s="176">
        <v>1.4350714285714294</v>
      </c>
      <c r="T28" s="176">
        <v>0.60000000000000009</v>
      </c>
      <c r="U28" s="176">
        <v>0.72</v>
      </c>
      <c r="V28" s="176">
        <v>0.84000000000000008</v>
      </c>
      <c r="W28" s="176">
        <v>0.96</v>
      </c>
      <c r="X28" s="176">
        <v>1.08</v>
      </c>
      <c r="Y28" s="176">
        <v>1.2000000000000002</v>
      </c>
      <c r="Z28" s="176">
        <v>0.96</v>
      </c>
      <c r="AA28" s="176">
        <v>1.08</v>
      </c>
      <c r="AB28" s="176">
        <v>0.96</v>
      </c>
      <c r="AC28" s="176">
        <v>1.08</v>
      </c>
      <c r="AD28" s="176">
        <v>1.2000000000000002</v>
      </c>
      <c r="AE28" s="176">
        <v>1.32</v>
      </c>
      <c r="AF28" s="247">
        <v>12</v>
      </c>
      <c r="AG28" s="268">
        <f t="shared" si="4"/>
        <v>3.12</v>
      </c>
      <c r="AI28" s="180">
        <v>37.6073528571427</v>
      </c>
      <c r="AJ28" s="180">
        <v>4.6789999999999985</v>
      </c>
      <c r="AK28" s="180">
        <v>5.4788333333333314</v>
      </c>
      <c r="AL28" s="180">
        <v>5.5988333333333316</v>
      </c>
      <c r="AM28" s="180">
        <v>6.3986666666666636</v>
      </c>
      <c r="AN28" s="180">
        <v>7.1984999999999975</v>
      </c>
      <c r="AO28" s="180">
        <v>7.9983333333333313</v>
      </c>
      <c r="AP28" s="180">
        <v>5.7188333333333317</v>
      </c>
      <c r="AQ28" s="180">
        <v>6.5186666666666637</v>
      </c>
      <c r="AR28" s="180">
        <v>6.3986666666666636</v>
      </c>
      <c r="AS28" s="180">
        <v>6.5186666666666637</v>
      </c>
      <c r="AT28" s="180">
        <v>7.9983333333333313</v>
      </c>
      <c r="AU28" s="180">
        <v>9.4779999999999962</v>
      </c>
      <c r="AV28" s="247">
        <v>79.983333333333292</v>
      </c>
      <c r="AW28" s="268">
        <f t="shared" si="5"/>
        <v>22.155333333333324</v>
      </c>
    </row>
    <row r="29" spans="1:49" x14ac:dyDescent="0.3">
      <c r="A29" s="246">
        <v>9.4218100000000327</v>
      </c>
      <c r="B29" s="246" t="s">
        <v>56</v>
      </c>
      <c r="C29" t="s">
        <v>57</v>
      </c>
      <c r="D29" s="176">
        <v>0</v>
      </c>
      <c r="E29" s="176">
        <v>0</v>
      </c>
      <c r="F29" s="176">
        <v>0</v>
      </c>
      <c r="G29" s="176">
        <v>0</v>
      </c>
      <c r="H29" s="176">
        <v>0</v>
      </c>
      <c r="I29" s="176">
        <v>0</v>
      </c>
      <c r="J29" s="176">
        <v>0</v>
      </c>
      <c r="K29" s="176">
        <v>0</v>
      </c>
      <c r="L29" s="176">
        <v>0</v>
      </c>
      <c r="M29" s="176">
        <v>0</v>
      </c>
      <c r="N29" s="176">
        <v>0</v>
      </c>
      <c r="O29" s="176">
        <v>0</v>
      </c>
      <c r="P29" s="247">
        <v>0</v>
      </c>
      <c r="Q29" s="268">
        <f t="shared" si="3"/>
        <v>0</v>
      </c>
      <c r="T29" s="176">
        <v>0</v>
      </c>
      <c r="U29" s="176">
        <v>0</v>
      </c>
      <c r="V29" s="176">
        <v>0</v>
      </c>
      <c r="W29" s="176">
        <v>0</v>
      </c>
      <c r="X29" s="176">
        <v>0</v>
      </c>
      <c r="Y29" s="176">
        <v>0</v>
      </c>
      <c r="Z29" s="176">
        <v>0</v>
      </c>
      <c r="AA29" s="176">
        <v>0</v>
      </c>
      <c r="AB29" s="176">
        <v>0</v>
      </c>
      <c r="AC29" s="176">
        <v>0</v>
      </c>
      <c r="AD29" s="176">
        <v>0</v>
      </c>
      <c r="AE29" s="176">
        <v>0</v>
      </c>
      <c r="AF29" s="247">
        <v>0</v>
      </c>
      <c r="AG29" s="268">
        <f t="shared" si="4"/>
        <v>0</v>
      </c>
      <c r="AI29" s="180">
        <v>9.4218100000000327</v>
      </c>
      <c r="AJ29" s="180">
        <v>0</v>
      </c>
      <c r="AK29" s="180">
        <v>0</v>
      </c>
      <c r="AL29" s="180">
        <v>0</v>
      </c>
      <c r="AM29" s="180">
        <v>0</v>
      </c>
      <c r="AN29" s="180">
        <v>0</v>
      </c>
      <c r="AO29" s="180">
        <v>0</v>
      </c>
      <c r="AP29" s="180">
        <v>0</v>
      </c>
      <c r="AQ29" s="180">
        <v>0</v>
      </c>
      <c r="AR29" s="180">
        <v>0</v>
      </c>
      <c r="AS29" s="180">
        <v>0</v>
      </c>
      <c r="AT29" s="180">
        <v>0</v>
      </c>
      <c r="AU29" s="180">
        <v>0</v>
      </c>
      <c r="AV29" s="247">
        <v>0</v>
      </c>
      <c r="AW29" s="268">
        <f t="shared" si="5"/>
        <v>0</v>
      </c>
    </row>
    <row r="30" spans="1:49" x14ac:dyDescent="0.3">
      <c r="A30" s="248">
        <v>508.34452928571363</v>
      </c>
      <c r="B30" s="248"/>
      <c r="C30" s="203" t="s">
        <v>58</v>
      </c>
      <c r="D30" s="248">
        <v>59.030581021351175</v>
      </c>
      <c r="E30" s="248">
        <v>66.74006521191842</v>
      </c>
      <c r="F30" s="248">
        <v>61.971659778521357</v>
      </c>
      <c r="G30" s="248">
        <v>61.238560516252392</v>
      </c>
      <c r="H30" s="248">
        <v>67.04921057998726</v>
      </c>
      <c r="I30" s="248">
        <v>68.664070261312929</v>
      </c>
      <c r="J30" s="248">
        <v>55.697491714467816</v>
      </c>
      <c r="K30" s="248">
        <v>61.01464780114722</v>
      </c>
      <c r="L30" s="248">
        <v>59.770688272785215</v>
      </c>
      <c r="M30" s="248">
        <v>59.770688272785215</v>
      </c>
      <c r="N30" s="248">
        <v>68.221910261312942</v>
      </c>
      <c r="O30" s="248">
        <v>76.160730198215433</v>
      </c>
      <c r="P30" s="248">
        <v>765.33030389005739</v>
      </c>
      <c r="Q30" s="269"/>
      <c r="S30" s="248">
        <v>12.615571428571428</v>
      </c>
      <c r="T30" s="248">
        <v>4.5749788878266413</v>
      </c>
      <c r="U30" s="248">
        <v>5.1291718451242829</v>
      </c>
      <c r="V30" s="248">
        <v>4.7688699012109623</v>
      </c>
      <c r="W30" s="248">
        <v>4.8197064212874441</v>
      </c>
      <c r="X30" s="248">
        <v>5.2797601975780752</v>
      </c>
      <c r="Y30" s="248">
        <v>5.4266571064372213</v>
      </c>
      <c r="Z30" s="248">
        <v>4.6102947737412361</v>
      </c>
      <c r="AA30" s="248">
        <v>4.9224155513065639</v>
      </c>
      <c r="AB30" s="248">
        <v>4.7063551625239004</v>
      </c>
      <c r="AC30" s="248">
        <v>4.8263551625239005</v>
      </c>
      <c r="AD30" s="248">
        <v>5.4266571064372213</v>
      </c>
      <c r="AE30" s="248">
        <v>5.7387778840025501</v>
      </c>
      <c r="AF30" s="248">
        <v>60.230000000000004</v>
      </c>
      <c r="AG30" s="269"/>
      <c r="AI30" s="248">
        <v>520.96010071428509</v>
      </c>
      <c r="AJ30" s="248">
        <v>63.605559909177813</v>
      </c>
      <c r="AK30" s="248">
        <v>71.869237057042696</v>
      </c>
      <c r="AL30" s="248">
        <v>66.740529679732319</v>
      </c>
      <c r="AM30" s="248">
        <v>66.058266937539827</v>
      </c>
      <c r="AN30" s="248">
        <v>72.328970777565317</v>
      </c>
      <c r="AO30" s="248">
        <v>74.090727367750162</v>
      </c>
      <c r="AP30" s="248">
        <v>60.307786488209047</v>
      </c>
      <c r="AQ30" s="248">
        <v>65.937063352453777</v>
      </c>
      <c r="AR30" s="248">
        <v>64.477043435309128</v>
      </c>
      <c r="AS30" s="248">
        <v>64.597043435309118</v>
      </c>
      <c r="AT30" s="248">
        <v>73.648567367750175</v>
      </c>
      <c r="AU30" s="248">
        <v>81.899508082217977</v>
      </c>
      <c r="AV30" s="248">
        <v>825.56030389005741</v>
      </c>
      <c r="AW30" s="269"/>
    </row>
    <row r="31" spans="1:49" x14ac:dyDescent="0.3">
      <c r="C31" s="192"/>
    </row>
    <row r="32" spans="1:49" x14ac:dyDescent="0.3">
      <c r="C32" s="192" t="s">
        <v>59</v>
      </c>
    </row>
    <row r="33" spans="1:49" x14ac:dyDescent="0.3">
      <c r="A33" s="246">
        <v>17.063362857142845</v>
      </c>
      <c r="B33" s="246" t="s">
        <v>59</v>
      </c>
      <c r="C33" t="s">
        <v>41</v>
      </c>
      <c r="D33" s="176">
        <v>4.68</v>
      </c>
      <c r="E33" s="176">
        <v>5.6159999999999997</v>
      </c>
      <c r="F33" s="176">
        <v>6.5520000000000005</v>
      </c>
      <c r="G33" s="176">
        <v>7.4880000000000004</v>
      </c>
      <c r="H33" s="176">
        <v>8.4239999999999995</v>
      </c>
      <c r="I33" s="176">
        <v>9.36</v>
      </c>
      <c r="J33" s="176">
        <v>7.4880000000000004</v>
      </c>
      <c r="K33" s="176">
        <v>8.4239999999999995</v>
      </c>
      <c r="L33" s="176">
        <v>8.4239999999999995</v>
      </c>
      <c r="M33" s="176">
        <v>7.4880000000000004</v>
      </c>
      <c r="N33" s="176">
        <v>9.36</v>
      </c>
      <c r="O33" s="176">
        <v>10.296000000000001</v>
      </c>
      <c r="P33" s="247">
        <v>93.6</v>
      </c>
      <c r="Q33" s="268">
        <f t="shared" ref="Q33:Q37" si="6">SUMIF($D$2:$O$2,$Q$3,D33:O33)</f>
        <v>24.335999999999999</v>
      </c>
      <c r="T33" s="176">
        <v>0</v>
      </c>
      <c r="U33" s="176">
        <v>0</v>
      </c>
      <c r="V33" s="176">
        <v>0</v>
      </c>
      <c r="W33" s="176">
        <v>0</v>
      </c>
      <c r="X33" s="176">
        <v>0</v>
      </c>
      <c r="Y33" s="176">
        <v>0</v>
      </c>
      <c r="Z33" s="176">
        <v>0</v>
      </c>
      <c r="AA33" s="176">
        <v>0</v>
      </c>
      <c r="AB33" s="176">
        <v>0</v>
      </c>
      <c r="AC33" s="176">
        <v>0</v>
      </c>
      <c r="AD33" s="176">
        <v>0</v>
      </c>
      <c r="AE33" s="176">
        <v>0</v>
      </c>
      <c r="AF33" s="247">
        <v>0</v>
      </c>
      <c r="AG33" s="268">
        <f t="shared" ref="AG33:AG37" si="7">SUMIF($T$2:$AE$2,$AG$3,T33:AE33)</f>
        <v>0</v>
      </c>
      <c r="AI33" s="180">
        <v>17.063362857142845</v>
      </c>
      <c r="AJ33" s="180">
        <v>4.68</v>
      </c>
      <c r="AK33" s="180">
        <v>5.6159999999999997</v>
      </c>
      <c r="AL33" s="180">
        <v>6.5520000000000005</v>
      </c>
      <c r="AM33" s="180">
        <v>7.4880000000000004</v>
      </c>
      <c r="AN33" s="180">
        <v>8.4239999999999995</v>
      </c>
      <c r="AO33" s="180">
        <v>9.36</v>
      </c>
      <c r="AP33" s="180">
        <v>7.4880000000000004</v>
      </c>
      <c r="AQ33" s="180">
        <v>8.4239999999999995</v>
      </c>
      <c r="AR33" s="180">
        <v>8.4239999999999995</v>
      </c>
      <c r="AS33" s="180">
        <v>7.4880000000000004</v>
      </c>
      <c r="AT33" s="180">
        <v>9.36</v>
      </c>
      <c r="AU33" s="180">
        <v>10.296000000000001</v>
      </c>
      <c r="AV33" s="247">
        <v>93.6</v>
      </c>
      <c r="AW33" s="268">
        <f t="shared" ref="AW33:AW37" si="8">Q33+AG33</f>
        <v>24.335999999999999</v>
      </c>
    </row>
    <row r="34" spans="1:49" x14ac:dyDescent="0.3">
      <c r="A34" s="246">
        <v>87.031599285714094</v>
      </c>
      <c r="B34" s="246" t="s">
        <v>59</v>
      </c>
      <c r="C34" t="s">
        <v>38</v>
      </c>
      <c r="D34" s="176">
        <v>11.912574091778202</v>
      </c>
      <c r="E34" s="176">
        <v>13.21380258126195</v>
      </c>
      <c r="F34" s="176">
        <v>11.774390535372847</v>
      </c>
      <c r="G34" s="176">
        <v>11.567115200764816</v>
      </c>
      <c r="H34" s="176">
        <v>12.586218929254303</v>
      </c>
      <c r="I34" s="176">
        <v>12.66682600382409</v>
      </c>
      <c r="J34" s="176">
        <v>10.939531548757166</v>
      </c>
      <c r="K34" s="176">
        <v>11.515296367112809</v>
      </c>
      <c r="L34" s="176">
        <v>11.227413957934989</v>
      </c>
      <c r="M34" s="176">
        <v>11.227413957934989</v>
      </c>
      <c r="N34" s="176">
        <v>12.66682600382409</v>
      </c>
      <c r="O34" s="176">
        <v>13.242590822179732</v>
      </c>
      <c r="P34" s="247">
        <v>144.53999999999996</v>
      </c>
      <c r="Q34" s="268">
        <f t="shared" si="6"/>
        <v>48.467882409177818</v>
      </c>
      <c r="T34" s="176">
        <v>0</v>
      </c>
      <c r="U34" s="176">
        <v>0</v>
      </c>
      <c r="V34" s="176">
        <v>0</v>
      </c>
      <c r="W34" s="176">
        <v>0</v>
      </c>
      <c r="X34" s="176">
        <v>0</v>
      </c>
      <c r="Y34" s="176">
        <v>0</v>
      </c>
      <c r="Z34" s="176">
        <v>0</v>
      </c>
      <c r="AA34" s="176">
        <v>0</v>
      </c>
      <c r="AB34" s="176">
        <v>0</v>
      </c>
      <c r="AC34" s="176">
        <v>0</v>
      </c>
      <c r="AD34" s="176">
        <v>0</v>
      </c>
      <c r="AE34" s="176">
        <v>0</v>
      </c>
      <c r="AF34" s="247">
        <v>0</v>
      </c>
      <c r="AG34" s="268">
        <f t="shared" si="7"/>
        <v>0</v>
      </c>
      <c r="AI34" s="180">
        <v>87.031599285714094</v>
      </c>
      <c r="AJ34" s="180">
        <v>11.912574091778202</v>
      </c>
      <c r="AK34" s="180">
        <v>13.21380258126195</v>
      </c>
      <c r="AL34" s="180">
        <v>11.774390535372847</v>
      </c>
      <c r="AM34" s="180">
        <v>11.567115200764816</v>
      </c>
      <c r="AN34" s="180">
        <v>12.586218929254303</v>
      </c>
      <c r="AO34" s="180">
        <v>12.66682600382409</v>
      </c>
      <c r="AP34" s="180">
        <v>10.939531548757166</v>
      </c>
      <c r="AQ34" s="180">
        <v>11.515296367112809</v>
      </c>
      <c r="AR34" s="180">
        <v>11.227413957934989</v>
      </c>
      <c r="AS34" s="180">
        <v>11.227413957934989</v>
      </c>
      <c r="AT34" s="180">
        <v>12.66682600382409</v>
      </c>
      <c r="AU34" s="180">
        <v>13.242590822179732</v>
      </c>
      <c r="AV34" s="247">
        <v>144.53999999999996</v>
      </c>
      <c r="AW34" s="268">
        <f t="shared" si="8"/>
        <v>48.467882409177818</v>
      </c>
    </row>
    <row r="35" spans="1:49" x14ac:dyDescent="0.3">
      <c r="A35" s="246">
        <v>3</v>
      </c>
      <c r="B35" s="246" t="s">
        <v>59</v>
      </c>
      <c r="C35" t="s">
        <v>124</v>
      </c>
      <c r="D35" s="176">
        <v>2.88</v>
      </c>
      <c r="E35" s="176">
        <v>4.32</v>
      </c>
      <c r="F35" s="176">
        <v>5.04</v>
      </c>
      <c r="G35" s="176">
        <v>5.76</v>
      </c>
      <c r="H35" s="176">
        <v>6.48</v>
      </c>
      <c r="I35" s="176">
        <v>7.2</v>
      </c>
      <c r="J35" s="176">
        <v>5.76</v>
      </c>
      <c r="K35" s="176">
        <v>6.48</v>
      </c>
      <c r="L35" s="176">
        <v>6.48</v>
      </c>
      <c r="M35" s="176">
        <v>5.76</v>
      </c>
      <c r="N35" s="176">
        <v>7.2</v>
      </c>
      <c r="O35" s="176">
        <v>8.64</v>
      </c>
      <c r="P35" s="247">
        <v>72</v>
      </c>
      <c r="Q35" s="268">
        <f t="shared" si="6"/>
        <v>18</v>
      </c>
      <c r="T35" s="176"/>
      <c r="U35" s="176"/>
      <c r="V35" s="176"/>
      <c r="W35" s="176"/>
      <c r="X35" s="176"/>
      <c r="Y35" s="176"/>
      <c r="Z35" s="176"/>
      <c r="AA35" s="176"/>
      <c r="AB35" s="176"/>
      <c r="AC35" s="176"/>
      <c r="AD35" s="176"/>
      <c r="AE35" s="176"/>
      <c r="AF35" s="247"/>
      <c r="AG35" s="268">
        <f t="shared" si="7"/>
        <v>0</v>
      </c>
      <c r="AI35" s="180">
        <v>3</v>
      </c>
      <c r="AJ35" s="180">
        <v>2.88</v>
      </c>
      <c r="AK35" s="180">
        <v>4.32</v>
      </c>
      <c r="AL35" s="180">
        <v>5.04</v>
      </c>
      <c r="AM35" s="180">
        <v>5.76</v>
      </c>
      <c r="AN35" s="180">
        <v>6.48</v>
      </c>
      <c r="AO35" s="180">
        <v>7.2</v>
      </c>
      <c r="AP35" s="180">
        <v>5.76</v>
      </c>
      <c r="AQ35" s="180">
        <v>6.48</v>
      </c>
      <c r="AR35" s="180">
        <v>6.48</v>
      </c>
      <c r="AS35" s="180">
        <v>5.76</v>
      </c>
      <c r="AT35" s="180">
        <v>7.2</v>
      </c>
      <c r="AU35" s="180">
        <v>8.64</v>
      </c>
      <c r="AV35" s="247">
        <v>72</v>
      </c>
      <c r="AW35" s="268">
        <f t="shared" si="8"/>
        <v>18</v>
      </c>
    </row>
    <row r="36" spans="1:49" x14ac:dyDescent="0.3">
      <c r="A36" s="246">
        <v>14.707657142857123</v>
      </c>
      <c r="B36" s="246" t="s">
        <v>59</v>
      </c>
      <c r="C36" t="s">
        <v>39</v>
      </c>
      <c r="D36" s="176">
        <v>4.68</v>
      </c>
      <c r="E36" s="176">
        <v>5.6159999999999997</v>
      </c>
      <c r="F36" s="176">
        <v>6.5519999999999996</v>
      </c>
      <c r="G36" s="176">
        <v>7.4905353728489477</v>
      </c>
      <c r="H36" s="176">
        <v>8.4239999999999977</v>
      </c>
      <c r="I36" s="176">
        <v>8.4239999999999977</v>
      </c>
      <c r="J36" s="176">
        <v>6.5519999999999996</v>
      </c>
      <c r="K36" s="176">
        <v>8.4239999999999977</v>
      </c>
      <c r="L36" s="176">
        <v>8.4239999999999977</v>
      </c>
      <c r="M36" s="176">
        <v>8.4239999999999977</v>
      </c>
      <c r="N36" s="176">
        <v>9.36</v>
      </c>
      <c r="O36" s="176">
        <v>11.231999999999999</v>
      </c>
      <c r="P36" s="247">
        <v>93.602535372848934</v>
      </c>
      <c r="Q36" s="268">
        <f t="shared" si="6"/>
        <v>24.338535372848945</v>
      </c>
      <c r="T36" s="176">
        <v>0</v>
      </c>
      <c r="U36" s="176">
        <v>0</v>
      </c>
      <c r="V36" s="176">
        <v>0</v>
      </c>
      <c r="W36" s="176">
        <v>0</v>
      </c>
      <c r="X36" s="176">
        <v>0</v>
      </c>
      <c r="Y36" s="176">
        <v>0</v>
      </c>
      <c r="Z36" s="176">
        <v>0</v>
      </c>
      <c r="AA36" s="176">
        <v>0</v>
      </c>
      <c r="AB36" s="176">
        <v>0</v>
      </c>
      <c r="AC36" s="176">
        <v>0</v>
      </c>
      <c r="AD36" s="176">
        <v>0</v>
      </c>
      <c r="AE36" s="176">
        <v>0</v>
      </c>
      <c r="AF36" s="247">
        <v>0</v>
      </c>
      <c r="AG36" s="268">
        <f t="shared" si="7"/>
        <v>0</v>
      </c>
      <c r="AI36" s="180">
        <v>14.707657142857123</v>
      </c>
      <c r="AJ36" s="180">
        <v>4.68</v>
      </c>
      <c r="AK36" s="180">
        <v>5.6159999999999997</v>
      </c>
      <c r="AL36" s="180">
        <v>6.5519999999999996</v>
      </c>
      <c r="AM36" s="180">
        <v>7.4905353728489477</v>
      </c>
      <c r="AN36" s="180">
        <v>8.4239999999999977</v>
      </c>
      <c r="AO36" s="180">
        <v>8.4239999999999977</v>
      </c>
      <c r="AP36" s="180">
        <v>6.5519999999999996</v>
      </c>
      <c r="AQ36" s="180">
        <v>8.4239999999999977</v>
      </c>
      <c r="AR36" s="180">
        <v>8.4239999999999977</v>
      </c>
      <c r="AS36" s="180">
        <v>8.4239999999999977</v>
      </c>
      <c r="AT36" s="180">
        <v>9.36</v>
      </c>
      <c r="AU36" s="180">
        <v>11.231999999999999</v>
      </c>
      <c r="AV36" s="247">
        <v>93.602535372848934</v>
      </c>
      <c r="AW36" s="268">
        <f t="shared" si="8"/>
        <v>24.338535372848945</v>
      </c>
    </row>
    <row r="37" spans="1:49" x14ac:dyDescent="0.3">
      <c r="A37" s="246">
        <v>98.932320714285481</v>
      </c>
      <c r="B37" s="246" t="s">
        <v>59</v>
      </c>
      <c r="C37" t="s">
        <v>16</v>
      </c>
      <c r="D37" s="176">
        <v>9.6428059273422573</v>
      </c>
      <c r="E37" s="176">
        <v>10.696104206500957</v>
      </c>
      <c r="F37" s="176">
        <v>9.5309512428298291</v>
      </c>
      <c r="G37" s="176">
        <v>9.3631692160611841</v>
      </c>
      <c r="H37" s="176">
        <v>10.188097514340345</v>
      </c>
      <c r="I37" s="176">
        <v>10.253346080305928</v>
      </c>
      <c r="J37" s="176">
        <v>8.8551625239005727</v>
      </c>
      <c r="K37" s="176">
        <v>9.3212237093690256</v>
      </c>
      <c r="L37" s="176">
        <v>9.0881931166347982</v>
      </c>
      <c r="M37" s="176">
        <v>9.0881931166347982</v>
      </c>
      <c r="N37" s="176">
        <v>10.253346080305928</v>
      </c>
      <c r="O37" s="176">
        <v>10.719407265774379</v>
      </c>
      <c r="P37" s="247">
        <v>117</v>
      </c>
      <c r="Q37" s="268">
        <f t="shared" si="6"/>
        <v>39.233030592734224</v>
      </c>
      <c r="T37" s="176">
        <v>0</v>
      </c>
      <c r="U37" s="176">
        <v>0</v>
      </c>
      <c r="V37" s="176">
        <v>0</v>
      </c>
      <c r="W37" s="176">
        <v>0</v>
      </c>
      <c r="X37" s="176">
        <v>0</v>
      </c>
      <c r="Y37" s="176">
        <v>0</v>
      </c>
      <c r="Z37" s="176">
        <v>0</v>
      </c>
      <c r="AA37" s="176">
        <v>0</v>
      </c>
      <c r="AB37" s="176">
        <v>0</v>
      </c>
      <c r="AC37" s="176">
        <v>0</v>
      </c>
      <c r="AD37" s="176">
        <v>0</v>
      </c>
      <c r="AE37" s="176">
        <v>0</v>
      </c>
      <c r="AF37" s="247">
        <v>0</v>
      </c>
      <c r="AG37" s="268">
        <f t="shared" si="7"/>
        <v>0</v>
      </c>
      <c r="AI37" s="180">
        <v>98.932320714285481</v>
      </c>
      <c r="AJ37" s="180">
        <v>9.6428059273422573</v>
      </c>
      <c r="AK37" s="180">
        <v>10.696104206500957</v>
      </c>
      <c r="AL37" s="180">
        <v>9.5309512428298291</v>
      </c>
      <c r="AM37" s="180">
        <v>9.3631692160611841</v>
      </c>
      <c r="AN37" s="180">
        <v>10.188097514340345</v>
      </c>
      <c r="AO37" s="180">
        <v>10.253346080305928</v>
      </c>
      <c r="AP37" s="180">
        <v>8.8551625239005727</v>
      </c>
      <c r="AQ37" s="180">
        <v>9.3212237093690256</v>
      </c>
      <c r="AR37" s="180">
        <v>9.0881931166347982</v>
      </c>
      <c r="AS37" s="180">
        <v>9.0881931166347982</v>
      </c>
      <c r="AT37" s="180">
        <v>10.253346080305928</v>
      </c>
      <c r="AU37" s="180">
        <v>10.719407265774379</v>
      </c>
      <c r="AV37" s="247">
        <v>117</v>
      </c>
      <c r="AW37" s="268">
        <f t="shared" si="8"/>
        <v>39.233030592734224</v>
      </c>
    </row>
    <row r="38" spans="1:49" x14ac:dyDescent="0.3">
      <c r="A38" s="248">
        <v>220.73493999999954</v>
      </c>
      <c r="B38" s="248"/>
      <c r="C38" s="203" t="s">
        <v>60</v>
      </c>
      <c r="D38" s="248">
        <v>33.795380019120458</v>
      </c>
      <c r="E38" s="248">
        <v>39.461906787762906</v>
      </c>
      <c r="F38" s="248">
        <v>39.44934177820268</v>
      </c>
      <c r="G38" s="248">
        <v>41.668819789674941</v>
      </c>
      <c r="H38" s="248">
        <v>46.102316443594646</v>
      </c>
      <c r="I38" s="248">
        <v>47.90417208413001</v>
      </c>
      <c r="J38" s="248">
        <v>39.594694072657738</v>
      </c>
      <c r="K38" s="248">
        <v>44.164520076481836</v>
      </c>
      <c r="L38" s="248">
        <v>43.643607074569786</v>
      </c>
      <c r="M38" s="248">
        <v>41.987607074569787</v>
      </c>
      <c r="N38" s="248">
        <v>48.840172084130018</v>
      </c>
      <c r="O38" s="248">
        <v>54.129998087954114</v>
      </c>
      <c r="P38" s="248">
        <v>520.74253537284892</v>
      </c>
      <c r="Q38" s="269"/>
      <c r="S38" s="248">
        <v>0</v>
      </c>
      <c r="T38" s="248">
        <v>0</v>
      </c>
      <c r="U38" s="248">
        <v>0</v>
      </c>
      <c r="V38" s="248">
        <v>0</v>
      </c>
      <c r="W38" s="248">
        <v>0</v>
      </c>
      <c r="X38" s="248">
        <v>0</v>
      </c>
      <c r="Y38" s="248">
        <v>0</v>
      </c>
      <c r="Z38" s="248">
        <v>0</v>
      </c>
      <c r="AA38" s="248">
        <v>0</v>
      </c>
      <c r="AB38" s="248">
        <v>0</v>
      </c>
      <c r="AC38" s="248">
        <v>0</v>
      </c>
      <c r="AD38" s="248">
        <v>0</v>
      </c>
      <c r="AE38" s="248">
        <v>0</v>
      </c>
      <c r="AF38" s="248">
        <v>0</v>
      </c>
      <c r="AG38" s="269"/>
      <c r="AI38" s="248">
        <v>220.73493999999954</v>
      </c>
      <c r="AJ38" s="248">
        <v>33.795380019120458</v>
      </c>
      <c r="AK38" s="248">
        <v>39.461906787762906</v>
      </c>
      <c r="AL38" s="248">
        <v>39.44934177820268</v>
      </c>
      <c r="AM38" s="248">
        <v>41.668819789674941</v>
      </c>
      <c r="AN38" s="248">
        <v>46.102316443594646</v>
      </c>
      <c r="AO38" s="248">
        <v>47.90417208413001</v>
      </c>
      <c r="AP38" s="248">
        <v>39.594694072657738</v>
      </c>
      <c r="AQ38" s="248">
        <v>44.164520076481836</v>
      </c>
      <c r="AR38" s="248">
        <v>43.643607074569786</v>
      </c>
      <c r="AS38" s="248">
        <v>41.987607074569787</v>
      </c>
      <c r="AT38" s="248">
        <v>48.840172084130018</v>
      </c>
      <c r="AU38" s="248">
        <v>54.129998087954114</v>
      </c>
      <c r="AV38" s="248">
        <v>520.74253537284892</v>
      </c>
      <c r="AW38" s="269"/>
    </row>
    <row r="39" spans="1:49" x14ac:dyDescent="0.3">
      <c r="A39" s="248">
        <v>3463.5743796928382</v>
      </c>
      <c r="B39" s="248"/>
      <c r="C39" s="203" t="s">
        <v>125</v>
      </c>
      <c r="D39" s="248">
        <v>350.66598767102056</v>
      </c>
      <c r="E39" s="248">
        <v>395.11958912121338</v>
      </c>
      <c r="F39" s="248">
        <v>374.087500218076</v>
      </c>
      <c r="G39" s="248">
        <v>378.3117466440288</v>
      </c>
      <c r="H39" s="248">
        <v>410.70580051862498</v>
      </c>
      <c r="I39" s="248">
        <v>422.63450233368371</v>
      </c>
      <c r="J39" s="248">
        <v>351.8131140296972</v>
      </c>
      <c r="K39" s="248">
        <v>379.87889946103246</v>
      </c>
      <c r="L39" s="248">
        <v>371.70004748904239</v>
      </c>
      <c r="M39" s="248">
        <v>370.04404748904238</v>
      </c>
      <c r="N39" s="248">
        <v>422.76574273368379</v>
      </c>
      <c r="O39" s="248">
        <v>460.16737760296689</v>
      </c>
      <c r="P39" s="248">
        <v>4687.8943553121126</v>
      </c>
      <c r="Q39" s="269"/>
      <c r="S39" s="248">
        <v>2391.5131441857116</v>
      </c>
      <c r="T39" s="248">
        <v>242.1908068003053</v>
      </c>
      <c r="U39" s="248">
        <v>286.23523392537697</v>
      </c>
      <c r="V39" s="248">
        <v>281.85466056911491</v>
      </c>
      <c r="W39" s="248">
        <v>298.21486468773753</v>
      </c>
      <c r="X39" s="248">
        <v>317.85487595289538</v>
      </c>
      <c r="Y39" s="248">
        <v>337.63519574920628</v>
      </c>
      <c r="Z39" s="248">
        <v>280.70693609055121</v>
      </c>
      <c r="AA39" s="248">
        <v>304.44445542118603</v>
      </c>
      <c r="AB39" s="248">
        <v>300.02775790087122</v>
      </c>
      <c r="AC39" s="248">
        <v>300.14775790087123</v>
      </c>
      <c r="AD39" s="248">
        <v>351.42412783569387</v>
      </c>
      <c r="AE39" s="248">
        <v>375.16164716632875</v>
      </c>
      <c r="AF39" s="248">
        <v>3675.8983200001376</v>
      </c>
      <c r="AG39" s="269"/>
      <c r="AI39" s="248">
        <v>5855.0875238785502</v>
      </c>
      <c r="AJ39" s="248">
        <v>592.85679447132588</v>
      </c>
      <c r="AK39" s="248">
        <v>681.35482304659024</v>
      </c>
      <c r="AL39" s="248">
        <v>655.9421607871908</v>
      </c>
      <c r="AM39" s="248">
        <v>676.52661133176639</v>
      </c>
      <c r="AN39" s="248">
        <v>728.56067647152054</v>
      </c>
      <c r="AO39" s="248">
        <v>760.26969808289016</v>
      </c>
      <c r="AP39" s="248">
        <v>632.52005012024836</v>
      </c>
      <c r="AQ39" s="248">
        <v>684.3233548822185</v>
      </c>
      <c r="AR39" s="248">
        <v>671.72780538991367</v>
      </c>
      <c r="AS39" s="248">
        <v>670.19180538991372</v>
      </c>
      <c r="AT39" s="248">
        <v>774.18987056937772</v>
      </c>
      <c r="AU39" s="248">
        <v>835.32902476929564</v>
      </c>
      <c r="AV39" s="248">
        <v>8363.7926753122501</v>
      </c>
      <c r="AW39" s="269"/>
    </row>
    <row r="40" spans="1:49" x14ac:dyDescent="0.3">
      <c r="A40" s="180">
        <v>2.9999999999995453</v>
      </c>
      <c r="B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0"/>
      <c r="S40" s="176">
        <v>0.6815599999999904</v>
      </c>
      <c r="T40" s="180"/>
      <c r="U40" s="180"/>
      <c r="V40" s="180"/>
      <c r="W40" s="180"/>
      <c r="X40" s="180"/>
      <c r="Y40" s="180"/>
      <c r="Z40" s="180"/>
      <c r="AA40" s="180"/>
      <c r="AB40" s="180"/>
      <c r="AC40" s="180"/>
      <c r="AD40" s="180"/>
      <c r="AE40" s="180"/>
      <c r="AF40" s="180"/>
      <c r="AJ40" s="180"/>
      <c r="AK40" s="180"/>
      <c r="AL40" s="180"/>
      <c r="AM40" s="180"/>
      <c r="AN40" s="180"/>
      <c r="AO40" s="180"/>
      <c r="AP40" s="180"/>
      <c r="AQ40" s="180"/>
      <c r="AR40" s="180"/>
      <c r="AS40" s="180"/>
      <c r="AT40" s="180"/>
      <c r="AU40" s="180"/>
      <c r="AV40" s="180"/>
    </row>
    <row r="41" spans="1:49" x14ac:dyDescent="0.3">
      <c r="C41" s="241" t="s">
        <v>126</v>
      </c>
    </row>
    <row r="42" spans="1:49" x14ac:dyDescent="0.3">
      <c r="C42" s="192"/>
    </row>
    <row r="43" spans="1:49" x14ac:dyDescent="0.3">
      <c r="C43" s="192" t="s">
        <v>56</v>
      </c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176"/>
      <c r="P43" s="247"/>
      <c r="Q43" s="270"/>
      <c r="AG43" s="270"/>
      <c r="AW43" s="270"/>
    </row>
    <row r="44" spans="1:49" x14ac:dyDescent="0.3">
      <c r="B44" s="246" t="s">
        <v>56</v>
      </c>
      <c r="C44" t="s">
        <v>127</v>
      </c>
      <c r="D44" s="176">
        <v>0</v>
      </c>
      <c r="E44" s="176">
        <v>2.64</v>
      </c>
      <c r="F44" s="176">
        <v>3.96</v>
      </c>
      <c r="G44" s="176">
        <v>5.28</v>
      </c>
      <c r="H44" s="176">
        <v>6.6000000000000005</v>
      </c>
      <c r="I44" s="176">
        <v>6.6000000000000005</v>
      </c>
      <c r="J44" s="176">
        <v>6.6000000000000005</v>
      </c>
      <c r="K44" s="176">
        <v>6.6000000000000005</v>
      </c>
      <c r="L44" s="176">
        <v>5.9399999999999995</v>
      </c>
      <c r="M44" s="176">
        <v>5.9399999999999995</v>
      </c>
      <c r="N44" s="176">
        <v>7.92</v>
      </c>
      <c r="O44" s="176">
        <v>7.92</v>
      </c>
      <c r="P44" s="247">
        <v>66</v>
      </c>
      <c r="Q44" s="270">
        <f t="shared" ref="Q44:Q54" si="9">SUMIF($D$2:$O$2,$Q$3,D44:O44)</f>
        <v>11.879999999999999</v>
      </c>
      <c r="T44" s="176">
        <v>0</v>
      </c>
      <c r="U44" s="176">
        <v>0</v>
      </c>
      <c r="V44" s="176">
        <v>0</v>
      </c>
      <c r="W44" s="176">
        <v>0</v>
      </c>
      <c r="X44" s="176">
        <v>0</v>
      </c>
      <c r="Y44" s="176">
        <v>0</v>
      </c>
      <c r="Z44" s="176">
        <v>0</v>
      </c>
      <c r="AA44" s="176">
        <v>0</v>
      </c>
      <c r="AB44" s="176">
        <v>0</v>
      </c>
      <c r="AC44" s="176">
        <v>0</v>
      </c>
      <c r="AD44" s="176">
        <v>0</v>
      </c>
      <c r="AE44" s="176">
        <v>0</v>
      </c>
      <c r="AF44" s="247">
        <v>0</v>
      </c>
      <c r="AG44" s="270">
        <f t="shared" ref="AG44:AG54" si="10">SUMIF($T$2:$AE$2,$AG$3,T44:AE44)</f>
        <v>0</v>
      </c>
      <c r="AJ44" s="180">
        <v>0</v>
      </c>
      <c r="AK44" s="180">
        <v>2.64</v>
      </c>
      <c r="AL44" s="180">
        <v>3.96</v>
      </c>
      <c r="AM44" s="180">
        <v>5.28</v>
      </c>
      <c r="AN44" s="180">
        <v>6.6000000000000005</v>
      </c>
      <c r="AO44" s="180">
        <v>6.6000000000000005</v>
      </c>
      <c r="AP44" s="180">
        <v>6.6000000000000005</v>
      </c>
      <c r="AQ44" s="180">
        <v>6.6000000000000005</v>
      </c>
      <c r="AR44" s="180">
        <v>5.9399999999999995</v>
      </c>
      <c r="AS44" s="180">
        <v>5.9399999999999995</v>
      </c>
      <c r="AT44" s="180">
        <v>7.92</v>
      </c>
      <c r="AU44" s="180">
        <v>7.92</v>
      </c>
      <c r="AV44" s="247">
        <v>66</v>
      </c>
      <c r="AW44" s="270">
        <f t="shared" ref="AW44:AW54" si="11">Q44+AG44</f>
        <v>11.879999999999999</v>
      </c>
    </row>
    <row r="45" spans="1:49" x14ac:dyDescent="0.3">
      <c r="B45" s="246" t="s">
        <v>56</v>
      </c>
      <c r="C45" t="s">
        <v>128</v>
      </c>
      <c r="D45" s="176">
        <v>0</v>
      </c>
      <c r="E45" s="176">
        <v>0</v>
      </c>
      <c r="F45" s="176">
        <v>3.6</v>
      </c>
      <c r="G45" s="176">
        <v>4.8</v>
      </c>
      <c r="H45" s="176">
        <v>6</v>
      </c>
      <c r="I45" s="176">
        <v>6</v>
      </c>
      <c r="J45" s="176">
        <v>7.2</v>
      </c>
      <c r="K45" s="176">
        <v>7.2</v>
      </c>
      <c r="L45" s="176">
        <v>5.3999999999999995</v>
      </c>
      <c r="M45" s="176">
        <v>5.3999999999999995</v>
      </c>
      <c r="N45" s="176">
        <v>7.2</v>
      </c>
      <c r="O45" s="176">
        <v>7.2</v>
      </c>
      <c r="P45" s="247">
        <v>60</v>
      </c>
      <c r="Q45" s="270">
        <f t="shared" si="9"/>
        <v>8.4</v>
      </c>
      <c r="T45" s="176">
        <v>0</v>
      </c>
      <c r="U45" s="176">
        <v>0</v>
      </c>
      <c r="V45" s="176">
        <v>0</v>
      </c>
      <c r="W45" s="176">
        <v>0</v>
      </c>
      <c r="X45" s="176">
        <v>0</v>
      </c>
      <c r="Y45" s="176">
        <v>0</v>
      </c>
      <c r="Z45" s="176">
        <v>0</v>
      </c>
      <c r="AA45" s="176">
        <v>0</v>
      </c>
      <c r="AB45" s="176">
        <v>0</v>
      </c>
      <c r="AC45" s="176">
        <v>0</v>
      </c>
      <c r="AD45" s="176">
        <v>0</v>
      </c>
      <c r="AE45" s="176">
        <v>0</v>
      </c>
      <c r="AF45" s="247">
        <v>0</v>
      </c>
      <c r="AG45" s="270">
        <f t="shared" si="10"/>
        <v>0</v>
      </c>
      <c r="AJ45" s="180">
        <v>0</v>
      </c>
      <c r="AK45" s="180">
        <v>0</v>
      </c>
      <c r="AL45" s="180">
        <v>3.6</v>
      </c>
      <c r="AM45" s="180">
        <v>4.8</v>
      </c>
      <c r="AN45" s="180">
        <v>6</v>
      </c>
      <c r="AO45" s="180">
        <v>6</v>
      </c>
      <c r="AP45" s="180">
        <v>7.2</v>
      </c>
      <c r="AQ45" s="180">
        <v>7.2</v>
      </c>
      <c r="AR45" s="180">
        <v>5.3999999999999995</v>
      </c>
      <c r="AS45" s="180">
        <v>5.3999999999999995</v>
      </c>
      <c r="AT45" s="180">
        <v>7.2</v>
      </c>
      <c r="AU45" s="180">
        <v>7.2</v>
      </c>
      <c r="AV45" s="247">
        <v>60</v>
      </c>
      <c r="AW45" s="270">
        <f t="shared" si="11"/>
        <v>8.4</v>
      </c>
    </row>
    <row r="46" spans="1:49" x14ac:dyDescent="0.3">
      <c r="B46" s="246" t="s">
        <v>56</v>
      </c>
      <c r="C46" t="s">
        <v>129</v>
      </c>
      <c r="D46" s="176">
        <v>0</v>
      </c>
      <c r="E46" s="176">
        <v>0</v>
      </c>
      <c r="F46" s="176">
        <v>0</v>
      </c>
      <c r="G46" s="176">
        <v>0</v>
      </c>
      <c r="H46" s="176">
        <v>0</v>
      </c>
      <c r="I46" s="176">
        <v>4.32</v>
      </c>
      <c r="J46" s="176">
        <v>5.4</v>
      </c>
      <c r="K46" s="176">
        <v>6.48</v>
      </c>
      <c r="L46" s="176">
        <v>8.1</v>
      </c>
      <c r="M46" s="176">
        <v>9.1800000000000015</v>
      </c>
      <c r="N46" s="176">
        <v>9.7200000000000006</v>
      </c>
      <c r="O46" s="176">
        <v>10.8</v>
      </c>
      <c r="P46" s="247">
        <v>54</v>
      </c>
      <c r="Q46" s="270">
        <f t="shared" si="9"/>
        <v>0</v>
      </c>
      <c r="T46" s="176">
        <v>0</v>
      </c>
      <c r="U46" s="176">
        <v>0</v>
      </c>
      <c r="V46" s="176">
        <v>0</v>
      </c>
      <c r="W46" s="176">
        <v>0</v>
      </c>
      <c r="X46" s="176">
        <v>0</v>
      </c>
      <c r="Y46" s="176">
        <v>0</v>
      </c>
      <c r="Z46" s="176">
        <v>0</v>
      </c>
      <c r="AA46" s="176">
        <v>0</v>
      </c>
      <c r="AB46" s="176">
        <v>0</v>
      </c>
      <c r="AC46" s="176">
        <v>0</v>
      </c>
      <c r="AD46" s="176">
        <v>0</v>
      </c>
      <c r="AE46" s="176">
        <v>0</v>
      </c>
      <c r="AF46" s="247">
        <v>0</v>
      </c>
      <c r="AG46" s="270">
        <f t="shared" si="10"/>
        <v>0</v>
      </c>
      <c r="AJ46" s="180">
        <v>0</v>
      </c>
      <c r="AK46" s="180">
        <v>0</v>
      </c>
      <c r="AL46" s="180">
        <v>0</v>
      </c>
      <c r="AM46" s="180">
        <v>0</v>
      </c>
      <c r="AN46" s="180">
        <v>0</v>
      </c>
      <c r="AO46" s="180">
        <v>4.32</v>
      </c>
      <c r="AP46" s="180">
        <v>5.4</v>
      </c>
      <c r="AQ46" s="180">
        <v>6.48</v>
      </c>
      <c r="AR46" s="180">
        <v>8.1</v>
      </c>
      <c r="AS46" s="180">
        <v>9.1800000000000015</v>
      </c>
      <c r="AT46" s="180">
        <v>9.7200000000000006</v>
      </c>
      <c r="AU46" s="180">
        <v>10.8</v>
      </c>
      <c r="AV46" s="247">
        <v>54</v>
      </c>
      <c r="AW46" s="270">
        <f t="shared" si="11"/>
        <v>0</v>
      </c>
    </row>
    <row r="47" spans="1:49" x14ac:dyDescent="0.3">
      <c r="B47" s="246" t="s">
        <v>56</v>
      </c>
      <c r="C47" t="s">
        <v>130</v>
      </c>
      <c r="D47" s="176">
        <v>0</v>
      </c>
      <c r="E47" s="176">
        <v>0</v>
      </c>
      <c r="F47" s="176">
        <v>0</v>
      </c>
      <c r="G47" s="176">
        <v>0</v>
      </c>
      <c r="H47" s="176">
        <v>0</v>
      </c>
      <c r="I47" s="176">
        <v>3.3600000000000003</v>
      </c>
      <c r="J47" s="176">
        <v>4.2</v>
      </c>
      <c r="K47" s="176">
        <v>5.0399999999999991</v>
      </c>
      <c r="L47" s="176">
        <v>6.2999999999999989</v>
      </c>
      <c r="M47" s="176">
        <v>7.1400000000000006</v>
      </c>
      <c r="N47" s="176">
        <v>7.56</v>
      </c>
      <c r="O47" s="176">
        <v>8.4</v>
      </c>
      <c r="P47" s="247">
        <v>42</v>
      </c>
      <c r="Q47" s="270">
        <f t="shared" si="9"/>
        <v>0</v>
      </c>
      <c r="T47" s="176">
        <v>0</v>
      </c>
      <c r="U47" s="176">
        <v>0</v>
      </c>
      <c r="V47" s="176">
        <v>0</v>
      </c>
      <c r="W47" s="176">
        <v>0</v>
      </c>
      <c r="X47" s="176">
        <v>0</v>
      </c>
      <c r="Y47" s="176">
        <v>0</v>
      </c>
      <c r="Z47" s="176">
        <v>0</v>
      </c>
      <c r="AA47" s="176">
        <v>0</v>
      </c>
      <c r="AB47" s="176">
        <v>0</v>
      </c>
      <c r="AC47" s="176">
        <v>0</v>
      </c>
      <c r="AD47" s="176">
        <v>0</v>
      </c>
      <c r="AE47" s="176">
        <v>0</v>
      </c>
      <c r="AF47" s="247">
        <v>0</v>
      </c>
      <c r="AG47" s="270">
        <f t="shared" si="10"/>
        <v>0</v>
      </c>
      <c r="AJ47" s="180">
        <v>0</v>
      </c>
      <c r="AK47" s="180">
        <v>0</v>
      </c>
      <c r="AL47" s="180">
        <v>0</v>
      </c>
      <c r="AM47" s="180">
        <v>0</v>
      </c>
      <c r="AN47" s="180">
        <v>0</v>
      </c>
      <c r="AO47" s="180">
        <v>3.3600000000000003</v>
      </c>
      <c r="AP47" s="180">
        <v>4.2</v>
      </c>
      <c r="AQ47" s="180">
        <v>5.0399999999999991</v>
      </c>
      <c r="AR47" s="180">
        <v>6.2999999999999989</v>
      </c>
      <c r="AS47" s="180">
        <v>7.1400000000000006</v>
      </c>
      <c r="AT47" s="180">
        <v>7.56</v>
      </c>
      <c r="AU47" s="180">
        <v>8.4</v>
      </c>
      <c r="AV47" s="247">
        <v>42</v>
      </c>
      <c r="AW47" s="270">
        <f t="shared" si="11"/>
        <v>0</v>
      </c>
    </row>
    <row r="48" spans="1:49" x14ac:dyDescent="0.3">
      <c r="B48" s="246" t="s">
        <v>56</v>
      </c>
      <c r="C48" t="s">
        <v>131</v>
      </c>
      <c r="D48" s="176">
        <v>0</v>
      </c>
      <c r="E48" s="176">
        <v>0</v>
      </c>
      <c r="F48" s="176">
        <v>0</v>
      </c>
      <c r="G48" s="176">
        <v>0</v>
      </c>
      <c r="H48" s="176">
        <v>0</v>
      </c>
      <c r="I48" s="176">
        <v>0</v>
      </c>
      <c r="J48" s="176">
        <v>3.6</v>
      </c>
      <c r="K48" s="176">
        <v>3.6</v>
      </c>
      <c r="L48" s="176">
        <v>5.3999999999999995</v>
      </c>
      <c r="M48" s="176">
        <v>7.2</v>
      </c>
      <c r="N48" s="176">
        <v>7.2</v>
      </c>
      <c r="O48" s="176">
        <v>9</v>
      </c>
      <c r="P48" s="247">
        <v>36</v>
      </c>
      <c r="Q48" s="270">
        <f t="shared" si="9"/>
        <v>0</v>
      </c>
      <c r="T48" s="176">
        <v>0</v>
      </c>
      <c r="U48" s="176">
        <v>0</v>
      </c>
      <c r="V48" s="176">
        <v>0</v>
      </c>
      <c r="W48" s="176">
        <v>0</v>
      </c>
      <c r="X48" s="176">
        <v>0</v>
      </c>
      <c r="Y48" s="176">
        <v>0</v>
      </c>
      <c r="Z48" s="176">
        <v>0</v>
      </c>
      <c r="AA48" s="176">
        <v>0</v>
      </c>
      <c r="AB48" s="176">
        <v>0</v>
      </c>
      <c r="AC48" s="176">
        <v>0</v>
      </c>
      <c r="AD48" s="176">
        <v>0</v>
      </c>
      <c r="AE48" s="176">
        <v>0</v>
      </c>
      <c r="AF48" s="247">
        <v>0</v>
      </c>
      <c r="AG48" s="270">
        <f t="shared" si="10"/>
        <v>0</v>
      </c>
      <c r="AJ48" s="180">
        <v>0</v>
      </c>
      <c r="AK48" s="180">
        <v>0</v>
      </c>
      <c r="AL48" s="180">
        <v>0</v>
      </c>
      <c r="AM48" s="180">
        <v>0</v>
      </c>
      <c r="AN48" s="180">
        <v>0</v>
      </c>
      <c r="AO48" s="180">
        <v>0</v>
      </c>
      <c r="AP48" s="180">
        <v>3.6</v>
      </c>
      <c r="AQ48" s="180">
        <v>3.6</v>
      </c>
      <c r="AR48" s="180">
        <v>5.3999999999999995</v>
      </c>
      <c r="AS48" s="180">
        <v>7.2</v>
      </c>
      <c r="AT48" s="180">
        <v>7.2</v>
      </c>
      <c r="AU48" s="180">
        <v>9</v>
      </c>
      <c r="AV48" s="247">
        <v>36</v>
      </c>
      <c r="AW48" s="270">
        <f t="shared" si="11"/>
        <v>0</v>
      </c>
    </row>
    <row r="49" spans="2:49" x14ac:dyDescent="0.3">
      <c r="B49" s="246" t="s">
        <v>56</v>
      </c>
      <c r="C49" t="s">
        <v>132</v>
      </c>
      <c r="D49" s="176">
        <v>0</v>
      </c>
      <c r="E49" s="176">
        <v>0</v>
      </c>
      <c r="F49" s="176">
        <v>0</v>
      </c>
      <c r="G49" s="176">
        <v>0</v>
      </c>
      <c r="H49" s="176">
        <v>0</v>
      </c>
      <c r="I49" s="176">
        <v>0</v>
      </c>
      <c r="J49" s="176">
        <v>0</v>
      </c>
      <c r="K49" s="176">
        <v>3</v>
      </c>
      <c r="L49" s="176">
        <v>6</v>
      </c>
      <c r="M49" s="176">
        <v>6</v>
      </c>
      <c r="N49" s="176">
        <v>7.5</v>
      </c>
      <c r="O49" s="176">
        <v>7.5</v>
      </c>
      <c r="P49" s="247">
        <v>30</v>
      </c>
      <c r="Q49" s="270">
        <f t="shared" si="9"/>
        <v>0</v>
      </c>
      <c r="T49" s="176">
        <v>0</v>
      </c>
      <c r="U49" s="176">
        <v>0</v>
      </c>
      <c r="V49" s="176">
        <v>0</v>
      </c>
      <c r="W49" s="176">
        <v>0</v>
      </c>
      <c r="X49" s="176">
        <v>0</v>
      </c>
      <c r="Y49" s="176">
        <v>0</v>
      </c>
      <c r="Z49" s="176">
        <v>0</v>
      </c>
      <c r="AA49" s="176">
        <v>0</v>
      </c>
      <c r="AB49" s="176">
        <v>0</v>
      </c>
      <c r="AC49" s="176">
        <v>0</v>
      </c>
      <c r="AD49" s="176">
        <v>0</v>
      </c>
      <c r="AE49" s="176">
        <v>0</v>
      </c>
      <c r="AF49" s="247">
        <v>0</v>
      </c>
      <c r="AG49" s="270">
        <f t="shared" si="10"/>
        <v>0</v>
      </c>
      <c r="AJ49" s="180">
        <v>0</v>
      </c>
      <c r="AK49" s="180">
        <v>0</v>
      </c>
      <c r="AL49" s="180">
        <v>0</v>
      </c>
      <c r="AM49" s="180">
        <v>0</v>
      </c>
      <c r="AN49" s="180">
        <v>0</v>
      </c>
      <c r="AO49" s="180">
        <v>0</v>
      </c>
      <c r="AP49" s="180">
        <v>0</v>
      </c>
      <c r="AQ49" s="180">
        <v>3</v>
      </c>
      <c r="AR49" s="180">
        <v>6</v>
      </c>
      <c r="AS49" s="180">
        <v>6</v>
      </c>
      <c r="AT49" s="180">
        <v>7.5</v>
      </c>
      <c r="AU49" s="180">
        <v>7.5</v>
      </c>
      <c r="AV49" s="247">
        <v>30</v>
      </c>
      <c r="AW49" s="270">
        <f t="shared" si="11"/>
        <v>0</v>
      </c>
    </row>
    <row r="50" spans="2:49" x14ac:dyDescent="0.3">
      <c r="B50" s="246" t="s">
        <v>56</v>
      </c>
      <c r="C50" t="s">
        <v>133</v>
      </c>
      <c r="D50" s="176">
        <v>0</v>
      </c>
      <c r="E50" s="176">
        <v>0</v>
      </c>
      <c r="F50" s="176">
        <v>0</v>
      </c>
      <c r="G50" s="176">
        <v>0</v>
      </c>
      <c r="H50" s="176">
        <v>0</v>
      </c>
      <c r="I50" s="176">
        <v>0</v>
      </c>
      <c r="J50" s="176">
        <v>0</v>
      </c>
      <c r="K50" s="176">
        <v>0</v>
      </c>
      <c r="L50" s="176">
        <v>3.5999999999999996</v>
      </c>
      <c r="M50" s="176">
        <v>6</v>
      </c>
      <c r="N50" s="176">
        <v>6</v>
      </c>
      <c r="O50" s="176">
        <v>8.3999999999999986</v>
      </c>
      <c r="P50" s="247">
        <v>24</v>
      </c>
      <c r="Q50" s="270">
        <f t="shared" si="9"/>
        <v>0</v>
      </c>
      <c r="T50" s="176">
        <v>0</v>
      </c>
      <c r="U50" s="176">
        <v>0</v>
      </c>
      <c r="V50" s="176">
        <v>0</v>
      </c>
      <c r="W50" s="176">
        <v>0</v>
      </c>
      <c r="X50" s="176">
        <v>0</v>
      </c>
      <c r="Y50" s="176">
        <v>0</v>
      </c>
      <c r="Z50" s="176">
        <v>0</v>
      </c>
      <c r="AA50" s="176">
        <v>0</v>
      </c>
      <c r="AB50" s="176">
        <v>0</v>
      </c>
      <c r="AC50" s="176">
        <v>0</v>
      </c>
      <c r="AD50" s="176">
        <v>0</v>
      </c>
      <c r="AE50" s="176">
        <v>0</v>
      </c>
      <c r="AF50" s="247">
        <v>0</v>
      </c>
      <c r="AG50" s="270">
        <f t="shared" si="10"/>
        <v>0</v>
      </c>
      <c r="AJ50" s="180">
        <v>0</v>
      </c>
      <c r="AK50" s="180">
        <v>0</v>
      </c>
      <c r="AL50" s="180">
        <v>0</v>
      </c>
      <c r="AM50" s="180">
        <v>0</v>
      </c>
      <c r="AN50" s="180">
        <v>0</v>
      </c>
      <c r="AO50" s="180">
        <v>0</v>
      </c>
      <c r="AP50" s="180">
        <v>0</v>
      </c>
      <c r="AQ50" s="180">
        <v>0</v>
      </c>
      <c r="AR50" s="180">
        <v>3.5999999999999996</v>
      </c>
      <c r="AS50" s="180">
        <v>6</v>
      </c>
      <c r="AT50" s="180">
        <v>6</v>
      </c>
      <c r="AU50" s="180">
        <v>8.3999999999999986</v>
      </c>
      <c r="AV50" s="247">
        <v>24</v>
      </c>
      <c r="AW50" s="270">
        <f t="shared" si="11"/>
        <v>0</v>
      </c>
    </row>
    <row r="51" spans="2:49" x14ac:dyDescent="0.3">
      <c r="B51" s="246" t="s">
        <v>56</v>
      </c>
      <c r="C51" t="s">
        <v>134</v>
      </c>
      <c r="D51" s="176">
        <v>0</v>
      </c>
      <c r="E51" s="176">
        <v>0</v>
      </c>
      <c r="F51" s="176">
        <v>0</v>
      </c>
      <c r="G51" s="176">
        <v>0</v>
      </c>
      <c r="H51" s="176">
        <v>0</v>
      </c>
      <c r="I51" s="176">
        <v>0</v>
      </c>
      <c r="J51" s="176">
        <v>0</v>
      </c>
      <c r="K51" s="176">
        <v>0</v>
      </c>
      <c r="L51" s="176">
        <v>0</v>
      </c>
      <c r="M51" s="176">
        <v>4.5</v>
      </c>
      <c r="N51" s="176">
        <v>5.76</v>
      </c>
      <c r="O51" s="176">
        <v>7.74</v>
      </c>
      <c r="P51" s="247">
        <v>18</v>
      </c>
      <c r="Q51" s="270">
        <f t="shared" si="9"/>
        <v>0</v>
      </c>
      <c r="T51" s="176">
        <v>0</v>
      </c>
      <c r="U51" s="176">
        <v>0</v>
      </c>
      <c r="V51" s="176">
        <v>0</v>
      </c>
      <c r="W51" s="176">
        <v>0</v>
      </c>
      <c r="X51" s="176">
        <v>0</v>
      </c>
      <c r="Y51" s="176">
        <v>0</v>
      </c>
      <c r="Z51" s="176">
        <v>0</v>
      </c>
      <c r="AA51" s="176">
        <v>0</v>
      </c>
      <c r="AB51" s="176">
        <v>0</v>
      </c>
      <c r="AC51" s="176">
        <v>0</v>
      </c>
      <c r="AD51" s="176">
        <v>0</v>
      </c>
      <c r="AE51" s="176">
        <v>0</v>
      </c>
      <c r="AF51" s="247">
        <v>0</v>
      </c>
      <c r="AG51" s="270">
        <f t="shared" si="10"/>
        <v>0</v>
      </c>
      <c r="AJ51" s="180">
        <v>0</v>
      </c>
      <c r="AK51" s="180">
        <v>0</v>
      </c>
      <c r="AL51" s="180">
        <v>0</v>
      </c>
      <c r="AM51" s="180">
        <v>0</v>
      </c>
      <c r="AN51" s="180">
        <v>0</v>
      </c>
      <c r="AO51" s="180">
        <v>0</v>
      </c>
      <c r="AP51" s="180">
        <v>0</v>
      </c>
      <c r="AQ51" s="180">
        <v>0</v>
      </c>
      <c r="AR51" s="180">
        <v>0</v>
      </c>
      <c r="AS51" s="180">
        <v>4.5</v>
      </c>
      <c r="AT51" s="180">
        <v>5.76</v>
      </c>
      <c r="AU51" s="180">
        <v>7.74</v>
      </c>
      <c r="AV51" s="247">
        <v>18</v>
      </c>
      <c r="AW51" s="270">
        <f t="shared" si="11"/>
        <v>0</v>
      </c>
    </row>
    <row r="52" spans="2:49" x14ac:dyDescent="0.3">
      <c r="B52" s="246" t="s">
        <v>56</v>
      </c>
      <c r="C52" t="s">
        <v>135</v>
      </c>
      <c r="D52" s="176">
        <v>0</v>
      </c>
      <c r="E52" s="176">
        <v>0</v>
      </c>
      <c r="F52" s="176">
        <v>0</v>
      </c>
      <c r="G52" s="176">
        <v>0</v>
      </c>
      <c r="H52" s="176">
        <v>0</v>
      </c>
      <c r="I52" s="176">
        <v>0</v>
      </c>
      <c r="J52" s="176">
        <v>0</v>
      </c>
      <c r="K52" s="176">
        <v>0</v>
      </c>
      <c r="L52" s="176">
        <v>0</v>
      </c>
      <c r="M52" s="176">
        <v>4.5</v>
      </c>
      <c r="N52" s="176">
        <v>5.76</v>
      </c>
      <c r="O52" s="176">
        <v>7.74</v>
      </c>
      <c r="P52" s="247">
        <v>18</v>
      </c>
      <c r="Q52" s="270">
        <f t="shared" si="9"/>
        <v>0</v>
      </c>
      <c r="T52" s="176">
        <v>0</v>
      </c>
      <c r="U52" s="176">
        <v>0</v>
      </c>
      <c r="V52" s="176">
        <v>0</v>
      </c>
      <c r="W52" s="176">
        <v>0</v>
      </c>
      <c r="X52" s="176">
        <v>0</v>
      </c>
      <c r="Y52" s="176">
        <v>0</v>
      </c>
      <c r="Z52" s="176">
        <v>0</v>
      </c>
      <c r="AA52" s="176">
        <v>0</v>
      </c>
      <c r="AB52" s="176">
        <v>0</v>
      </c>
      <c r="AC52" s="176">
        <v>0</v>
      </c>
      <c r="AD52" s="176">
        <v>0</v>
      </c>
      <c r="AE52" s="176">
        <v>0</v>
      </c>
      <c r="AF52" s="247">
        <v>0</v>
      </c>
      <c r="AG52" s="270">
        <f t="shared" si="10"/>
        <v>0</v>
      </c>
      <c r="AJ52" s="180">
        <v>0</v>
      </c>
      <c r="AK52" s="180">
        <v>0</v>
      </c>
      <c r="AL52" s="180">
        <v>0</v>
      </c>
      <c r="AM52" s="180">
        <v>0</v>
      </c>
      <c r="AN52" s="180">
        <v>0</v>
      </c>
      <c r="AO52" s="180">
        <v>0</v>
      </c>
      <c r="AP52" s="180">
        <v>0</v>
      </c>
      <c r="AQ52" s="180">
        <v>0</v>
      </c>
      <c r="AR52" s="180">
        <v>0</v>
      </c>
      <c r="AS52" s="180">
        <v>4.5</v>
      </c>
      <c r="AT52" s="180">
        <v>5.76</v>
      </c>
      <c r="AU52" s="180">
        <v>7.74</v>
      </c>
      <c r="AV52" s="247">
        <v>18</v>
      </c>
      <c r="AW52" s="270">
        <f t="shared" si="11"/>
        <v>0</v>
      </c>
    </row>
    <row r="53" spans="2:49" x14ac:dyDescent="0.3">
      <c r="B53" s="246" t="s">
        <v>56</v>
      </c>
      <c r="C53" t="s">
        <v>136</v>
      </c>
      <c r="D53" s="176">
        <v>0</v>
      </c>
      <c r="E53" s="176">
        <v>0</v>
      </c>
      <c r="F53" s="176">
        <v>0</v>
      </c>
      <c r="G53" s="176">
        <v>0</v>
      </c>
      <c r="H53" s="176">
        <v>0</v>
      </c>
      <c r="I53" s="176">
        <v>0</v>
      </c>
      <c r="J53" s="176">
        <v>0</v>
      </c>
      <c r="K53" s="176">
        <v>0</v>
      </c>
      <c r="L53" s="176">
        <v>0</v>
      </c>
      <c r="M53" s="176">
        <v>0</v>
      </c>
      <c r="N53" s="176">
        <v>4.8</v>
      </c>
      <c r="O53" s="176">
        <v>7.1999999999999993</v>
      </c>
      <c r="P53" s="247">
        <v>12</v>
      </c>
      <c r="Q53" s="270">
        <f t="shared" si="9"/>
        <v>0</v>
      </c>
      <c r="T53" s="176">
        <v>0</v>
      </c>
      <c r="U53" s="176">
        <v>0</v>
      </c>
      <c r="V53" s="176">
        <v>0</v>
      </c>
      <c r="W53" s="176">
        <v>0</v>
      </c>
      <c r="X53" s="176">
        <v>0</v>
      </c>
      <c r="Y53" s="176">
        <v>0</v>
      </c>
      <c r="Z53" s="176">
        <v>0</v>
      </c>
      <c r="AA53" s="176">
        <v>0</v>
      </c>
      <c r="AB53" s="176">
        <v>0</v>
      </c>
      <c r="AC53" s="176">
        <v>0</v>
      </c>
      <c r="AD53" s="176">
        <v>0</v>
      </c>
      <c r="AE53" s="176">
        <v>0</v>
      </c>
      <c r="AF53" s="247">
        <v>0</v>
      </c>
      <c r="AG53" s="270">
        <f t="shared" si="10"/>
        <v>0</v>
      </c>
      <c r="AJ53" s="180">
        <v>0</v>
      </c>
      <c r="AK53" s="180">
        <v>0</v>
      </c>
      <c r="AL53" s="180">
        <v>0</v>
      </c>
      <c r="AM53" s="180">
        <v>0</v>
      </c>
      <c r="AN53" s="180">
        <v>0</v>
      </c>
      <c r="AO53" s="180">
        <v>0</v>
      </c>
      <c r="AP53" s="180">
        <v>0</v>
      </c>
      <c r="AQ53" s="180">
        <v>0</v>
      </c>
      <c r="AR53" s="180">
        <v>0</v>
      </c>
      <c r="AS53" s="180">
        <v>0</v>
      </c>
      <c r="AT53" s="180">
        <v>4.8</v>
      </c>
      <c r="AU53" s="180">
        <v>7.1999999999999993</v>
      </c>
      <c r="AV53" s="247">
        <v>12</v>
      </c>
      <c r="AW53" s="270">
        <f t="shared" si="11"/>
        <v>0</v>
      </c>
    </row>
    <row r="54" spans="2:49" x14ac:dyDescent="0.3">
      <c r="B54" s="246" t="s">
        <v>56</v>
      </c>
      <c r="C54" t="s">
        <v>137</v>
      </c>
      <c r="D54" s="176">
        <v>0</v>
      </c>
      <c r="E54" s="176">
        <v>0</v>
      </c>
      <c r="F54" s="176">
        <v>0</v>
      </c>
      <c r="G54" s="176">
        <v>0</v>
      </c>
      <c r="H54" s="176">
        <v>0</v>
      </c>
      <c r="I54" s="176">
        <v>0</v>
      </c>
      <c r="J54" s="176">
        <v>0</v>
      </c>
      <c r="K54" s="176">
        <v>0</v>
      </c>
      <c r="L54" s="176">
        <v>0</v>
      </c>
      <c r="M54" s="176">
        <v>0</v>
      </c>
      <c r="N54" s="176">
        <v>0</v>
      </c>
      <c r="O54" s="176">
        <v>6</v>
      </c>
      <c r="P54" s="247">
        <v>6</v>
      </c>
      <c r="Q54" s="270">
        <f t="shared" si="9"/>
        <v>0</v>
      </c>
      <c r="T54" s="176">
        <v>0</v>
      </c>
      <c r="U54" s="176">
        <v>0</v>
      </c>
      <c r="V54" s="176">
        <v>0</v>
      </c>
      <c r="W54" s="176">
        <v>0</v>
      </c>
      <c r="X54" s="176">
        <v>0</v>
      </c>
      <c r="Y54" s="176">
        <v>0</v>
      </c>
      <c r="Z54" s="176">
        <v>0</v>
      </c>
      <c r="AA54" s="176">
        <v>0</v>
      </c>
      <c r="AB54" s="176">
        <v>0</v>
      </c>
      <c r="AC54" s="176">
        <v>0</v>
      </c>
      <c r="AD54" s="176">
        <v>0</v>
      </c>
      <c r="AE54" s="176">
        <v>0</v>
      </c>
      <c r="AF54" s="247">
        <v>0</v>
      </c>
      <c r="AG54" s="270">
        <f t="shared" si="10"/>
        <v>0</v>
      </c>
      <c r="AJ54" s="180">
        <v>0</v>
      </c>
      <c r="AK54" s="180">
        <v>0</v>
      </c>
      <c r="AL54" s="180">
        <v>0</v>
      </c>
      <c r="AM54" s="180">
        <v>0</v>
      </c>
      <c r="AN54" s="180">
        <v>0</v>
      </c>
      <c r="AO54" s="180">
        <v>0</v>
      </c>
      <c r="AP54" s="180">
        <v>0</v>
      </c>
      <c r="AQ54" s="180">
        <v>0</v>
      </c>
      <c r="AR54" s="180">
        <v>0</v>
      </c>
      <c r="AS54" s="180">
        <v>0</v>
      </c>
      <c r="AT54" s="180">
        <v>0</v>
      </c>
      <c r="AU54" s="180">
        <v>6</v>
      </c>
      <c r="AV54" s="247">
        <v>6</v>
      </c>
      <c r="AW54" s="270">
        <f t="shared" si="11"/>
        <v>0</v>
      </c>
    </row>
    <row r="55" spans="2:49" x14ac:dyDescent="0.3">
      <c r="C55" s="192" t="s">
        <v>138</v>
      </c>
      <c r="D55" s="248">
        <v>0</v>
      </c>
      <c r="E55" s="248">
        <v>2.64</v>
      </c>
      <c r="F55" s="248">
        <v>7.5600000000000005</v>
      </c>
      <c r="G55" s="248">
        <v>10.08</v>
      </c>
      <c r="H55" s="248">
        <v>12.600000000000001</v>
      </c>
      <c r="I55" s="248">
        <v>20.28</v>
      </c>
      <c r="J55" s="248">
        <v>27.000000000000004</v>
      </c>
      <c r="K55" s="248">
        <v>31.92</v>
      </c>
      <c r="L55" s="248">
        <v>40.739999999999995</v>
      </c>
      <c r="M55" s="248">
        <v>55.860000000000007</v>
      </c>
      <c r="N55" s="248">
        <v>69.42</v>
      </c>
      <c r="O55" s="248">
        <v>87.899999999999991</v>
      </c>
      <c r="P55" s="248">
        <v>366</v>
      </c>
      <c r="Q55" s="271"/>
      <c r="S55" s="248">
        <v>0</v>
      </c>
      <c r="T55" s="248">
        <v>0</v>
      </c>
      <c r="U55" s="248">
        <v>0</v>
      </c>
      <c r="V55" s="248">
        <v>0</v>
      </c>
      <c r="W55" s="248">
        <v>0</v>
      </c>
      <c r="X55" s="248">
        <v>0</v>
      </c>
      <c r="Y55" s="248">
        <v>0</v>
      </c>
      <c r="Z55" s="248">
        <v>0</v>
      </c>
      <c r="AA55" s="248">
        <v>0</v>
      </c>
      <c r="AB55" s="248">
        <v>0</v>
      </c>
      <c r="AC55" s="248">
        <v>0</v>
      </c>
      <c r="AD55" s="248">
        <v>0</v>
      </c>
      <c r="AE55" s="248">
        <v>0</v>
      </c>
      <c r="AF55" s="248">
        <v>0</v>
      </c>
      <c r="AG55" s="271"/>
      <c r="AI55" s="248">
        <v>0</v>
      </c>
      <c r="AJ55" s="248">
        <v>0</v>
      </c>
      <c r="AK55" s="248">
        <v>2.64</v>
      </c>
      <c r="AL55" s="248">
        <v>7.5600000000000005</v>
      </c>
      <c r="AM55" s="248">
        <v>10.08</v>
      </c>
      <c r="AN55" s="248">
        <v>12.600000000000001</v>
      </c>
      <c r="AO55" s="248">
        <v>20.28</v>
      </c>
      <c r="AP55" s="248">
        <v>27.000000000000004</v>
      </c>
      <c r="AQ55" s="248">
        <v>31.92</v>
      </c>
      <c r="AR55" s="248">
        <v>40.739999999999995</v>
      </c>
      <c r="AS55" s="248">
        <v>55.860000000000007</v>
      </c>
      <c r="AT55" s="248">
        <v>69.42</v>
      </c>
      <c r="AU55" s="248">
        <v>87.899999999999991</v>
      </c>
      <c r="AV55" s="248">
        <v>366</v>
      </c>
      <c r="AW55" s="271"/>
    </row>
    <row r="56" spans="2:49" x14ac:dyDescent="0.3">
      <c r="D56" s="176"/>
      <c r="E56" s="176"/>
      <c r="F56" s="176"/>
      <c r="G56" s="176"/>
      <c r="H56" s="176"/>
      <c r="I56" s="176"/>
      <c r="J56" s="176"/>
      <c r="K56" s="176"/>
      <c r="L56" s="176"/>
      <c r="M56" s="176"/>
      <c r="N56" s="176"/>
      <c r="O56" s="176"/>
      <c r="P56" s="247"/>
      <c r="Q56" s="270"/>
      <c r="T56" s="176"/>
      <c r="U56" s="176"/>
      <c r="V56" s="176"/>
      <c r="W56" s="176"/>
      <c r="X56" s="176"/>
      <c r="Y56" s="176"/>
      <c r="Z56" s="176"/>
      <c r="AA56" s="176"/>
      <c r="AB56" s="176"/>
      <c r="AC56" s="176"/>
      <c r="AD56" s="176"/>
      <c r="AE56" s="176"/>
      <c r="AF56" s="247"/>
      <c r="AG56" s="270"/>
      <c r="AJ56" s="180"/>
      <c r="AK56" s="180"/>
      <c r="AL56" s="180"/>
      <c r="AM56" s="180"/>
      <c r="AN56" s="180"/>
      <c r="AO56" s="180"/>
      <c r="AP56" s="180"/>
      <c r="AQ56" s="180"/>
      <c r="AR56" s="180"/>
      <c r="AS56" s="180"/>
      <c r="AT56" s="180"/>
      <c r="AU56" s="180"/>
      <c r="AV56" s="247"/>
      <c r="AW56" s="270"/>
    </row>
    <row r="57" spans="2:49" x14ac:dyDescent="0.3">
      <c r="B57" t="s">
        <v>59</v>
      </c>
      <c r="C57" t="s">
        <v>42</v>
      </c>
      <c r="D57" s="176">
        <v>0</v>
      </c>
      <c r="E57" s="176">
        <v>2.34</v>
      </c>
      <c r="F57" s="176">
        <v>4.68</v>
      </c>
      <c r="G57" s="176">
        <v>7.02</v>
      </c>
      <c r="H57" s="176">
        <v>7.8000000000000007</v>
      </c>
      <c r="I57" s="176">
        <v>7.8000000000000007</v>
      </c>
      <c r="J57" s="176">
        <v>7.8000000000000007</v>
      </c>
      <c r="K57" s="176">
        <v>7.8000000000000007</v>
      </c>
      <c r="L57" s="176">
        <v>7.02</v>
      </c>
      <c r="M57" s="176">
        <v>7.02</v>
      </c>
      <c r="N57" s="176">
        <v>9.36</v>
      </c>
      <c r="O57" s="176">
        <v>9.36</v>
      </c>
      <c r="P57" s="247">
        <v>77.999999999999986</v>
      </c>
      <c r="Q57" s="270">
        <f t="shared" ref="Q57:Q64" si="12">SUMIF($D$2:$O$2,$Q$3,D57:O57)</f>
        <v>14.04</v>
      </c>
      <c r="T57" s="176">
        <v>0</v>
      </c>
      <c r="U57" s="176">
        <v>0</v>
      </c>
      <c r="V57" s="176">
        <v>0</v>
      </c>
      <c r="W57" s="176">
        <v>0</v>
      </c>
      <c r="X57" s="176">
        <v>0</v>
      </c>
      <c r="Y57" s="176">
        <v>0</v>
      </c>
      <c r="Z57" s="176">
        <v>0</v>
      </c>
      <c r="AA57" s="176">
        <v>0</v>
      </c>
      <c r="AB57" s="176">
        <v>0</v>
      </c>
      <c r="AC57" s="176">
        <v>0</v>
      </c>
      <c r="AD57" s="176">
        <v>0</v>
      </c>
      <c r="AE57" s="176">
        <v>0</v>
      </c>
      <c r="AF57" s="247">
        <v>0</v>
      </c>
      <c r="AG57" s="270">
        <f t="shared" ref="AG57:AG64" si="13">SUMIF($T$2:$AE$2,$AG$3,T57:AE57)</f>
        <v>0</v>
      </c>
      <c r="AJ57" s="180">
        <v>0</v>
      </c>
      <c r="AK57" s="180">
        <v>2.34</v>
      </c>
      <c r="AL57" s="180">
        <v>4.68</v>
      </c>
      <c r="AM57" s="180">
        <v>7.02</v>
      </c>
      <c r="AN57" s="180">
        <v>7.8000000000000007</v>
      </c>
      <c r="AO57" s="180">
        <v>7.8000000000000007</v>
      </c>
      <c r="AP57" s="180">
        <v>7.8000000000000007</v>
      </c>
      <c r="AQ57" s="180">
        <v>7.8000000000000007</v>
      </c>
      <c r="AR57" s="180">
        <v>7.02</v>
      </c>
      <c r="AS57" s="180">
        <v>7.02</v>
      </c>
      <c r="AT57" s="180">
        <v>9.36</v>
      </c>
      <c r="AU57" s="180">
        <v>9.36</v>
      </c>
      <c r="AV57" s="247">
        <v>77.999999999999986</v>
      </c>
      <c r="AW57" s="270">
        <f t="shared" ref="AW57:AW64" si="14">Q57+AG57</f>
        <v>14.04</v>
      </c>
    </row>
    <row r="58" spans="2:49" x14ac:dyDescent="0.3">
      <c r="B58" t="s">
        <v>59</v>
      </c>
      <c r="C58" t="s">
        <v>43</v>
      </c>
      <c r="D58" s="176">
        <v>0</v>
      </c>
      <c r="E58" s="176">
        <v>2.34</v>
      </c>
      <c r="F58" s="176">
        <v>3.9000000000000004</v>
      </c>
      <c r="G58" s="176">
        <v>6.24</v>
      </c>
      <c r="H58" s="176">
        <v>7.8000000000000007</v>
      </c>
      <c r="I58" s="176">
        <v>7.8000000000000007</v>
      </c>
      <c r="J58" s="176">
        <v>7.8000000000000007</v>
      </c>
      <c r="K58" s="176">
        <v>7.8000000000000007</v>
      </c>
      <c r="L58" s="176">
        <v>7.02</v>
      </c>
      <c r="M58" s="176">
        <v>7.02</v>
      </c>
      <c r="N58" s="176">
        <v>9.36</v>
      </c>
      <c r="O58" s="176">
        <v>10.920000000000002</v>
      </c>
      <c r="P58" s="247">
        <v>78</v>
      </c>
      <c r="Q58" s="270">
        <f t="shared" si="12"/>
        <v>12.48</v>
      </c>
      <c r="T58" s="176">
        <v>0</v>
      </c>
      <c r="U58" s="176">
        <v>0</v>
      </c>
      <c r="V58" s="176">
        <v>0</v>
      </c>
      <c r="W58" s="176">
        <v>0</v>
      </c>
      <c r="X58" s="176">
        <v>0</v>
      </c>
      <c r="Y58" s="176">
        <v>0</v>
      </c>
      <c r="Z58" s="176">
        <v>0</v>
      </c>
      <c r="AA58" s="176">
        <v>0</v>
      </c>
      <c r="AB58" s="176">
        <v>0</v>
      </c>
      <c r="AC58" s="176">
        <v>0</v>
      </c>
      <c r="AD58" s="176">
        <v>0</v>
      </c>
      <c r="AE58" s="176">
        <v>0</v>
      </c>
      <c r="AF58" s="247">
        <v>0</v>
      </c>
      <c r="AG58" s="270">
        <f t="shared" si="13"/>
        <v>0</v>
      </c>
      <c r="AJ58" s="180">
        <v>0</v>
      </c>
      <c r="AK58" s="180">
        <v>2.34</v>
      </c>
      <c r="AL58" s="180">
        <v>3.9000000000000004</v>
      </c>
      <c r="AM58" s="180">
        <v>6.24</v>
      </c>
      <c r="AN58" s="180">
        <v>7.8000000000000007</v>
      </c>
      <c r="AO58" s="180">
        <v>7.8000000000000007</v>
      </c>
      <c r="AP58" s="180">
        <v>7.8000000000000007</v>
      </c>
      <c r="AQ58" s="180">
        <v>7.8000000000000007</v>
      </c>
      <c r="AR58" s="180">
        <v>7.02</v>
      </c>
      <c r="AS58" s="180">
        <v>7.02</v>
      </c>
      <c r="AT58" s="180">
        <v>9.36</v>
      </c>
      <c r="AU58" s="180">
        <v>10.920000000000002</v>
      </c>
      <c r="AV58" s="247">
        <v>78</v>
      </c>
      <c r="AW58" s="270">
        <f t="shared" si="14"/>
        <v>12.48</v>
      </c>
    </row>
    <row r="59" spans="2:49" x14ac:dyDescent="0.3">
      <c r="B59" t="s">
        <v>59</v>
      </c>
      <c r="C59" t="s">
        <v>139</v>
      </c>
      <c r="D59" s="176">
        <v>0</v>
      </c>
      <c r="E59" s="176">
        <v>0</v>
      </c>
      <c r="F59" s="176">
        <v>0</v>
      </c>
      <c r="G59" s="176">
        <v>2.7</v>
      </c>
      <c r="H59" s="176">
        <v>3.6000000000000005</v>
      </c>
      <c r="I59" s="176">
        <v>3.6000000000000005</v>
      </c>
      <c r="J59" s="176">
        <v>5.4</v>
      </c>
      <c r="K59" s="176">
        <v>5.4</v>
      </c>
      <c r="L59" s="176">
        <v>4.5</v>
      </c>
      <c r="M59" s="176">
        <v>4.5</v>
      </c>
      <c r="N59" s="176">
        <v>7.65</v>
      </c>
      <c r="O59" s="176">
        <v>7.65</v>
      </c>
      <c r="P59" s="247">
        <v>45</v>
      </c>
      <c r="Q59" s="270">
        <f t="shared" si="12"/>
        <v>2.7</v>
      </c>
      <c r="T59" s="176">
        <v>0</v>
      </c>
      <c r="U59" s="176">
        <v>0</v>
      </c>
      <c r="V59" s="176">
        <v>0</v>
      </c>
      <c r="W59" s="176">
        <v>0</v>
      </c>
      <c r="X59" s="176">
        <v>0</v>
      </c>
      <c r="Y59" s="176">
        <v>0</v>
      </c>
      <c r="Z59" s="176">
        <v>0</v>
      </c>
      <c r="AA59" s="176">
        <v>0</v>
      </c>
      <c r="AB59" s="176">
        <v>0</v>
      </c>
      <c r="AC59" s="176">
        <v>0</v>
      </c>
      <c r="AD59" s="176">
        <v>0</v>
      </c>
      <c r="AE59" s="176">
        <v>0</v>
      </c>
      <c r="AF59" s="247">
        <v>0</v>
      </c>
      <c r="AG59" s="270">
        <f t="shared" si="13"/>
        <v>0</v>
      </c>
      <c r="AJ59" s="180">
        <v>0</v>
      </c>
      <c r="AK59" s="180">
        <v>0</v>
      </c>
      <c r="AL59" s="180">
        <v>0</v>
      </c>
      <c r="AM59" s="180">
        <v>2.7</v>
      </c>
      <c r="AN59" s="180">
        <v>3.6000000000000005</v>
      </c>
      <c r="AO59" s="180">
        <v>3.6000000000000005</v>
      </c>
      <c r="AP59" s="180">
        <v>5.4</v>
      </c>
      <c r="AQ59" s="180">
        <v>5.4</v>
      </c>
      <c r="AR59" s="180">
        <v>4.5</v>
      </c>
      <c r="AS59" s="180">
        <v>4.5</v>
      </c>
      <c r="AT59" s="180">
        <v>7.65</v>
      </c>
      <c r="AU59" s="180">
        <v>7.65</v>
      </c>
      <c r="AV59" s="247">
        <v>45</v>
      </c>
      <c r="AW59" s="270">
        <f t="shared" si="14"/>
        <v>2.7</v>
      </c>
    </row>
    <row r="60" spans="2:49" x14ac:dyDescent="0.3">
      <c r="B60" t="s">
        <v>59</v>
      </c>
      <c r="C60" t="s">
        <v>140</v>
      </c>
      <c r="D60" s="176">
        <v>0</v>
      </c>
      <c r="E60" s="176">
        <v>0</v>
      </c>
      <c r="F60" s="176">
        <v>0</v>
      </c>
      <c r="G60" s="176">
        <v>0</v>
      </c>
      <c r="H60" s="176">
        <v>3.2</v>
      </c>
      <c r="I60" s="176">
        <v>3.2</v>
      </c>
      <c r="J60" s="176">
        <v>4.8</v>
      </c>
      <c r="K60" s="176">
        <v>5.6000000000000005</v>
      </c>
      <c r="L60" s="176">
        <v>4.8</v>
      </c>
      <c r="M60" s="176">
        <v>4.8</v>
      </c>
      <c r="N60" s="176">
        <v>6.8000000000000007</v>
      </c>
      <c r="O60" s="176">
        <v>6.8000000000000007</v>
      </c>
      <c r="P60" s="247">
        <v>40</v>
      </c>
      <c r="Q60" s="270">
        <f t="shared" si="12"/>
        <v>0</v>
      </c>
      <c r="T60" s="176">
        <v>0</v>
      </c>
      <c r="U60" s="176">
        <v>0</v>
      </c>
      <c r="V60" s="176">
        <v>0</v>
      </c>
      <c r="W60" s="176">
        <v>0</v>
      </c>
      <c r="X60" s="176">
        <v>0</v>
      </c>
      <c r="Y60" s="176">
        <v>0</v>
      </c>
      <c r="Z60" s="176">
        <v>0</v>
      </c>
      <c r="AA60" s="176">
        <v>0</v>
      </c>
      <c r="AB60" s="176">
        <v>0</v>
      </c>
      <c r="AC60" s="176">
        <v>0</v>
      </c>
      <c r="AD60" s="176">
        <v>0</v>
      </c>
      <c r="AE60" s="176">
        <v>0</v>
      </c>
      <c r="AF60" s="247">
        <v>0</v>
      </c>
      <c r="AG60" s="270">
        <f t="shared" si="13"/>
        <v>0</v>
      </c>
      <c r="AJ60" s="180">
        <v>0</v>
      </c>
      <c r="AK60" s="180">
        <v>0</v>
      </c>
      <c r="AL60" s="180">
        <v>0</v>
      </c>
      <c r="AM60" s="180">
        <v>0</v>
      </c>
      <c r="AN60" s="180">
        <v>3.2</v>
      </c>
      <c r="AO60" s="180">
        <v>3.2</v>
      </c>
      <c r="AP60" s="180">
        <v>4.8</v>
      </c>
      <c r="AQ60" s="180">
        <v>5.6000000000000005</v>
      </c>
      <c r="AR60" s="180">
        <v>4.8</v>
      </c>
      <c r="AS60" s="180">
        <v>4.8</v>
      </c>
      <c r="AT60" s="180">
        <v>6.8000000000000007</v>
      </c>
      <c r="AU60" s="180">
        <v>6.8000000000000007</v>
      </c>
      <c r="AV60" s="247">
        <v>40</v>
      </c>
      <c r="AW60" s="270">
        <f t="shared" si="14"/>
        <v>0</v>
      </c>
    </row>
    <row r="61" spans="2:49" x14ac:dyDescent="0.3">
      <c r="B61" t="s">
        <v>59</v>
      </c>
      <c r="C61" t="s">
        <v>141</v>
      </c>
      <c r="D61" s="176">
        <v>0</v>
      </c>
      <c r="E61" s="176">
        <v>0</v>
      </c>
      <c r="F61" s="176">
        <v>0</v>
      </c>
      <c r="G61" s="176">
        <v>0</v>
      </c>
      <c r="H61" s="176">
        <v>0</v>
      </c>
      <c r="I61" s="176">
        <v>0</v>
      </c>
      <c r="J61" s="176">
        <v>3</v>
      </c>
      <c r="K61" s="176">
        <v>3</v>
      </c>
      <c r="L61" s="176">
        <v>4.5</v>
      </c>
      <c r="M61" s="176">
        <v>4.5</v>
      </c>
      <c r="N61" s="176">
        <v>7.5</v>
      </c>
      <c r="O61" s="176">
        <v>7.5</v>
      </c>
      <c r="P61" s="247">
        <v>30</v>
      </c>
      <c r="Q61" s="270">
        <f t="shared" si="12"/>
        <v>0</v>
      </c>
      <c r="T61" s="176">
        <v>0</v>
      </c>
      <c r="U61" s="176">
        <v>0</v>
      </c>
      <c r="V61" s="176">
        <v>0</v>
      </c>
      <c r="W61" s="176">
        <v>0</v>
      </c>
      <c r="X61" s="176">
        <v>0</v>
      </c>
      <c r="Y61" s="176">
        <v>0</v>
      </c>
      <c r="Z61" s="176">
        <v>0</v>
      </c>
      <c r="AA61" s="176">
        <v>0</v>
      </c>
      <c r="AB61" s="176">
        <v>0</v>
      </c>
      <c r="AC61" s="176">
        <v>0</v>
      </c>
      <c r="AD61" s="176">
        <v>0</v>
      </c>
      <c r="AE61" s="176">
        <v>0</v>
      </c>
      <c r="AF61" s="247">
        <v>0</v>
      </c>
      <c r="AG61" s="270">
        <f t="shared" si="13"/>
        <v>0</v>
      </c>
      <c r="AJ61" s="180">
        <v>0</v>
      </c>
      <c r="AK61" s="180">
        <v>0</v>
      </c>
      <c r="AL61" s="180">
        <v>0</v>
      </c>
      <c r="AM61" s="180">
        <v>0</v>
      </c>
      <c r="AN61" s="180">
        <v>0</v>
      </c>
      <c r="AO61" s="180">
        <v>0</v>
      </c>
      <c r="AP61" s="180">
        <v>3</v>
      </c>
      <c r="AQ61" s="180">
        <v>3</v>
      </c>
      <c r="AR61" s="180">
        <v>4.5</v>
      </c>
      <c r="AS61" s="180">
        <v>4.5</v>
      </c>
      <c r="AT61" s="180">
        <v>7.5</v>
      </c>
      <c r="AU61" s="180">
        <v>7.5</v>
      </c>
      <c r="AV61" s="247">
        <v>30</v>
      </c>
      <c r="AW61" s="270">
        <f t="shared" si="14"/>
        <v>0</v>
      </c>
    </row>
    <row r="62" spans="2:49" x14ac:dyDescent="0.3">
      <c r="B62" t="s">
        <v>59</v>
      </c>
      <c r="C62" t="s">
        <v>142</v>
      </c>
      <c r="D62" s="176">
        <v>0</v>
      </c>
      <c r="E62" s="176">
        <v>0</v>
      </c>
      <c r="F62" s="176">
        <v>0</v>
      </c>
      <c r="G62" s="176">
        <v>0</v>
      </c>
      <c r="H62" s="176">
        <v>0</v>
      </c>
      <c r="I62" s="176">
        <v>0</v>
      </c>
      <c r="J62" s="176">
        <v>0</v>
      </c>
      <c r="K62" s="176">
        <v>0</v>
      </c>
      <c r="L62" s="176">
        <v>3</v>
      </c>
      <c r="M62" s="176">
        <v>4</v>
      </c>
      <c r="N62" s="176">
        <v>6.9999999999999991</v>
      </c>
      <c r="O62" s="176">
        <v>6</v>
      </c>
      <c r="P62" s="247">
        <v>20</v>
      </c>
      <c r="Q62" s="270">
        <f t="shared" si="12"/>
        <v>0</v>
      </c>
      <c r="T62" s="176">
        <v>0</v>
      </c>
      <c r="U62" s="176">
        <v>0</v>
      </c>
      <c r="V62" s="176">
        <v>0</v>
      </c>
      <c r="W62" s="176">
        <v>0</v>
      </c>
      <c r="X62" s="176">
        <v>0</v>
      </c>
      <c r="Y62" s="176">
        <v>0</v>
      </c>
      <c r="Z62" s="176">
        <v>0</v>
      </c>
      <c r="AA62" s="176">
        <v>0</v>
      </c>
      <c r="AB62" s="176">
        <v>0</v>
      </c>
      <c r="AC62" s="176">
        <v>0</v>
      </c>
      <c r="AD62" s="176">
        <v>0</v>
      </c>
      <c r="AE62" s="176">
        <v>0</v>
      </c>
      <c r="AF62" s="247">
        <v>0</v>
      </c>
      <c r="AG62" s="270">
        <f t="shared" si="13"/>
        <v>0</v>
      </c>
      <c r="AJ62" s="180">
        <v>0</v>
      </c>
      <c r="AK62" s="180">
        <v>0</v>
      </c>
      <c r="AL62" s="180">
        <v>0</v>
      </c>
      <c r="AM62" s="180">
        <v>0</v>
      </c>
      <c r="AN62" s="180">
        <v>0</v>
      </c>
      <c r="AO62" s="180">
        <v>0</v>
      </c>
      <c r="AP62" s="180">
        <v>0</v>
      </c>
      <c r="AQ62" s="180">
        <v>0</v>
      </c>
      <c r="AR62" s="180">
        <v>3</v>
      </c>
      <c r="AS62" s="180">
        <v>4</v>
      </c>
      <c r="AT62" s="180">
        <v>6.9999999999999991</v>
      </c>
      <c r="AU62" s="180">
        <v>6</v>
      </c>
      <c r="AV62" s="247">
        <v>20</v>
      </c>
      <c r="AW62" s="270">
        <f t="shared" si="14"/>
        <v>0</v>
      </c>
    </row>
    <row r="63" spans="2:49" x14ac:dyDescent="0.3">
      <c r="B63" t="s">
        <v>59</v>
      </c>
      <c r="C63" t="s">
        <v>143</v>
      </c>
      <c r="D63" s="176">
        <v>0</v>
      </c>
      <c r="E63" s="176">
        <v>0</v>
      </c>
      <c r="F63" s="176">
        <v>0</v>
      </c>
      <c r="G63" s="176">
        <v>0</v>
      </c>
      <c r="H63" s="176">
        <v>0</v>
      </c>
      <c r="I63" s="176">
        <v>0</v>
      </c>
      <c r="J63" s="176">
        <v>0</v>
      </c>
      <c r="K63" s="176">
        <v>0</v>
      </c>
      <c r="L63" s="176">
        <v>0</v>
      </c>
      <c r="M63" s="176">
        <v>3.75</v>
      </c>
      <c r="N63" s="176">
        <v>4.8</v>
      </c>
      <c r="O63" s="176">
        <v>6.45</v>
      </c>
      <c r="P63" s="247">
        <v>15</v>
      </c>
      <c r="Q63" s="270">
        <f t="shared" si="12"/>
        <v>0</v>
      </c>
      <c r="T63" s="176">
        <v>0</v>
      </c>
      <c r="U63" s="176">
        <v>0</v>
      </c>
      <c r="V63" s="176">
        <v>0</v>
      </c>
      <c r="W63" s="176">
        <v>0</v>
      </c>
      <c r="X63" s="176">
        <v>0</v>
      </c>
      <c r="Y63" s="176">
        <v>0</v>
      </c>
      <c r="Z63" s="176">
        <v>0</v>
      </c>
      <c r="AA63" s="176">
        <v>0</v>
      </c>
      <c r="AB63" s="176">
        <v>0</v>
      </c>
      <c r="AC63" s="176">
        <v>0</v>
      </c>
      <c r="AD63" s="176">
        <v>0</v>
      </c>
      <c r="AE63" s="176">
        <v>0</v>
      </c>
      <c r="AF63" s="247">
        <v>0</v>
      </c>
      <c r="AG63" s="270">
        <f t="shared" si="13"/>
        <v>0</v>
      </c>
      <c r="AJ63" s="180">
        <v>0</v>
      </c>
      <c r="AK63" s="180">
        <v>0</v>
      </c>
      <c r="AL63" s="180">
        <v>0</v>
      </c>
      <c r="AM63" s="180">
        <v>0</v>
      </c>
      <c r="AN63" s="180">
        <v>0</v>
      </c>
      <c r="AO63" s="180">
        <v>0</v>
      </c>
      <c r="AP63" s="180">
        <v>0</v>
      </c>
      <c r="AQ63" s="180">
        <v>0</v>
      </c>
      <c r="AR63" s="180">
        <v>0</v>
      </c>
      <c r="AS63" s="180">
        <v>3.75</v>
      </c>
      <c r="AT63" s="180">
        <v>4.8</v>
      </c>
      <c r="AU63" s="180">
        <v>6.45</v>
      </c>
      <c r="AV63" s="247">
        <v>15</v>
      </c>
      <c r="AW63" s="270">
        <f t="shared" si="14"/>
        <v>0</v>
      </c>
    </row>
    <row r="64" spans="2:49" x14ac:dyDescent="0.3">
      <c r="B64" t="s">
        <v>59</v>
      </c>
      <c r="C64" t="s">
        <v>144</v>
      </c>
      <c r="D64" s="176">
        <v>0</v>
      </c>
      <c r="E64" s="176">
        <v>0</v>
      </c>
      <c r="F64" s="176">
        <v>0</v>
      </c>
      <c r="G64" s="176">
        <v>0</v>
      </c>
      <c r="H64" s="176">
        <v>0</v>
      </c>
      <c r="I64" s="176">
        <v>4.5</v>
      </c>
      <c r="J64" s="176">
        <v>5.85</v>
      </c>
      <c r="K64" s="176">
        <v>6.75</v>
      </c>
      <c r="L64" s="176">
        <v>6.75</v>
      </c>
      <c r="M64" s="176">
        <v>5.4</v>
      </c>
      <c r="N64" s="176">
        <v>6.75</v>
      </c>
      <c r="O64" s="176">
        <v>9</v>
      </c>
      <c r="P64" s="247">
        <v>45</v>
      </c>
      <c r="Q64" s="270">
        <f t="shared" si="12"/>
        <v>0</v>
      </c>
      <c r="T64" s="176">
        <v>0</v>
      </c>
      <c r="U64" s="176">
        <v>0</v>
      </c>
      <c r="V64" s="176">
        <v>0</v>
      </c>
      <c r="W64" s="176">
        <v>0</v>
      </c>
      <c r="X64" s="176">
        <v>0</v>
      </c>
      <c r="Y64" s="176">
        <v>0</v>
      </c>
      <c r="Z64" s="176">
        <v>0</v>
      </c>
      <c r="AA64" s="176">
        <v>0</v>
      </c>
      <c r="AB64" s="176">
        <v>0</v>
      </c>
      <c r="AC64" s="176">
        <v>0</v>
      </c>
      <c r="AD64" s="176">
        <v>0</v>
      </c>
      <c r="AE64" s="176">
        <v>0</v>
      </c>
      <c r="AF64" s="247">
        <v>0</v>
      </c>
      <c r="AG64" s="270">
        <f t="shared" si="13"/>
        <v>0</v>
      </c>
      <c r="AJ64" s="180">
        <v>0</v>
      </c>
      <c r="AK64" s="180">
        <v>0</v>
      </c>
      <c r="AL64" s="180">
        <v>0</v>
      </c>
      <c r="AM64" s="180">
        <v>0</v>
      </c>
      <c r="AN64" s="180">
        <v>0</v>
      </c>
      <c r="AO64" s="180">
        <v>4.5</v>
      </c>
      <c r="AP64" s="180">
        <v>5.85</v>
      </c>
      <c r="AQ64" s="180">
        <v>6.75</v>
      </c>
      <c r="AR64" s="180">
        <v>6.75</v>
      </c>
      <c r="AS64" s="180">
        <v>5.4</v>
      </c>
      <c r="AT64" s="180">
        <v>6.75</v>
      </c>
      <c r="AU64" s="180">
        <v>9</v>
      </c>
      <c r="AV64" s="247">
        <v>45</v>
      </c>
      <c r="AW64" s="270">
        <f t="shared" si="14"/>
        <v>0</v>
      </c>
    </row>
    <row r="65" spans="1:50" x14ac:dyDescent="0.3">
      <c r="C65" s="192" t="s">
        <v>145</v>
      </c>
      <c r="D65" s="248">
        <v>0</v>
      </c>
      <c r="E65" s="248">
        <v>4.68</v>
      </c>
      <c r="F65" s="248">
        <v>8.58</v>
      </c>
      <c r="G65" s="248">
        <v>15.96</v>
      </c>
      <c r="H65" s="248">
        <v>22.400000000000002</v>
      </c>
      <c r="I65" s="248">
        <v>26.900000000000002</v>
      </c>
      <c r="J65" s="248">
        <v>34.65</v>
      </c>
      <c r="K65" s="248">
        <v>36.35</v>
      </c>
      <c r="L65" s="248">
        <v>37.590000000000003</v>
      </c>
      <c r="M65" s="248">
        <v>40.99</v>
      </c>
      <c r="N65" s="248">
        <v>59.22</v>
      </c>
      <c r="O65" s="248">
        <v>63.680000000000007</v>
      </c>
      <c r="P65" s="248">
        <v>351</v>
      </c>
      <c r="Q65" s="271"/>
      <c r="S65" s="248">
        <v>0</v>
      </c>
      <c r="T65" s="248">
        <v>0</v>
      </c>
      <c r="U65" s="248">
        <v>0</v>
      </c>
      <c r="V65" s="248">
        <v>0</v>
      </c>
      <c r="W65" s="248">
        <v>0</v>
      </c>
      <c r="X65" s="248">
        <v>0</v>
      </c>
      <c r="Y65" s="248">
        <v>0</v>
      </c>
      <c r="Z65" s="248">
        <v>0</v>
      </c>
      <c r="AA65" s="248">
        <v>0</v>
      </c>
      <c r="AB65" s="248">
        <v>0</v>
      </c>
      <c r="AC65" s="248">
        <v>0</v>
      </c>
      <c r="AD65" s="248">
        <v>0</v>
      </c>
      <c r="AE65" s="248">
        <v>0</v>
      </c>
      <c r="AF65" s="248">
        <v>0</v>
      </c>
      <c r="AG65" s="271"/>
      <c r="AI65" s="248">
        <v>0</v>
      </c>
      <c r="AJ65" s="248">
        <v>0</v>
      </c>
      <c r="AK65" s="248">
        <v>4.68</v>
      </c>
      <c r="AL65" s="248">
        <v>8.58</v>
      </c>
      <c r="AM65" s="248">
        <v>15.96</v>
      </c>
      <c r="AN65" s="248">
        <v>22.400000000000002</v>
      </c>
      <c r="AO65" s="248">
        <v>26.900000000000002</v>
      </c>
      <c r="AP65" s="248">
        <v>34.65</v>
      </c>
      <c r="AQ65" s="248">
        <v>36.35</v>
      </c>
      <c r="AR65" s="248">
        <v>37.590000000000003</v>
      </c>
      <c r="AS65" s="248">
        <v>40.99</v>
      </c>
      <c r="AT65" s="248">
        <v>59.22</v>
      </c>
      <c r="AU65" s="248">
        <v>63.680000000000007</v>
      </c>
      <c r="AV65" s="248">
        <v>351</v>
      </c>
      <c r="AW65" s="271"/>
    </row>
    <row r="67" spans="1:50" x14ac:dyDescent="0.3">
      <c r="B67" t="s">
        <v>56</v>
      </c>
      <c r="C67" t="s">
        <v>46</v>
      </c>
      <c r="D67" s="249">
        <v>0</v>
      </c>
      <c r="E67" s="249">
        <v>0</v>
      </c>
      <c r="F67" s="249">
        <v>3</v>
      </c>
      <c r="G67" s="249">
        <v>3.5999999999999996</v>
      </c>
      <c r="H67" s="249">
        <v>3.96</v>
      </c>
      <c r="I67" s="249">
        <v>4.3559999999999999</v>
      </c>
      <c r="J67" s="249">
        <v>4.3559999999999999</v>
      </c>
      <c r="K67" s="249">
        <v>4</v>
      </c>
      <c r="L67" s="249">
        <v>3.5</v>
      </c>
      <c r="M67" s="249">
        <v>3.5</v>
      </c>
      <c r="N67" s="249">
        <v>4</v>
      </c>
      <c r="O67" s="249">
        <v>4.8</v>
      </c>
      <c r="P67" s="247">
        <v>39.071999999999996</v>
      </c>
      <c r="Q67" s="270">
        <f t="shared" ref="Q67:Q68" si="15">SUMIF($D$2:$O$2,$Q$3,D67:O67)</f>
        <v>6.6</v>
      </c>
      <c r="T67" s="246">
        <v>0</v>
      </c>
      <c r="U67" s="246">
        <v>0</v>
      </c>
      <c r="V67" s="246">
        <v>50.675675675675684</v>
      </c>
      <c r="W67" s="246">
        <v>60.810810810810807</v>
      </c>
      <c r="X67" s="246">
        <v>66.891891891891902</v>
      </c>
      <c r="Y67" s="246">
        <v>73.581081081081095</v>
      </c>
      <c r="Z67" s="246">
        <v>73.581081081081095</v>
      </c>
      <c r="AA67" s="246">
        <v>67.567567567567579</v>
      </c>
      <c r="AB67" s="246">
        <v>59.121621621621628</v>
      </c>
      <c r="AC67" s="246">
        <v>59.121621621621628</v>
      </c>
      <c r="AD67" s="246">
        <v>67.567567567567579</v>
      </c>
      <c r="AE67" s="246">
        <v>81.081081081081095</v>
      </c>
      <c r="AF67" s="247">
        <v>660</v>
      </c>
      <c r="AG67" s="270">
        <f t="shared" ref="AG67:AG68" si="16">SUMIF($T$2:$AE$2,$AG$3,T67:AE67)</f>
        <v>111.48648648648648</v>
      </c>
      <c r="AJ67" s="180">
        <v>0</v>
      </c>
      <c r="AK67" s="180">
        <v>0</v>
      </c>
      <c r="AL67" s="180">
        <v>53.675675675675684</v>
      </c>
      <c r="AM67" s="180">
        <v>64.410810810810801</v>
      </c>
      <c r="AN67" s="180">
        <v>70.851891891891896</v>
      </c>
      <c r="AO67" s="180">
        <v>77.937081081081089</v>
      </c>
      <c r="AP67" s="180">
        <v>77.937081081081089</v>
      </c>
      <c r="AQ67" s="180">
        <v>71.567567567567579</v>
      </c>
      <c r="AR67" s="180">
        <v>62.621621621621628</v>
      </c>
      <c r="AS67" s="180">
        <v>62.621621621621628</v>
      </c>
      <c r="AT67" s="180">
        <v>71.567567567567579</v>
      </c>
      <c r="AU67" s="180">
        <v>85.881081081081092</v>
      </c>
      <c r="AV67" s="247">
        <v>699.07200000000012</v>
      </c>
      <c r="AW67" s="270">
        <f>Q67+AG67</f>
        <v>118.08648648648648</v>
      </c>
    </row>
    <row r="68" spans="1:50" x14ac:dyDescent="0.3">
      <c r="B68" t="s">
        <v>56</v>
      </c>
      <c r="C68" t="s">
        <v>146</v>
      </c>
      <c r="H68">
        <v>12.8</v>
      </c>
      <c r="I68">
        <v>12.8</v>
      </c>
      <c r="J68">
        <v>19.2</v>
      </c>
      <c r="K68">
        <v>22.400000000000002</v>
      </c>
      <c r="L68">
        <v>19.2</v>
      </c>
      <c r="M68">
        <v>19.2</v>
      </c>
      <c r="N68">
        <v>27.2</v>
      </c>
      <c r="O68">
        <v>27.2</v>
      </c>
      <c r="P68" s="247">
        <v>160</v>
      </c>
      <c r="Q68" s="270">
        <f t="shared" si="15"/>
        <v>0</v>
      </c>
      <c r="T68" s="180"/>
      <c r="X68" s="180">
        <v>64</v>
      </c>
      <c r="Y68" s="180">
        <v>64</v>
      </c>
      <c r="Z68" s="180">
        <v>96</v>
      </c>
      <c r="AA68" s="180">
        <v>112</v>
      </c>
      <c r="AB68" s="180">
        <v>96</v>
      </c>
      <c r="AC68" s="180">
        <v>96</v>
      </c>
      <c r="AD68" s="180">
        <v>136</v>
      </c>
      <c r="AE68" s="180">
        <v>136</v>
      </c>
      <c r="AF68" s="247">
        <v>800</v>
      </c>
      <c r="AG68" s="270">
        <f t="shared" si="16"/>
        <v>0</v>
      </c>
      <c r="AJ68" s="180">
        <v>0</v>
      </c>
      <c r="AK68" s="180">
        <v>0</v>
      </c>
      <c r="AL68" s="180">
        <v>0</v>
      </c>
      <c r="AM68" s="180">
        <v>0</v>
      </c>
      <c r="AN68" s="180">
        <v>76.8</v>
      </c>
      <c r="AO68" s="180">
        <v>76.8</v>
      </c>
      <c r="AP68" s="180">
        <v>115.2</v>
      </c>
      <c r="AQ68" s="180">
        <v>134.4</v>
      </c>
      <c r="AR68" s="180">
        <v>115.2</v>
      </c>
      <c r="AS68" s="180">
        <v>115.2</v>
      </c>
      <c r="AT68" s="180">
        <v>163.19999999999999</v>
      </c>
      <c r="AU68" s="180">
        <v>163.19999999999999</v>
      </c>
      <c r="AV68" s="247">
        <v>960.00000000000023</v>
      </c>
      <c r="AW68" s="270">
        <f t="shared" ref="AW68" si="17">Q68+AG68</f>
        <v>0</v>
      </c>
    </row>
    <row r="70" spans="1:50" x14ac:dyDescent="0.3">
      <c r="A70" s="250">
        <v>0</v>
      </c>
      <c r="B70" s="250"/>
      <c r="C70" s="203"/>
      <c r="D70" s="250">
        <v>0</v>
      </c>
      <c r="E70" s="250">
        <v>0</v>
      </c>
      <c r="F70" s="250">
        <v>3</v>
      </c>
      <c r="G70" s="250">
        <v>3.5999999999999996</v>
      </c>
      <c r="H70" s="250">
        <v>16.760000000000002</v>
      </c>
      <c r="I70" s="250">
        <v>17.155999999999999</v>
      </c>
      <c r="J70" s="250">
        <v>23.555999999999997</v>
      </c>
      <c r="K70" s="250">
        <v>26.400000000000002</v>
      </c>
      <c r="L70" s="250">
        <v>22.7</v>
      </c>
      <c r="M70" s="250">
        <v>22.7</v>
      </c>
      <c r="N70" s="250">
        <v>31.2</v>
      </c>
      <c r="O70" s="250">
        <v>32</v>
      </c>
      <c r="P70" s="250">
        <v>199.072</v>
      </c>
      <c r="Q70" s="272"/>
      <c r="S70" s="250">
        <v>0</v>
      </c>
      <c r="T70" s="250">
        <v>0</v>
      </c>
      <c r="U70" s="250">
        <v>0</v>
      </c>
      <c r="V70" s="250">
        <v>50.675675675675684</v>
      </c>
      <c r="W70" s="250">
        <v>60.810810810810807</v>
      </c>
      <c r="X70" s="250">
        <v>130.8918918918919</v>
      </c>
      <c r="Y70" s="250">
        <v>137.58108108108109</v>
      </c>
      <c r="Z70" s="250">
        <v>169.58108108108109</v>
      </c>
      <c r="AA70" s="250">
        <v>179.56756756756758</v>
      </c>
      <c r="AB70" s="250">
        <v>155.12162162162161</v>
      </c>
      <c r="AC70" s="250">
        <v>155.12162162162161</v>
      </c>
      <c r="AD70" s="250">
        <v>203.56756756756758</v>
      </c>
      <c r="AE70" s="250">
        <v>217.08108108108109</v>
      </c>
      <c r="AF70" s="250">
        <v>1460</v>
      </c>
      <c r="AG70" s="272"/>
      <c r="AI70" s="250">
        <v>0</v>
      </c>
      <c r="AJ70" s="250">
        <v>0</v>
      </c>
      <c r="AK70" s="250">
        <v>0</v>
      </c>
      <c r="AL70" s="250">
        <v>53.675675675675684</v>
      </c>
      <c r="AM70" s="250">
        <v>64.410810810810801</v>
      </c>
      <c r="AN70" s="250">
        <v>147.65189189189189</v>
      </c>
      <c r="AO70" s="250">
        <v>154.7370810810811</v>
      </c>
      <c r="AP70" s="250">
        <v>193.13708108108108</v>
      </c>
      <c r="AQ70" s="250">
        <v>205.96756756756758</v>
      </c>
      <c r="AR70" s="250">
        <v>177.82162162162163</v>
      </c>
      <c r="AS70" s="250">
        <v>177.82162162162163</v>
      </c>
      <c r="AT70" s="250">
        <v>234.76756756756757</v>
      </c>
      <c r="AU70" s="250">
        <v>249.08108108108109</v>
      </c>
      <c r="AV70" s="250">
        <v>1659.0720000000003</v>
      </c>
      <c r="AW70" s="269"/>
    </row>
    <row r="71" spans="1:50" x14ac:dyDescent="0.3">
      <c r="A71" s="250">
        <v>0</v>
      </c>
      <c r="B71" s="250"/>
      <c r="C71" s="203" t="s">
        <v>147</v>
      </c>
      <c r="D71" s="250">
        <v>0</v>
      </c>
      <c r="E71" s="250">
        <v>7.32</v>
      </c>
      <c r="F71" s="250">
        <v>19.14</v>
      </c>
      <c r="G71" s="250">
        <v>29.64</v>
      </c>
      <c r="H71" s="250">
        <v>51.760000000000005</v>
      </c>
      <c r="I71" s="250">
        <v>64.336000000000013</v>
      </c>
      <c r="J71" s="250">
        <v>85.206000000000003</v>
      </c>
      <c r="K71" s="250">
        <v>94.670000000000016</v>
      </c>
      <c r="L71" s="250">
        <v>101.03</v>
      </c>
      <c r="M71" s="250">
        <v>119.55000000000001</v>
      </c>
      <c r="N71" s="250">
        <v>159.83999999999997</v>
      </c>
      <c r="O71" s="250">
        <v>183.57999999999998</v>
      </c>
      <c r="P71" s="250">
        <v>916.072</v>
      </c>
      <c r="Q71" s="272"/>
      <c r="S71" s="250">
        <v>0</v>
      </c>
      <c r="T71" s="250">
        <v>0</v>
      </c>
      <c r="U71" s="250">
        <v>0</v>
      </c>
      <c r="V71" s="250">
        <v>50.675675675675684</v>
      </c>
      <c r="W71" s="250">
        <v>60.810810810810807</v>
      </c>
      <c r="X71" s="250">
        <v>130.8918918918919</v>
      </c>
      <c r="Y71" s="250">
        <v>137.58108108108109</v>
      </c>
      <c r="Z71" s="250">
        <v>169.58108108108109</v>
      </c>
      <c r="AA71" s="250">
        <v>179.56756756756758</v>
      </c>
      <c r="AB71" s="250">
        <v>155.12162162162161</v>
      </c>
      <c r="AC71" s="250">
        <v>155.12162162162161</v>
      </c>
      <c r="AD71" s="250">
        <v>203.56756756756758</v>
      </c>
      <c r="AE71" s="250">
        <v>217.08108108108109</v>
      </c>
      <c r="AF71" s="250">
        <v>1460</v>
      </c>
      <c r="AG71" s="272"/>
      <c r="AI71" s="250">
        <v>0</v>
      </c>
      <c r="AJ71" s="250">
        <v>0</v>
      </c>
      <c r="AK71" s="250">
        <v>7.32</v>
      </c>
      <c r="AL71" s="250">
        <v>69.815675675675692</v>
      </c>
      <c r="AM71" s="250">
        <v>90.450810810810793</v>
      </c>
      <c r="AN71" s="250">
        <v>182.65189189189189</v>
      </c>
      <c r="AO71" s="250">
        <v>201.91708108108111</v>
      </c>
      <c r="AP71" s="250">
        <v>254.78708108108108</v>
      </c>
      <c r="AQ71" s="250">
        <v>274.23756756756757</v>
      </c>
      <c r="AR71" s="250">
        <v>256.15162162162164</v>
      </c>
      <c r="AS71" s="250">
        <v>274.67162162162163</v>
      </c>
      <c r="AT71" s="250">
        <v>363.40756756756753</v>
      </c>
      <c r="AU71" s="250">
        <v>400.66108108108108</v>
      </c>
      <c r="AV71" s="250">
        <v>2376.0720000000001</v>
      </c>
      <c r="AW71" s="269"/>
    </row>
    <row r="72" spans="1:50" x14ac:dyDescent="0.3">
      <c r="S72"/>
    </row>
    <row r="73" spans="1:50" x14ac:dyDescent="0.3">
      <c r="A73" s="250">
        <v>3463.5743796928382</v>
      </c>
      <c r="B73" s="250"/>
      <c r="C73" s="203" t="s">
        <v>148</v>
      </c>
      <c r="D73" s="250">
        <v>350.66598767102056</v>
      </c>
      <c r="E73" s="250">
        <v>402.43958912121337</v>
      </c>
      <c r="F73" s="250">
        <v>393.22750021807599</v>
      </c>
      <c r="G73" s="250">
        <v>407.95174664402879</v>
      </c>
      <c r="H73" s="250">
        <v>462.46580051862497</v>
      </c>
      <c r="I73" s="250">
        <v>486.97050233368373</v>
      </c>
      <c r="J73" s="250">
        <v>437.01911402969722</v>
      </c>
      <c r="K73" s="250">
        <v>474.54889946103248</v>
      </c>
      <c r="L73" s="250">
        <v>472.73004748904236</v>
      </c>
      <c r="M73" s="250">
        <v>489.5940474890424</v>
      </c>
      <c r="N73" s="250">
        <v>582.60574273368377</v>
      </c>
      <c r="O73" s="250">
        <v>643.74737760296694</v>
      </c>
      <c r="P73" s="250">
        <v>5603.9663553121127</v>
      </c>
      <c r="Q73" s="272"/>
      <c r="S73" s="250">
        <v>2391.5131441857116</v>
      </c>
      <c r="T73" s="250">
        <v>242.1908068003053</v>
      </c>
      <c r="U73" s="250">
        <v>286.23523392537697</v>
      </c>
      <c r="V73" s="250">
        <v>332.53033624479059</v>
      </c>
      <c r="W73" s="250">
        <v>359.02567549854837</v>
      </c>
      <c r="X73" s="250">
        <v>448.74676784478731</v>
      </c>
      <c r="Y73" s="250">
        <v>475.21627683028737</v>
      </c>
      <c r="Z73" s="250">
        <v>450.2880171716323</v>
      </c>
      <c r="AA73" s="250">
        <v>484.01202298875364</v>
      </c>
      <c r="AB73" s="250">
        <v>455.14937952249284</v>
      </c>
      <c r="AC73" s="250">
        <v>455.26937952249284</v>
      </c>
      <c r="AD73" s="250">
        <v>554.99169540326147</v>
      </c>
      <c r="AE73" s="250">
        <v>592.24272824740979</v>
      </c>
      <c r="AF73" s="250">
        <v>5135.8983200001376</v>
      </c>
      <c r="AG73" s="272"/>
      <c r="AI73" s="250">
        <v>5855.0875238785502</v>
      </c>
      <c r="AJ73" s="250">
        <v>592.85679447132588</v>
      </c>
      <c r="AK73" s="250">
        <v>688.67482304659029</v>
      </c>
      <c r="AL73" s="250">
        <v>725.75783646286652</v>
      </c>
      <c r="AM73" s="250">
        <v>766.97742214257721</v>
      </c>
      <c r="AN73" s="250">
        <v>911.2125683634124</v>
      </c>
      <c r="AO73" s="250">
        <v>962.18677916397132</v>
      </c>
      <c r="AP73" s="250">
        <v>887.30713120132941</v>
      </c>
      <c r="AQ73" s="250">
        <v>958.56092244978606</v>
      </c>
      <c r="AR73" s="250">
        <v>927.87942701153531</v>
      </c>
      <c r="AS73" s="250">
        <v>944.86342701153535</v>
      </c>
      <c r="AT73" s="250">
        <v>1137.5974381369451</v>
      </c>
      <c r="AU73" s="250">
        <v>1235.9901058503767</v>
      </c>
      <c r="AV73" s="250">
        <v>10739.86467531225</v>
      </c>
      <c r="AW73" s="269"/>
    </row>
    <row r="75" spans="1:50" x14ac:dyDescent="0.3">
      <c r="B75" t="s">
        <v>20</v>
      </c>
      <c r="C75" t="s">
        <v>20</v>
      </c>
      <c r="AI75">
        <v>2002</v>
      </c>
      <c r="AJ75" s="251">
        <v>185</v>
      </c>
      <c r="AK75" s="251">
        <v>185.96200000000002</v>
      </c>
      <c r="AL75" s="251">
        <v>186.92900240000003</v>
      </c>
      <c r="AM75" s="251">
        <v>187.90103321248006</v>
      </c>
      <c r="AN75" s="251">
        <v>188.87811858518498</v>
      </c>
      <c r="AO75" s="251">
        <v>189.86028480182796</v>
      </c>
      <c r="AP75" s="251">
        <v>190.84755828279748</v>
      </c>
      <c r="AQ75" s="251">
        <v>191.83996558586804</v>
      </c>
      <c r="AR75" s="251">
        <v>191</v>
      </c>
      <c r="AS75" s="251">
        <v>193</v>
      </c>
      <c r="AT75" s="251">
        <v>194.00360000000001</v>
      </c>
      <c r="AU75" s="251">
        <v>195.01241872000003</v>
      </c>
      <c r="AV75" s="247">
        <v>2280.2339815881587</v>
      </c>
      <c r="AW75" s="268">
        <f>SUMIF($AJ$2:$AU$2,$AW$3,AJ75:AU75)</f>
        <v>745.79203561248005</v>
      </c>
    </row>
    <row r="76" spans="1:50" x14ac:dyDescent="0.3">
      <c r="B76" t="s">
        <v>61</v>
      </c>
      <c r="C76" t="s">
        <v>61</v>
      </c>
      <c r="AI76">
        <v>282.25</v>
      </c>
      <c r="AJ76" s="251">
        <v>23.555555555555557</v>
      </c>
      <c r="AK76" s="251">
        <v>23.555555555555557</v>
      </c>
      <c r="AL76" s="251">
        <v>23.555555555555557</v>
      </c>
      <c r="AM76" s="251">
        <v>23.555555555555557</v>
      </c>
      <c r="AN76" s="251">
        <v>23.555555555555557</v>
      </c>
      <c r="AO76" s="251">
        <v>23.555555555555557</v>
      </c>
      <c r="AP76" s="251">
        <v>23.555555555555557</v>
      </c>
      <c r="AQ76" s="251">
        <v>23.555555555555557</v>
      </c>
      <c r="AR76" s="251">
        <v>23.555555555555557</v>
      </c>
      <c r="AV76" s="247">
        <v>212</v>
      </c>
      <c r="AW76" s="268">
        <f>SUMIF($AJ$2:$AU$2,$AW$3,AJ76:AU76)</f>
        <v>94.222222222222229</v>
      </c>
    </row>
    <row r="77" spans="1:50" x14ac:dyDescent="0.3">
      <c r="AV77" s="247"/>
      <c r="AW77" s="273"/>
    </row>
    <row r="78" spans="1:50" x14ac:dyDescent="0.3">
      <c r="A78" s="250"/>
      <c r="B78" s="250"/>
      <c r="C78" s="203" t="s">
        <v>63</v>
      </c>
      <c r="D78" s="250"/>
      <c r="E78" s="250"/>
      <c r="F78" s="250"/>
      <c r="G78" s="250"/>
      <c r="H78" s="250"/>
      <c r="I78" s="250"/>
      <c r="J78" s="250"/>
      <c r="K78" s="250"/>
      <c r="L78" s="250"/>
      <c r="M78" s="250"/>
      <c r="N78" s="250"/>
      <c r="O78" s="250"/>
      <c r="P78" s="250"/>
      <c r="Q78" s="272"/>
      <c r="T78" s="250"/>
      <c r="U78" s="250"/>
      <c r="V78" s="250"/>
      <c r="W78" s="250"/>
      <c r="X78" s="250"/>
      <c r="Y78" s="250"/>
      <c r="Z78" s="250"/>
      <c r="AA78" s="250"/>
      <c r="AB78" s="250"/>
      <c r="AC78" s="250"/>
      <c r="AD78" s="250"/>
      <c r="AE78" s="250"/>
      <c r="AF78" s="250"/>
      <c r="AG78" s="272"/>
      <c r="AI78" s="250">
        <v>8139.3375238785502</v>
      </c>
      <c r="AJ78" s="250">
        <v>801.41235002688143</v>
      </c>
      <c r="AK78" s="250">
        <v>898.19237860214582</v>
      </c>
      <c r="AL78" s="250">
        <v>936.24239441842212</v>
      </c>
      <c r="AM78" s="250">
        <v>978.43401091061276</v>
      </c>
      <c r="AN78" s="250">
        <v>1123.646242504153</v>
      </c>
      <c r="AO78" s="250">
        <v>1175.6026195213549</v>
      </c>
      <c r="AP78" s="250">
        <v>1101.7102450396826</v>
      </c>
      <c r="AQ78" s="250">
        <v>1173.9564435912098</v>
      </c>
      <c r="AR78" s="250">
        <v>1142.4349825670911</v>
      </c>
      <c r="AS78" s="250">
        <v>1137.8634270115354</v>
      </c>
      <c r="AT78" s="250">
        <v>1331.6010381369451</v>
      </c>
      <c r="AU78" s="250">
        <v>1431.0025245703769</v>
      </c>
      <c r="AV78" s="250">
        <v>13232.098656900409</v>
      </c>
      <c r="AW78" s="269"/>
      <c r="AX78" s="180">
        <v>13231.47295964703</v>
      </c>
    </row>
    <row r="80" spans="1:50" x14ac:dyDescent="0.3">
      <c r="D80" s="180">
        <v>257.84002663054895</v>
      </c>
      <c r="E80" s="180">
        <v>288.91761712153203</v>
      </c>
      <c r="F80" s="180">
        <v>275.66649866135197</v>
      </c>
      <c r="G80" s="180">
        <v>279.00436633810148</v>
      </c>
      <c r="H80" s="180">
        <v>314.31427349504304</v>
      </c>
      <c r="I80" s="180">
        <v>323.22225998824081</v>
      </c>
      <c r="J80" s="180">
        <v>280.07692824257168</v>
      </c>
      <c r="K80" s="180">
        <v>301.09973158340341</v>
      </c>
      <c r="L80" s="180">
        <v>290.98575214168739</v>
      </c>
      <c r="M80" s="180">
        <v>290.98575214168739</v>
      </c>
      <c r="N80" s="180">
        <v>336.90366038824084</v>
      </c>
      <c r="O80" s="180">
        <v>361.87664931679734</v>
      </c>
      <c r="T80" s="180">
        <v>237.61582791247866</v>
      </c>
      <c r="U80" s="180">
        <v>281.10606208025268</v>
      </c>
      <c r="V80" s="180">
        <v>327.76146634357963</v>
      </c>
      <c r="W80" s="180">
        <v>354.20596907726087</v>
      </c>
      <c r="X80" s="180">
        <v>443.46700764720924</v>
      </c>
      <c r="Y80" s="180">
        <v>469.78961972385014</v>
      </c>
      <c r="Z80" s="180">
        <v>445.67772239789105</v>
      </c>
      <c r="AA80" s="180">
        <v>479.08960743744706</v>
      </c>
      <c r="AB80" s="180">
        <v>450.44302435996894</v>
      </c>
      <c r="AC80" s="180">
        <v>450.44302435996894</v>
      </c>
      <c r="AD80" s="180">
        <v>549.56503829682424</v>
      </c>
      <c r="AE80" s="180">
        <v>586.50395036340728</v>
      </c>
      <c r="AJ80" s="180">
        <v>0</v>
      </c>
      <c r="AK80" s="180">
        <v>0</v>
      </c>
      <c r="AL80" s="180">
        <v>0</v>
      </c>
      <c r="AM80" s="180">
        <v>0</v>
      </c>
      <c r="AN80" s="180">
        <v>0</v>
      </c>
      <c r="AO80" s="180">
        <v>0</v>
      </c>
      <c r="AP80" s="180">
        <v>0</v>
      </c>
      <c r="AQ80" s="180">
        <v>0</v>
      </c>
      <c r="AR80" s="180">
        <v>0</v>
      </c>
      <c r="AS80" s="180">
        <v>0</v>
      </c>
      <c r="AT80" s="180">
        <v>0</v>
      </c>
      <c r="AU80" s="180">
        <v>0</v>
      </c>
      <c r="AV80" s="180"/>
    </row>
    <row r="81" spans="36:48" x14ac:dyDescent="0.3">
      <c r="AJ81" s="180"/>
      <c r="AK81" s="180"/>
      <c r="AL81" s="180"/>
      <c r="AM81" s="180"/>
      <c r="AN81" s="180"/>
      <c r="AO81" s="180"/>
      <c r="AP81" s="180"/>
      <c r="AQ81" s="180"/>
      <c r="AR81" s="180"/>
      <c r="AS81" s="180"/>
      <c r="AT81" s="180"/>
      <c r="AU81" s="180"/>
      <c r="AV81" s="180"/>
    </row>
    <row r="82" spans="36:48" x14ac:dyDescent="0.3">
      <c r="AJ82" s="180"/>
      <c r="AK82" s="180"/>
      <c r="AL82" s="180"/>
      <c r="AM82" s="180"/>
      <c r="AN82" s="180"/>
      <c r="AO82" s="180"/>
      <c r="AP82" s="180"/>
      <c r="AQ82" s="180"/>
      <c r="AR82" s="180"/>
      <c r="AS82" s="180"/>
      <c r="AT82" s="180"/>
      <c r="AU82" s="180"/>
      <c r="AV82" s="180"/>
    </row>
  </sheetData>
  <pageMargins left="0.7" right="0.7" top="0.75" bottom="0.75" header="0.3" footer="0.3"/>
  <ignoredErrors>
    <ignoredError sqref="Q1:Q14 Q15:Q1048576" emptyCellReferenc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D933-8FD0-4C4D-85A8-37497964E791}">
  <dimension ref="A1:AW78"/>
  <sheetViews>
    <sheetView zoomScale="80" zoomScaleNormal="80" workbookViewId="0">
      <pane xSplit="3" ySplit="3" topLeftCell="AE4" activePane="bottomRight" state="frozen"/>
      <selection pane="topRight" activeCell="D1" sqref="D1"/>
      <selection pane="bottomLeft" activeCell="A4" sqref="A4"/>
      <selection pane="bottomRight" activeCell="A24" sqref="A24:XFD24"/>
    </sheetView>
  </sheetViews>
  <sheetFormatPr defaultColWidth="8.88671875" defaultRowHeight="14.4" x14ac:dyDescent="0.3"/>
  <cols>
    <col min="1" max="1" width="12.109375" bestFit="1" customWidth="1"/>
    <col min="2" max="2" width="12.109375" customWidth="1"/>
    <col min="3" max="3" width="43" bestFit="1" customWidth="1"/>
    <col min="4" max="4" width="14" style="179" bestFit="1" customWidth="1"/>
    <col min="5" max="7" width="11.33203125" style="179" bestFit="1" customWidth="1"/>
    <col min="8" max="15" width="9" style="179" bestFit="1" customWidth="1"/>
    <col min="16" max="17" width="12.33203125" style="179" bestFit="1" customWidth="1"/>
    <col min="18" max="18" width="2.5546875" style="179" customWidth="1"/>
    <col min="19" max="19" width="10" style="179" customWidth="1"/>
    <col min="20" max="23" width="11.33203125" style="179" bestFit="1" customWidth="1"/>
    <col min="24" max="31" width="9" style="179" customWidth="1"/>
    <col min="32" max="33" width="11.33203125" style="179" bestFit="1" customWidth="1"/>
    <col min="34" max="34" width="2.5546875" style="179" customWidth="1"/>
    <col min="35" max="35" width="10" style="179" customWidth="1"/>
    <col min="36" max="39" width="11.33203125" style="179" bestFit="1" customWidth="1"/>
    <col min="40" max="47" width="9" style="179" customWidth="1"/>
    <col min="48" max="48" width="14" style="179" bestFit="1" customWidth="1"/>
    <col min="49" max="49" width="12.33203125" style="179" bestFit="1" customWidth="1"/>
    <col min="50" max="50" width="9.88671875" style="179" bestFit="1" customWidth="1"/>
    <col min="51" max="16384" width="8.88671875" style="179"/>
  </cols>
  <sheetData>
    <row r="1" spans="1:49" s="204" customFormat="1" ht="21" x14ac:dyDescent="0.4">
      <c r="C1" s="242" t="s">
        <v>106</v>
      </c>
      <c r="S1" s="242" t="s">
        <v>1</v>
      </c>
      <c r="AI1" s="242" t="s">
        <v>3</v>
      </c>
      <c r="AR1" s="204" t="s">
        <v>120</v>
      </c>
      <c r="AW1" s="252"/>
    </row>
    <row r="2" spans="1:49" s="204" customFormat="1" ht="21" x14ac:dyDescent="0.4">
      <c r="C2" s="242" t="s">
        <v>105</v>
      </c>
      <c r="D2" s="263" t="s">
        <v>53</v>
      </c>
      <c r="E2" s="263" t="s">
        <v>53</v>
      </c>
      <c r="F2" s="263" t="s">
        <v>53</v>
      </c>
      <c r="G2" s="263" t="s">
        <v>53</v>
      </c>
      <c r="H2" s="263" t="s">
        <v>53</v>
      </c>
      <c r="S2" s="3"/>
      <c r="T2" s="204" t="s">
        <v>53</v>
      </c>
      <c r="U2" s="204" t="s">
        <v>53</v>
      </c>
      <c r="V2" s="204" t="s">
        <v>53</v>
      </c>
      <c r="W2" s="204" t="s">
        <v>53</v>
      </c>
      <c r="AJ2" s="204" t="s">
        <v>53</v>
      </c>
      <c r="AK2" s="204" t="s">
        <v>53</v>
      </c>
      <c r="AL2" s="204" t="s">
        <v>53</v>
      </c>
      <c r="AM2" s="204" t="s">
        <v>53</v>
      </c>
      <c r="AN2" s="204" t="s">
        <v>53</v>
      </c>
      <c r="AR2" s="204" t="s">
        <v>121</v>
      </c>
      <c r="AW2" s="252"/>
    </row>
    <row r="3" spans="1:49" s="204" customFormat="1" x14ac:dyDescent="0.3">
      <c r="A3" s="243" t="s">
        <v>54</v>
      </c>
      <c r="B3" s="243"/>
      <c r="C3" s="243" t="s">
        <v>4</v>
      </c>
      <c r="D3" s="244">
        <v>45383</v>
      </c>
      <c r="E3" s="244">
        <v>45413</v>
      </c>
      <c r="F3" s="244">
        <v>45444</v>
      </c>
      <c r="G3" s="244">
        <v>45474</v>
      </c>
      <c r="H3" s="244">
        <v>45505</v>
      </c>
      <c r="I3" s="244">
        <v>45536</v>
      </c>
      <c r="J3" s="244">
        <v>45566</v>
      </c>
      <c r="K3" s="244">
        <v>45597</v>
      </c>
      <c r="L3" s="244">
        <v>45627</v>
      </c>
      <c r="M3" s="244">
        <v>45658</v>
      </c>
      <c r="N3" s="244">
        <v>45689</v>
      </c>
      <c r="O3" s="244">
        <v>45717</v>
      </c>
      <c r="P3" s="245" t="s">
        <v>122</v>
      </c>
      <c r="Q3" s="245" t="s">
        <v>53</v>
      </c>
      <c r="S3" s="243" t="s">
        <v>54</v>
      </c>
      <c r="T3" s="244">
        <v>45383</v>
      </c>
      <c r="U3" s="244">
        <v>45413</v>
      </c>
      <c r="V3" s="244">
        <v>45444</v>
      </c>
      <c r="W3" s="244">
        <v>45474</v>
      </c>
      <c r="X3" s="244">
        <v>45505</v>
      </c>
      <c r="Y3" s="244">
        <v>45536</v>
      </c>
      <c r="Z3" s="244">
        <v>45566</v>
      </c>
      <c r="AA3" s="244">
        <v>45597</v>
      </c>
      <c r="AB3" s="244">
        <v>45627</v>
      </c>
      <c r="AC3" s="244">
        <v>45658</v>
      </c>
      <c r="AD3" s="244">
        <v>45689</v>
      </c>
      <c r="AE3" s="244">
        <v>45717</v>
      </c>
      <c r="AF3" s="245" t="s">
        <v>122</v>
      </c>
      <c r="AG3" s="245" t="s">
        <v>53</v>
      </c>
      <c r="AI3" s="243" t="s">
        <v>54</v>
      </c>
      <c r="AJ3" s="244">
        <v>45383</v>
      </c>
      <c r="AK3" s="244">
        <v>45413</v>
      </c>
      <c r="AL3" s="244">
        <v>45444</v>
      </c>
      <c r="AM3" s="244">
        <v>45474</v>
      </c>
      <c r="AN3" s="244">
        <v>45505</v>
      </c>
      <c r="AO3" s="244">
        <v>45536</v>
      </c>
      <c r="AP3" s="244">
        <v>45566</v>
      </c>
      <c r="AQ3" s="244">
        <v>45597</v>
      </c>
      <c r="AR3" s="244">
        <v>45627</v>
      </c>
      <c r="AS3" s="244">
        <v>45658</v>
      </c>
      <c r="AT3" s="244">
        <v>45689</v>
      </c>
      <c r="AU3" s="244">
        <v>45717</v>
      </c>
      <c r="AV3" s="245" t="s">
        <v>122</v>
      </c>
      <c r="AW3" s="253" t="s">
        <v>53</v>
      </c>
    </row>
    <row r="4" spans="1:49" x14ac:dyDescent="0.3">
      <c r="A4" s="246"/>
      <c r="B4" s="246" t="s">
        <v>109</v>
      </c>
      <c r="C4" t="s">
        <v>8</v>
      </c>
      <c r="D4" s="179">
        <v>2580518.6700000009</v>
      </c>
      <c r="E4" s="179">
        <v>2269302.2999999998</v>
      </c>
      <c r="F4" s="179">
        <v>2202045.84</v>
      </c>
      <c r="G4" s="179">
        <v>2448188.0900000003</v>
      </c>
      <c r="P4" s="254">
        <f>SUM(D4:O4)</f>
        <v>9500054.9000000004</v>
      </c>
      <c r="Q4" s="254">
        <f>SUMIF($D$2:$O$2,$Q$3,D4:O4)</f>
        <v>9500054.9000000004</v>
      </c>
      <c r="T4" s="179">
        <v>4267914.7399999993</v>
      </c>
      <c r="U4" s="179">
        <v>3889864.4200000069</v>
      </c>
      <c r="V4" s="179">
        <v>3927721.18</v>
      </c>
      <c r="W4" s="179">
        <v>4073205.91</v>
      </c>
      <c r="AF4" s="254">
        <f>SUM(T4:AE4)</f>
        <v>16158706.250000006</v>
      </c>
      <c r="AG4" s="254">
        <f>SUMIF($T$2:$AE$2,$AG$3,T4:AE4)</f>
        <v>16158706.250000006</v>
      </c>
      <c r="AJ4" s="179">
        <f>+D4+T4</f>
        <v>6848433.4100000001</v>
      </c>
      <c r="AK4" s="179">
        <f t="shared" ref="AK4:AU17" si="0">+E4+U4</f>
        <v>6159166.7200000063</v>
      </c>
      <c r="AL4" s="179">
        <f t="shared" si="0"/>
        <v>6129767.0199999996</v>
      </c>
      <c r="AM4" s="179">
        <f t="shared" si="0"/>
        <v>6521394</v>
      </c>
      <c r="AN4" s="179">
        <f t="shared" si="0"/>
        <v>0</v>
      </c>
      <c r="AO4" s="179">
        <f t="shared" si="0"/>
        <v>0</v>
      </c>
      <c r="AP4" s="179">
        <f t="shared" si="0"/>
        <v>0</v>
      </c>
      <c r="AQ4" s="179">
        <f t="shared" si="0"/>
        <v>0</v>
      </c>
      <c r="AR4" s="179">
        <f t="shared" si="0"/>
        <v>0</v>
      </c>
      <c r="AS4" s="179">
        <f t="shared" si="0"/>
        <v>0</v>
      </c>
      <c r="AT4" s="179">
        <f t="shared" si="0"/>
        <v>0</v>
      </c>
      <c r="AU4" s="179">
        <f t="shared" si="0"/>
        <v>0</v>
      </c>
      <c r="AV4" s="254">
        <f>SUM(AI4:AU4)</f>
        <v>25658761.150000006</v>
      </c>
      <c r="AW4" s="254">
        <f>+AG4+Q4</f>
        <v>25658761.150000006</v>
      </c>
    </row>
    <row r="5" spans="1:49" x14ac:dyDescent="0.3">
      <c r="A5" s="246"/>
      <c r="B5" s="246" t="s">
        <v>50</v>
      </c>
      <c r="C5" t="s">
        <v>26</v>
      </c>
      <c r="D5" s="179">
        <v>9478881.709999999</v>
      </c>
      <c r="E5" s="179">
        <v>9564490.5000000019</v>
      </c>
      <c r="F5" s="179">
        <v>8439554.4100000057</v>
      </c>
      <c r="G5" s="179">
        <v>10292930.99</v>
      </c>
      <c r="P5" s="254">
        <f t="shared" ref="P5:P17" si="1">SUM(D5:O5)</f>
        <v>37775857.610000007</v>
      </c>
      <c r="Q5" s="254">
        <f t="shared" ref="Q5:Q17" si="2">SUMIF($D$2:$O$2,$Q$3,D5:O5)</f>
        <v>37775857.610000007</v>
      </c>
      <c r="T5" s="179">
        <v>18635</v>
      </c>
      <c r="U5" s="179">
        <v>30665</v>
      </c>
      <c r="V5" s="179">
        <v>29682.57</v>
      </c>
      <c r="W5" s="179">
        <v>227084</v>
      </c>
      <c r="AF5" s="254">
        <f t="shared" ref="AF5:AF17" si="3">SUM(T5:AE5)</f>
        <v>306066.57</v>
      </c>
      <c r="AG5" s="254">
        <f t="shared" ref="AG5:AG17" si="4">SUMIF($T$2:$AE$2,$AG$3,T5:AE5)</f>
        <v>306066.57</v>
      </c>
      <c r="AJ5" s="179">
        <f t="shared" ref="AJ5:AJ17" si="5">+D5+T5</f>
        <v>9497516.709999999</v>
      </c>
      <c r="AK5" s="179">
        <f t="shared" si="0"/>
        <v>9595155.5000000019</v>
      </c>
      <c r="AL5" s="179">
        <f t="shared" si="0"/>
        <v>8469236.980000006</v>
      </c>
      <c r="AM5" s="179">
        <f t="shared" si="0"/>
        <v>10520014.99</v>
      </c>
      <c r="AN5" s="179">
        <f t="shared" si="0"/>
        <v>0</v>
      </c>
      <c r="AO5" s="179">
        <f t="shared" si="0"/>
        <v>0</v>
      </c>
      <c r="AP5" s="179">
        <f t="shared" si="0"/>
        <v>0</v>
      </c>
      <c r="AQ5" s="179">
        <f t="shared" si="0"/>
        <v>0</v>
      </c>
      <c r="AR5" s="179">
        <f t="shared" si="0"/>
        <v>0</v>
      </c>
      <c r="AS5" s="179">
        <f t="shared" si="0"/>
        <v>0</v>
      </c>
      <c r="AT5" s="179">
        <f t="shared" si="0"/>
        <v>0</v>
      </c>
      <c r="AU5" s="179">
        <f t="shared" si="0"/>
        <v>0</v>
      </c>
      <c r="AV5" s="254">
        <f t="shared" ref="AV5:AV17" si="6">SUM(AI5:AU5)</f>
        <v>38081924.180000007</v>
      </c>
      <c r="AW5" s="254">
        <f t="shared" ref="AW5:AW17" si="7">+AG5+Q5</f>
        <v>38081924.180000007</v>
      </c>
    </row>
    <row r="6" spans="1:49" x14ac:dyDescent="0.3">
      <c r="A6" s="246"/>
      <c r="B6" s="246" t="s">
        <v>109</v>
      </c>
      <c r="C6" t="s">
        <v>30</v>
      </c>
      <c r="D6" s="179">
        <v>6078118.9600000009</v>
      </c>
      <c r="E6" s="179">
        <v>6680965.3000000007</v>
      </c>
      <c r="F6" s="179">
        <v>5183018.7500000037</v>
      </c>
      <c r="G6" s="179">
        <v>5334646.6399999997</v>
      </c>
      <c r="P6" s="254">
        <f t="shared" si="1"/>
        <v>23276749.650000006</v>
      </c>
      <c r="Q6" s="254">
        <f t="shared" si="2"/>
        <v>23276749.650000006</v>
      </c>
      <c r="T6" s="179">
        <v>6914383.080000001</v>
      </c>
      <c r="U6" s="179">
        <v>7685315.1099999994</v>
      </c>
      <c r="V6" s="179">
        <v>5890627.1799999997</v>
      </c>
      <c r="W6" s="179">
        <v>6660331.3800000008</v>
      </c>
      <c r="AF6" s="254">
        <f t="shared" si="3"/>
        <v>27150656.75</v>
      </c>
      <c r="AG6" s="254">
        <f t="shared" si="4"/>
        <v>27150656.75</v>
      </c>
      <c r="AJ6" s="179">
        <f t="shared" si="5"/>
        <v>12992502.040000003</v>
      </c>
      <c r="AK6" s="179">
        <f t="shared" si="0"/>
        <v>14366280.41</v>
      </c>
      <c r="AL6" s="179">
        <f t="shared" si="0"/>
        <v>11073645.930000003</v>
      </c>
      <c r="AM6" s="179">
        <f t="shared" si="0"/>
        <v>11994978.02</v>
      </c>
      <c r="AN6" s="179">
        <f t="shared" si="0"/>
        <v>0</v>
      </c>
      <c r="AO6" s="179">
        <f t="shared" si="0"/>
        <v>0</v>
      </c>
      <c r="AP6" s="179">
        <f t="shared" si="0"/>
        <v>0</v>
      </c>
      <c r="AQ6" s="179">
        <f t="shared" si="0"/>
        <v>0</v>
      </c>
      <c r="AR6" s="179">
        <f t="shared" si="0"/>
        <v>0</v>
      </c>
      <c r="AS6" s="179">
        <f t="shared" si="0"/>
        <v>0</v>
      </c>
      <c r="AT6" s="179">
        <f t="shared" si="0"/>
        <v>0</v>
      </c>
      <c r="AU6" s="179">
        <f t="shared" si="0"/>
        <v>0</v>
      </c>
      <c r="AV6" s="254">
        <f t="shared" si="6"/>
        <v>50427406.400000006</v>
      </c>
      <c r="AW6" s="254">
        <f t="shared" si="7"/>
        <v>50427406.400000006</v>
      </c>
    </row>
    <row r="7" spans="1:49" x14ac:dyDescent="0.3">
      <c r="A7" s="246"/>
      <c r="B7" s="246" t="s">
        <v>109</v>
      </c>
      <c r="C7" t="s">
        <v>29</v>
      </c>
      <c r="D7" s="179">
        <v>150319</v>
      </c>
      <c r="E7" s="179">
        <v>168832</v>
      </c>
      <c r="F7" s="179">
        <v>161213</v>
      </c>
      <c r="G7" s="179">
        <v>159431</v>
      </c>
      <c r="P7" s="254">
        <f t="shared" si="1"/>
        <v>639795</v>
      </c>
      <c r="Q7" s="254">
        <f t="shared" si="2"/>
        <v>639795</v>
      </c>
      <c r="T7" s="179">
        <v>1989435.01</v>
      </c>
      <c r="U7" s="179">
        <v>2050670</v>
      </c>
      <c r="V7" s="179">
        <v>1796916</v>
      </c>
      <c r="W7" s="179">
        <v>1863339</v>
      </c>
      <c r="AF7" s="254">
        <f t="shared" si="3"/>
        <v>7700360.0099999998</v>
      </c>
      <c r="AG7" s="254">
        <f t="shared" si="4"/>
        <v>7700360.0099999998</v>
      </c>
      <c r="AJ7" s="179">
        <f t="shared" si="5"/>
        <v>2139754.0099999998</v>
      </c>
      <c r="AK7" s="179">
        <f t="shared" si="0"/>
        <v>2219502</v>
      </c>
      <c r="AL7" s="179">
        <f t="shared" si="0"/>
        <v>1958129</v>
      </c>
      <c r="AM7" s="179">
        <f t="shared" si="0"/>
        <v>2022770</v>
      </c>
      <c r="AN7" s="179">
        <f t="shared" si="0"/>
        <v>0</v>
      </c>
      <c r="AO7" s="179">
        <f t="shared" si="0"/>
        <v>0</v>
      </c>
      <c r="AP7" s="179">
        <f t="shared" si="0"/>
        <v>0</v>
      </c>
      <c r="AQ7" s="179">
        <f t="shared" si="0"/>
        <v>0</v>
      </c>
      <c r="AR7" s="179">
        <f t="shared" si="0"/>
        <v>0</v>
      </c>
      <c r="AS7" s="179">
        <f t="shared" si="0"/>
        <v>0</v>
      </c>
      <c r="AT7" s="179">
        <f t="shared" si="0"/>
        <v>0</v>
      </c>
      <c r="AU7" s="179">
        <f t="shared" si="0"/>
        <v>0</v>
      </c>
      <c r="AV7" s="254">
        <f t="shared" si="6"/>
        <v>8340155.0099999998</v>
      </c>
      <c r="AW7" s="254">
        <f t="shared" si="7"/>
        <v>8340155.0099999998</v>
      </c>
    </row>
    <row r="8" spans="1:49" x14ac:dyDescent="0.3">
      <c r="A8" s="246"/>
      <c r="B8" s="246" t="s">
        <v>50</v>
      </c>
      <c r="C8" t="s">
        <v>35</v>
      </c>
      <c r="D8" s="179">
        <v>1206642.0000000009</v>
      </c>
      <c r="E8" s="179">
        <v>1360664.5699999989</v>
      </c>
      <c r="F8" s="179">
        <v>1179229.9999999993</v>
      </c>
      <c r="G8" s="179">
        <v>1351572.0199999998</v>
      </c>
      <c r="P8" s="254">
        <f t="shared" si="1"/>
        <v>5098108.5899999989</v>
      </c>
      <c r="Q8" s="254">
        <f t="shared" si="2"/>
        <v>5098108.5899999989</v>
      </c>
      <c r="T8" s="179">
        <v>0</v>
      </c>
      <c r="U8" s="179">
        <v>0</v>
      </c>
      <c r="V8" s="179">
        <v>0</v>
      </c>
      <c r="W8" s="179">
        <v>0</v>
      </c>
      <c r="AF8" s="254">
        <f t="shared" si="3"/>
        <v>0</v>
      </c>
      <c r="AG8" s="254">
        <f t="shared" si="4"/>
        <v>0</v>
      </c>
      <c r="AJ8" s="179">
        <f t="shared" si="5"/>
        <v>1206642.0000000009</v>
      </c>
      <c r="AK8" s="179">
        <f t="shared" si="0"/>
        <v>1360664.5699999989</v>
      </c>
      <c r="AL8" s="179">
        <f t="shared" si="0"/>
        <v>1179229.9999999993</v>
      </c>
      <c r="AM8" s="179">
        <f t="shared" si="0"/>
        <v>1351572.0199999998</v>
      </c>
      <c r="AN8" s="179">
        <f t="shared" si="0"/>
        <v>0</v>
      </c>
      <c r="AO8" s="179">
        <f t="shared" si="0"/>
        <v>0</v>
      </c>
      <c r="AP8" s="179">
        <f t="shared" si="0"/>
        <v>0</v>
      </c>
      <c r="AQ8" s="179">
        <f t="shared" si="0"/>
        <v>0</v>
      </c>
      <c r="AR8" s="179">
        <f t="shared" si="0"/>
        <v>0</v>
      </c>
      <c r="AS8" s="179">
        <f t="shared" si="0"/>
        <v>0</v>
      </c>
      <c r="AT8" s="179">
        <f t="shared" si="0"/>
        <v>0</v>
      </c>
      <c r="AU8" s="179">
        <f t="shared" si="0"/>
        <v>0</v>
      </c>
      <c r="AV8" s="254">
        <f t="shared" si="6"/>
        <v>5098108.5899999989</v>
      </c>
      <c r="AW8" s="254">
        <f t="shared" si="7"/>
        <v>5098108.5899999989</v>
      </c>
    </row>
    <row r="9" spans="1:49" x14ac:dyDescent="0.3">
      <c r="A9" s="246"/>
      <c r="B9" s="246" t="s">
        <v>109</v>
      </c>
      <c r="C9" t="s">
        <v>18</v>
      </c>
      <c r="D9" s="179">
        <v>655899.89</v>
      </c>
      <c r="E9" s="179">
        <v>424306.78999999986</v>
      </c>
      <c r="F9" s="179">
        <v>464829.52999999991</v>
      </c>
      <c r="G9" s="179">
        <v>454248.92000000027</v>
      </c>
      <c r="P9" s="254">
        <f t="shared" si="1"/>
        <v>1999285.1300000004</v>
      </c>
      <c r="Q9" s="254">
        <f t="shared" si="2"/>
        <v>1999285.1300000004</v>
      </c>
      <c r="T9" s="179">
        <v>1229372.2100000002</v>
      </c>
      <c r="U9" s="179">
        <v>1388872.9199999997</v>
      </c>
      <c r="V9" s="179">
        <v>1388714.1300000001</v>
      </c>
      <c r="W9" s="179">
        <v>1446712.24</v>
      </c>
      <c r="AF9" s="254">
        <f t="shared" si="3"/>
        <v>5453671.5</v>
      </c>
      <c r="AG9" s="254">
        <f t="shared" si="4"/>
        <v>5453671.5</v>
      </c>
      <c r="AJ9" s="179">
        <f t="shared" si="5"/>
        <v>1885272.1</v>
      </c>
      <c r="AK9" s="179">
        <f t="shared" si="0"/>
        <v>1813179.7099999995</v>
      </c>
      <c r="AL9" s="179">
        <f t="shared" si="0"/>
        <v>1853543.6600000001</v>
      </c>
      <c r="AM9" s="179">
        <f t="shared" si="0"/>
        <v>1900961.1600000001</v>
      </c>
      <c r="AN9" s="179">
        <f t="shared" si="0"/>
        <v>0</v>
      </c>
      <c r="AO9" s="179">
        <f t="shared" si="0"/>
        <v>0</v>
      </c>
      <c r="AP9" s="179">
        <f t="shared" si="0"/>
        <v>0</v>
      </c>
      <c r="AQ9" s="179">
        <f t="shared" si="0"/>
        <v>0</v>
      </c>
      <c r="AR9" s="179">
        <f t="shared" si="0"/>
        <v>0</v>
      </c>
      <c r="AS9" s="179">
        <f t="shared" si="0"/>
        <v>0</v>
      </c>
      <c r="AT9" s="179">
        <f t="shared" si="0"/>
        <v>0</v>
      </c>
      <c r="AU9" s="179">
        <f t="shared" si="0"/>
        <v>0</v>
      </c>
      <c r="AV9" s="254">
        <f t="shared" si="6"/>
        <v>7452956.6299999999</v>
      </c>
      <c r="AW9" s="254">
        <f t="shared" si="7"/>
        <v>7452956.6300000008</v>
      </c>
    </row>
    <row r="10" spans="1:49" x14ac:dyDescent="0.3">
      <c r="A10" s="246"/>
      <c r="B10" s="246" t="s">
        <v>109</v>
      </c>
      <c r="C10" t="s">
        <v>36</v>
      </c>
      <c r="D10" s="179">
        <v>590747.97999999986</v>
      </c>
      <c r="E10" s="179">
        <v>596337.30000000016</v>
      </c>
      <c r="F10" s="179">
        <v>475128.42999999993</v>
      </c>
      <c r="G10" s="179">
        <v>625728.14000000025</v>
      </c>
      <c r="P10" s="254">
        <f t="shared" si="1"/>
        <v>2287941.85</v>
      </c>
      <c r="Q10" s="254">
        <f t="shared" si="2"/>
        <v>2287941.85</v>
      </c>
      <c r="T10" s="179">
        <v>860384.27999999991</v>
      </c>
      <c r="U10" s="179">
        <v>822353.20000000007</v>
      </c>
      <c r="V10" s="179">
        <v>836638.57</v>
      </c>
      <c r="W10" s="179">
        <v>847569.8600000001</v>
      </c>
      <c r="AF10" s="254">
        <f t="shared" si="3"/>
        <v>3366945.91</v>
      </c>
      <c r="AG10" s="254">
        <f t="shared" si="4"/>
        <v>3366945.91</v>
      </c>
      <c r="AJ10" s="179">
        <f t="shared" si="5"/>
        <v>1451132.2599999998</v>
      </c>
      <c r="AK10" s="179">
        <f t="shared" si="0"/>
        <v>1418690.5000000002</v>
      </c>
      <c r="AL10" s="179">
        <f t="shared" si="0"/>
        <v>1311767</v>
      </c>
      <c r="AM10" s="179">
        <f t="shared" si="0"/>
        <v>1473298.0000000005</v>
      </c>
      <c r="AN10" s="179">
        <f t="shared" si="0"/>
        <v>0</v>
      </c>
      <c r="AO10" s="179">
        <f t="shared" si="0"/>
        <v>0</v>
      </c>
      <c r="AP10" s="179">
        <f t="shared" si="0"/>
        <v>0</v>
      </c>
      <c r="AQ10" s="179">
        <f t="shared" si="0"/>
        <v>0</v>
      </c>
      <c r="AR10" s="179">
        <f t="shared" si="0"/>
        <v>0</v>
      </c>
      <c r="AS10" s="179">
        <f t="shared" si="0"/>
        <v>0</v>
      </c>
      <c r="AT10" s="179">
        <f t="shared" si="0"/>
        <v>0</v>
      </c>
      <c r="AU10" s="179">
        <f t="shared" si="0"/>
        <v>0</v>
      </c>
      <c r="AV10" s="254">
        <f t="shared" si="6"/>
        <v>5654887.7599999998</v>
      </c>
      <c r="AW10" s="254">
        <f t="shared" si="7"/>
        <v>5654887.7599999998</v>
      </c>
    </row>
    <row r="11" spans="1:49" x14ac:dyDescent="0.3">
      <c r="A11" s="246"/>
      <c r="B11" s="246" t="s">
        <v>109</v>
      </c>
      <c r="C11" t="s">
        <v>23</v>
      </c>
      <c r="D11" s="179">
        <v>848245.51</v>
      </c>
      <c r="E11" s="179">
        <v>951128.99999999965</v>
      </c>
      <c r="F11" s="179">
        <v>866993</v>
      </c>
      <c r="G11" s="179">
        <v>976472</v>
      </c>
      <c r="P11" s="254">
        <f t="shared" si="1"/>
        <v>3642839.51</v>
      </c>
      <c r="Q11" s="254">
        <f t="shared" si="2"/>
        <v>3642839.51</v>
      </c>
      <c r="T11" s="179">
        <v>2121939.0000000005</v>
      </c>
      <c r="U11" s="179">
        <v>3333669</v>
      </c>
      <c r="V11" s="179">
        <v>3919518</v>
      </c>
      <c r="W11" s="179">
        <v>3510305</v>
      </c>
      <c r="AF11" s="254">
        <f t="shared" si="3"/>
        <v>12885431</v>
      </c>
      <c r="AG11" s="254">
        <f t="shared" si="4"/>
        <v>12885431</v>
      </c>
      <c r="AJ11" s="179">
        <f t="shared" si="5"/>
        <v>2970184.5100000007</v>
      </c>
      <c r="AK11" s="179">
        <f t="shared" si="0"/>
        <v>4284798</v>
      </c>
      <c r="AL11" s="179">
        <f t="shared" si="0"/>
        <v>4786511</v>
      </c>
      <c r="AM11" s="179">
        <f t="shared" si="0"/>
        <v>4486777</v>
      </c>
      <c r="AN11" s="179">
        <f t="shared" si="0"/>
        <v>0</v>
      </c>
      <c r="AO11" s="179">
        <f t="shared" si="0"/>
        <v>0</v>
      </c>
      <c r="AP11" s="179">
        <f t="shared" si="0"/>
        <v>0</v>
      </c>
      <c r="AQ11" s="179">
        <f t="shared" si="0"/>
        <v>0</v>
      </c>
      <c r="AR11" s="179">
        <f t="shared" si="0"/>
        <v>0</v>
      </c>
      <c r="AS11" s="179">
        <f t="shared" si="0"/>
        <v>0</v>
      </c>
      <c r="AT11" s="179">
        <f t="shared" si="0"/>
        <v>0</v>
      </c>
      <c r="AU11" s="179">
        <f t="shared" si="0"/>
        <v>0</v>
      </c>
      <c r="AV11" s="254">
        <f t="shared" si="6"/>
        <v>16528270.510000002</v>
      </c>
      <c r="AW11" s="254">
        <f t="shared" si="7"/>
        <v>16528270.51</v>
      </c>
    </row>
    <row r="12" spans="1:49" x14ac:dyDescent="0.3">
      <c r="A12" s="246"/>
      <c r="B12" s="246" t="s">
        <v>109</v>
      </c>
      <c r="C12" t="s">
        <v>28</v>
      </c>
      <c r="D12" s="179">
        <v>701986.2</v>
      </c>
      <c r="E12" s="179">
        <v>581563.75999999989</v>
      </c>
      <c r="F12" s="179">
        <v>559018.30000000005</v>
      </c>
      <c r="G12" s="179">
        <v>620715.31999999972</v>
      </c>
      <c r="P12" s="254">
        <f t="shared" si="1"/>
        <v>2463283.5799999996</v>
      </c>
      <c r="Q12" s="254">
        <f t="shared" si="2"/>
        <v>2463283.5799999996</v>
      </c>
      <c r="T12" s="179">
        <v>3683781.4000000004</v>
      </c>
      <c r="U12" s="179">
        <v>3599795.6999999997</v>
      </c>
      <c r="V12" s="179">
        <v>3431303.0900000008</v>
      </c>
      <c r="W12" s="179">
        <v>3379000.6600000006</v>
      </c>
      <c r="AF12" s="254">
        <f t="shared" si="3"/>
        <v>14093880.850000001</v>
      </c>
      <c r="AG12" s="254">
        <f t="shared" si="4"/>
        <v>14093880.850000001</v>
      </c>
      <c r="AJ12" s="179">
        <f t="shared" si="5"/>
        <v>4385767.6000000006</v>
      </c>
      <c r="AK12" s="179">
        <f t="shared" si="0"/>
        <v>4181359.4599999995</v>
      </c>
      <c r="AL12" s="179">
        <f t="shared" si="0"/>
        <v>3990321.3900000006</v>
      </c>
      <c r="AM12" s="179">
        <f t="shared" si="0"/>
        <v>3999715.9800000004</v>
      </c>
      <c r="AN12" s="179">
        <f t="shared" si="0"/>
        <v>0</v>
      </c>
      <c r="AO12" s="179">
        <f t="shared" si="0"/>
        <v>0</v>
      </c>
      <c r="AP12" s="179">
        <f t="shared" si="0"/>
        <v>0</v>
      </c>
      <c r="AQ12" s="179">
        <f t="shared" si="0"/>
        <v>0</v>
      </c>
      <c r="AR12" s="179">
        <f t="shared" si="0"/>
        <v>0</v>
      </c>
      <c r="AS12" s="179">
        <f t="shared" si="0"/>
        <v>0</v>
      </c>
      <c r="AT12" s="179">
        <f t="shared" si="0"/>
        <v>0</v>
      </c>
      <c r="AU12" s="179">
        <f t="shared" si="0"/>
        <v>0</v>
      </c>
      <c r="AV12" s="254">
        <f t="shared" si="6"/>
        <v>16557164.430000002</v>
      </c>
      <c r="AW12" s="254">
        <f t="shared" si="7"/>
        <v>16557164.430000002</v>
      </c>
    </row>
    <row r="13" spans="1:49" x14ac:dyDescent="0.3">
      <c r="A13" s="246"/>
      <c r="B13" s="246" t="s">
        <v>50</v>
      </c>
      <c r="C13" t="s">
        <v>33</v>
      </c>
      <c r="D13" s="179">
        <v>406084.05999999994</v>
      </c>
      <c r="E13" s="179">
        <v>528114.17000000004</v>
      </c>
      <c r="F13" s="179">
        <v>498561.24</v>
      </c>
      <c r="G13" s="179">
        <v>619279.97000000009</v>
      </c>
      <c r="P13" s="254">
        <f t="shared" si="1"/>
        <v>2052039.44</v>
      </c>
      <c r="Q13" s="254">
        <f t="shared" si="2"/>
        <v>2052039.44</v>
      </c>
      <c r="T13" s="179">
        <v>20783.95</v>
      </c>
      <c r="U13" s="179">
        <v>12890</v>
      </c>
      <c r="V13" s="179">
        <v>15305.75</v>
      </c>
      <c r="W13" s="179">
        <v>600</v>
      </c>
      <c r="AF13" s="254">
        <f t="shared" si="3"/>
        <v>49579.7</v>
      </c>
      <c r="AG13" s="254">
        <f t="shared" si="4"/>
        <v>49579.7</v>
      </c>
      <c r="AJ13" s="179">
        <f t="shared" si="5"/>
        <v>426868.00999999995</v>
      </c>
      <c r="AK13" s="179">
        <f t="shared" si="0"/>
        <v>541004.17000000004</v>
      </c>
      <c r="AL13" s="179">
        <f t="shared" si="0"/>
        <v>513866.99</v>
      </c>
      <c r="AM13" s="179">
        <f t="shared" si="0"/>
        <v>619879.97000000009</v>
      </c>
      <c r="AN13" s="179">
        <f t="shared" si="0"/>
        <v>0</v>
      </c>
      <c r="AO13" s="179">
        <f t="shared" si="0"/>
        <v>0</v>
      </c>
      <c r="AP13" s="179">
        <f t="shared" si="0"/>
        <v>0</v>
      </c>
      <c r="AQ13" s="179">
        <f t="shared" si="0"/>
        <v>0</v>
      </c>
      <c r="AR13" s="179">
        <f t="shared" si="0"/>
        <v>0</v>
      </c>
      <c r="AS13" s="179">
        <f t="shared" si="0"/>
        <v>0</v>
      </c>
      <c r="AT13" s="179">
        <f t="shared" si="0"/>
        <v>0</v>
      </c>
      <c r="AU13" s="179">
        <f t="shared" si="0"/>
        <v>0</v>
      </c>
      <c r="AV13" s="254">
        <f t="shared" si="6"/>
        <v>2101619.14</v>
      </c>
      <c r="AW13" s="254">
        <f t="shared" si="7"/>
        <v>2101619.14</v>
      </c>
    </row>
    <row r="14" spans="1:49" x14ac:dyDescent="0.3">
      <c r="A14" s="246"/>
      <c r="B14" s="246" t="s">
        <v>50</v>
      </c>
      <c r="C14" t="s">
        <v>17</v>
      </c>
      <c r="D14" s="179">
        <v>595481.51</v>
      </c>
      <c r="E14" s="179">
        <v>995604</v>
      </c>
      <c r="F14" s="179">
        <v>958977.00999999931</v>
      </c>
      <c r="G14" s="179">
        <v>929284</v>
      </c>
      <c r="P14" s="254">
        <f t="shared" si="1"/>
        <v>3479346.5199999996</v>
      </c>
      <c r="Q14" s="254">
        <f t="shared" si="2"/>
        <v>3479346.5199999996</v>
      </c>
      <c r="T14" s="179">
        <v>0</v>
      </c>
      <c r="U14" s="179">
        <v>0</v>
      </c>
      <c r="V14" s="179">
        <v>0</v>
      </c>
      <c r="W14" s="179">
        <v>0</v>
      </c>
      <c r="AF14" s="254">
        <f t="shared" si="3"/>
        <v>0</v>
      </c>
      <c r="AG14" s="254">
        <f t="shared" si="4"/>
        <v>0</v>
      </c>
      <c r="AJ14" s="179">
        <f t="shared" si="5"/>
        <v>595481.51</v>
      </c>
      <c r="AK14" s="179">
        <f t="shared" si="0"/>
        <v>995604</v>
      </c>
      <c r="AL14" s="179">
        <f t="shared" si="0"/>
        <v>958977.00999999931</v>
      </c>
      <c r="AM14" s="179">
        <f t="shared" si="0"/>
        <v>929284</v>
      </c>
      <c r="AN14" s="179">
        <f t="shared" si="0"/>
        <v>0</v>
      </c>
      <c r="AO14" s="179">
        <f t="shared" si="0"/>
        <v>0</v>
      </c>
      <c r="AP14" s="179">
        <f t="shared" si="0"/>
        <v>0</v>
      </c>
      <c r="AQ14" s="179">
        <f t="shared" si="0"/>
        <v>0</v>
      </c>
      <c r="AR14" s="179">
        <f t="shared" si="0"/>
        <v>0</v>
      </c>
      <c r="AS14" s="179">
        <f t="shared" si="0"/>
        <v>0</v>
      </c>
      <c r="AT14" s="179">
        <f t="shared" si="0"/>
        <v>0</v>
      </c>
      <c r="AU14" s="179">
        <f t="shared" si="0"/>
        <v>0</v>
      </c>
      <c r="AV14" s="254">
        <f t="shared" si="6"/>
        <v>3479346.5199999996</v>
      </c>
      <c r="AW14" s="254">
        <f t="shared" si="7"/>
        <v>3479346.5199999996</v>
      </c>
    </row>
    <row r="15" spans="1:49" x14ac:dyDescent="0.3">
      <c r="A15" s="246"/>
      <c r="B15" s="246" t="s">
        <v>113</v>
      </c>
      <c r="C15" t="s">
        <v>31</v>
      </c>
      <c r="D15" s="179">
        <v>840585.8</v>
      </c>
      <c r="E15" s="179">
        <v>861133</v>
      </c>
      <c r="F15" s="179">
        <v>954041.00999999989</v>
      </c>
      <c r="G15" s="179">
        <v>1075642</v>
      </c>
      <c r="P15" s="254">
        <f t="shared" si="1"/>
        <v>3731401.81</v>
      </c>
      <c r="Q15" s="254">
        <f t="shared" si="2"/>
        <v>3731401.81</v>
      </c>
      <c r="T15" s="179">
        <v>0</v>
      </c>
      <c r="U15" s="179">
        <v>0</v>
      </c>
      <c r="V15" s="179">
        <v>0</v>
      </c>
      <c r="W15" s="179">
        <v>0</v>
      </c>
      <c r="AF15" s="254">
        <f t="shared" si="3"/>
        <v>0</v>
      </c>
      <c r="AG15" s="254">
        <f t="shared" si="4"/>
        <v>0</v>
      </c>
      <c r="AJ15" s="179">
        <f t="shared" si="5"/>
        <v>840585.8</v>
      </c>
      <c r="AK15" s="179">
        <f t="shared" si="0"/>
        <v>861133</v>
      </c>
      <c r="AL15" s="179">
        <f t="shared" si="0"/>
        <v>954041.00999999989</v>
      </c>
      <c r="AM15" s="179">
        <f t="shared" si="0"/>
        <v>1075642</v>
      </c>
      <c r="AN15" s="179">
        <f t="shared" si="0"/>
        <v>0</v>
      </c>
      <c r="AO15" s="179">
        <f t="shared" si="0"/>
        <v>0</v>
      </c>
      <c r="AP15" s="179">
        <f t="shared" si="0"/>
        <v>0</v>
      </c>
      <c r="AQ15" s="179">
        <f t="shared" si="0"/>
        <v>0</v>
      </c>
      <c r="AR15" s="179">
        <f t="shared" si="0"/>
        <v>0</v>
      </c>
      <c r="AS15" s="179">
        <f t="shared" si="0"/>
        <v>0</v>
      </c>
      <c r="AT15" s="179">
        <f t="shared" si="0"/>
        <v>0</v>
      </c>
      <c r="AU15" s="179">
        <f t="shared" si="0"/>
        <v>0</v>
      </c>
      <c r="AV15" s="254">
        <f t="shared" si="6"/>
        <v>3731401.81</v>
      </c>
      <c r="AW15" s="254">
        <f t="shared" si="7"/>
        <v>3731401.81</v>
      </c>
    </row>
    <row r="16" spans="1:49" x14ac:dyDescent="0.3">
      <c r="A16" s="246"/>
      <c r="B16" s="246" t="s">
        <v>113</v>
      </c>
      <c r="C16" t="s">
        <v>9</v>
      </c>
      <c r="D16" s="179">
        <v>578637</v>
      </c>
      <c r="E16" s="179">
        <v>588726.75</v>
      </c>
      <c r="F16" s="179">
        <v>487248.84000000008</v>
      </c>
      <c r="G16" s="179">
        <v>4800</v>
      </c>
      <c r="P16" s="254">
        <f t="shared" si="1"/>
        <v>1659412.59</v>
      </c>
      <c r="Q16" s="254">
        <f t="shared" si="2"/>
        <v>1659412.59</v>
      </c>
      <c r="T16" s="179">
        <v>160901</v>
      </c>
      <c r="U16" s="179">
        <v>236380.45</v>
      </c>
      <c r="V16" s="179">
        <v>186227.16</v>
      </c>
      <c r="W16" s="179">
        <v>15600</v>
      </c>
      <c r="AF16" s="254">
        <f t="shared" si="3"/>
        <v>599108.61</v>
      </c>
      <c r="AG16" s="254">
        <f t="shared" si="4"/>
        <v>599108.61</v>
      </c>
      <c r="AJ16" s="179">
        <f t="shared" si="5"/>
        <v>739538</v>
      </c>
      <c r="AK16" s="179">
        <f t="shared" si="0"/>
        <v>825107.2</v>
      </c>
      <c r="AL16" s="179">
        <f t="shared" si="0"/>
        <v>673476.00000000012</v>
      </c>
      <c r="AM16" s="179">
        <f t="shared" si="0"/>
        <v>20400</v>
      </c>
      <c r="AN16" s="179">
        <f t="shared" si="0"/>
        <v>0</v>
      </c>
      <c r="AO16" s="179">
        <f t="shared" si="0"/>
        <v>0</v>
      </c>
      <c r="AP16" s="179">
        <f t="shared" si="0"/>
        <v>0</v>
      </c>
      <c r="AQ16" s="179">
        <f t="shared" si="0"/>
        <v>0</v>
      </c>
      <c r="AR16" s="179">
        <f t="shared" si="0"/>
        <v>0</v>
      </c>
      <c r="AS16" s="179">
        <f t="shared" si="0"/>
        <v>0</v>
      </c>
      <c r="AT16" s="179">
        <f t="shared" si="0"/>
        <v>0</v>
      </c>
      <c r="AU16" s="179">
        <f t="shared" si="0"/>
        <v>0</v>
      </c>
      <c r="AV16" s="254">
        <f t="shared" si="6"/>
        <v>2258521.2000000002</v>
      </c>
      <c r="AW16" s="254">
        <f t="shared" si="7"/>
        <v>2258521.2000000002</v>
      </c>
    </row>
    <row r="17" spans="1:49" x14ac:dyDescent="0.3">
      <c r="A17" s="246"/>
      <c r="B17" s="246" t="s">
        <v>113</v>
      </c>
      <c r="C17" t="s">
        <v>22</v>
      </c>
      <c r="D17" s="179">
        <v>210558</v>
      </c>
      <c r="E17" s="179">
        <v>258736</v>
      </c>
      <c r="F17" s="179">
        <v>262039</v>
      </c>
      <c r="G17" s="179">
        <v>213492</v>
      </c>
      <c r="P17" s="254">
        <f t="shared" si="1"/>
        <v>944825</v>
      </c>
      <c r="Q17" s="254">
        <f t="shared" si="2"/>
        <v>944825</v>
      </c>
      <c r="T17" s="179">
        <v>11442</v>
      </c>
      <c r="U17" s="179">
        <v>16234</v>
      </c>
      <c r="V17" s="179">
        <v>11812</v>
      </c>
      <c r="W17" s="179">
        <v>8667</v>
      </c>
      <c r="AF17" s="254">
        <f t="shared" si="3"/>
        <v>48155</v>
      </c>
      <c r="AG17" s="254">
        <f t="shared" si="4"/>
        <v>48155</v>
      </c>
      <c r="AJ17" s="179">
        <f t="shared" si="5"/>
        <v>222000</v>
      </c>
      <c r="AK17" s="179">
        <f t="shared" si="0"/>
        <v>274970</v>
      </c>
      <c r="AL17" s="179">
        <f t="shared" si="0"/>
        <v>273851</v>
      </c>
      <c r="AM17" s="179">
        <f t="shared" si="0"/>
        <v>222159</v>
      </c>
      <c r="AN17" s="179">
        <f t="shared" si="0"/>
        <v>0</v>
      </c>
      <c r="AO17" s="179">
        <f t="shared" si="0"/>
        <v>0</v>
      </c>
      <c r="AP17" s="179">
        <f t="shared" si="0"/>
        <v>0</v>
      </c>
      <c r="AQ17" s="179">
        <f t="shared" si="0"/>
        <v>0</v>
      </c>
      <c r="AR17" s="179">
        <f t="shared" si="0"/>
        <v>0</v>
      </c>
      <c r="AS17" s="179">
        <f t="shared" si="0"/>
        <v>0</v>
      </c>
      <c r="AT17" s="179">
        <f t="shared" si="0"/>
        <v>0</v>
      </c>
      <c r="AU17" s="179">
        <f t="shared" si="0"/>
        <v>0</v>
      </c>
      <c r="AV17" s="254">
        <f t="shared" si="6"/>
        <v>992980</v>
      </c>
      <c r="AW17" s="254">
        <f t="shared" si="7"/>
        <v>992980</v>
      </c>
    </row>
    <row r="18" spans="1:49" x14ac:dyDescent="0.3">
      <c r="A18" s="248">
        <f>SUM(A4:A17)</f>
        <v>0</v>
      </c>
      <c r="B18" s="248"/>
      <c r="C18" s="203" t="s">
        <v>3</v>
      </c>
      <c r="D18" s="255">
        <f t="shared" ref="D18:Q18" si="8">SUM(D4:D17)</f>
        <v>24922706.290000003</v>
      </c>
      <c r="E18" s="255">
        <f t="shared" si="8"/>
        <v>25829905.440000005</v>
      </c>
      <c r="F18" s="255">
        <f t="shared" si="8"/>
        <v>22691898.360000007</v>
      </c>
      <c r="G18" s="255">
        <f t="shared" si="8"/>
        <v>25106431.09</v>
      </c>
      <c r="H18" s="255">
        <f t="shared" si="8"/>
        <v>0</v>
      </c>
      <c r="I18" s="255">
        <f t="shared" si="8"/>
        <v>0</v>
      </c>
      <c r="J18" s="255">
        <f t="shared" si="8"/>
        <v>0</v>
      </c>
      <c r="K18" s="255">
        <f t="shared" si="8"/>
        <v>0</v>
      </c>
      <c r="L18" s="255">
        <f t="shared" si="8"/>
        <v>0</v>
      </c>
      <c r="M18" s="255">
        <f t="shared" si="8"/>
        <v>0</v>
      </c>
      <c r="N18" s="255">
        <f t="shared" si="8"/>
        <v>0</v>
      </c>
      <c r="O18" s="255">
        <f t="shared" si="8"/>
        <v>0</v>
      </c>
      <c r="P18" s="255">
        <f t="shared" si="8"/>
        <v>98550941.180000007</v>
      </c>
      <c r="Q18" s="255">
        <f t="shared" si="8"/>
        <v>98550941.180000007</v>
      </c>
      <c r="S18" s="255"/>
      <c r="T18" s="255">
        <f t="shared" ref="T18:AF18" si="9">SUM(T4:T17)</f>
        <v>21278971.669999998</v>
      </c>
      <c r="U18" s="255">
        <f t="shared" si="9"/>
        <v>23066709.800000004</v>
      </c>
      <c r="V18" s="255">
        <f t="shared" si="9"/>
        <v>21434465.630000003</v>
      </c>
      <c r="W18" s="255">
        <f t="shared" si="9"/>
        <v>22032415.050000001</v>
      </c>
      <c r="X18" s="255">
        <f t="shared" si="9"/>
        <v>0</v>
      </c>
      <c r="Y18" s="255">
        <f t="shared" si="9"/>
        <v>0</v>
      </c>
      <c r="Z18" s="255">
        <f t="shared" si="9"/>
        <v>0</v>
      </c>
      <c r="AA18" s="255">
        <f t="shared" si="9"/>
        <v>0</v>
      </c>
      <c r="AB18" s="255">
        <f t="shared" si="9"/>
        <v>0</v>
      </c>
      <c r="AC18" s="255">
        <f t="shared" si="9"/>
        <v>0</v>
      </c>
      <c r="AD18" s="255">
        <f t="shared" si="9"/>
        <v>0</v>
      </c>
      <c r="AE18" s="255">
        <f t="shared" si="9"/>
        <v>0</v>
      </c>
      <c r="AF18" s="255">
        <f t="shared" si="9"/>
        <v>87812562.150000006</v>
      </c>
      <c r="AG18" s="255"/>
      <c r="AI18" s="255">
        <f t="shared" ref="AI18:AV18" si="10">SUM(AI4:AI17)</f>
        <v>0</v>
      </c>
      <c r="AJ18" s="255">
        <f t="shared" si="10"/>
        <v>46201677.959999993</v>
      </c>
      <c r="AK18" s="255">
        <f t="shared" si="10"/>
        <v>48896615.240000017</v>
      </c>
      <c r="AL18" s="255">
        <f t="shared" si="10"/>
        <v>44126363.990000002</v>
      </c>
      <c r="AM18" s="255">
        <f t="shared" si="10"/>
        <v>47138846.140000001</v>
      </c>
      <c r="AN18" s="255">
        <f t="shared" si="10"/>
        <v>0</v>
      </c>
      <c r="AO18" s="255">
        <f t="shared" si="10"/>
        <v>0</v>
      </c>
      <c r="AP18" s="255">
        <f t="shared" si="10"/>
        <v>0</v>
      </c>
      <c r="AQ18" s="255">
        <f t="shared" si="10"/>
        <v>0</v>
      </c>
      <c r="AR18" s="255">
        <f t="shared" si="10"/>
        <v>0</v>
      </c>
      <c r="AS18" s="255">
        <f t="shared" si="10"/>
        <v>0</v>
      </c>
      <c r="AT18" s="255">
        <f t="shared" si="10"/>
        <v>0</v>
      </c>
      <c r="AU18" s="255">
        <f t="shared" si="10"/>
        <v>0</v>
      </c>
      <c r="AV18" s="255">
        <f t="shared" si="10"/>
        <v>186363503.33000001</v>
      </c>
      <c r="AW18" s="255"/>
    </row>
    <row r="20" spans="1:49" x14ac:dyDescent="0.3">
      <c r="C20" s="192" t="s">
        <v>56</v>
      </c>
    </row>
    <row r="21" spans="1:49" x14ac:dyDescent="0.3">
      <c r="A21" s="246"/>
      <c r="B21" s="246" t="s">
        <v>56</v>
      </c>
      <c r="C21" t="s">
        <v>27</v>
      </c>
      <c r="D21" s="179">
        <v>715345</v>
      </c>
      <c r="E21" s="179">
        <v>902059</v>
      </c>
      <c r="F21" s="179">
        <v>635397</v>
      </c>
      <c r="G21" s="179">
        <v>754389</v>
      </c>
      <c r="P21" s="254">
        <f>SUM(D21:O21)</f>
        <v>3007190</v>
      </c>
      <c r="Q21" s="254">
        <f t="shared" ref="Q21:Q29" si="11">SUMIF($D$2:$O$2,$Q$3,D21:O21)</f>
        <v>3007190</v>
      </c>
      <c r="T21" s="179">
        <v>0</v>
      </c>
      <c r="U21" s="179">
        <v>0</v>
      </c>
      <c r="V21" s="179">
        <v>0</v>
      </c>
      <c r="W21" s="179">
        <v>0</v>
      </c>
      <c r="AF21" s="254">
        <f>SUM(T21:AE21)</f>
        <v>0</v>
      </c>
      <c r="AG21" s="254">
        <f t="shared" ref="AG21:AG29" si="12">SUMIF($T$2:$AE$2,$AG$3,T21:AE21)</f>
        <v>0</v>
      </c>
      <c r="AJ21" s="179">
        <f>+D21+T21</f>
        <v>715345</v>
      </c>
      <c r="AK21" s="179">
        <f t="shared" ref="AK21:AU29" si="13">+E21+U21</f>
        <v>902059</v>
      </c>
      <c r="AL21" s="179">
        <f t="shared" si="13"/>
        <v>635397</v>
      </c>
      <c r="AM21" s="179">
        <f t="shared" si="13"/>
        <v>754389</v>
      </c>
      <c r="AN21" s="179">
        <f t="shared" si="13"/>
        <v>0</v>
      </c>
      <c r="AO21" s="179">
        <f t="shared" si="13"/>
        <v>0</v>
      </c>
      <c r="AP21" s="179">
        <f t="shared" si="13"/>
        <v>0</v>
      </c>
      <c r="AQ21" s="179">
        <f t="shared" si="13"/>
        <v>0</v>
      </c>
      <c r="AR21" s="179">
        <f t="shared" si="13"/>
        <v>0</v>
      </c>
      <c r="AS21" s="179">
        <f t="shared" si="13"/>
        <v>0</v>
      </c>
      <c r="AT21" s="179">
        <f t="shared" si="13"/>
        <v>0</v>
      </c>
      <c r="AU21" s="179">
        <f t="shared" si="13"/>
        <v>0</v>
      </c>
      <c r="AV21" s="254">
        <f>SUM(AJ21:AU21)</f>
        <v>3007190</v>
      </c>
      <c r="AW21" s="254">
        <f>+Q21+AG21</f>
        <v>3007190</v>
      </c>
    </row>
    <row r="22" spans="1:49" x14ac:dyDescent="0.3">
      <c r="A22" s="246"/>
      <c r="B22" s="246" t="s">
        <v>56</v>
      </c>
      <c r="C22" t="s">
        <v>24</v>
      </c>
      <c r="D22" s="179">
        <v>1571635</v>
      </c>
      <c r="E22" s="179">
        <v>1710692</v>
      </c>
      <c r="F22" s="179">
        <v>1712020</v>
      </c>
      <c r="G22" s="179">
        <v>1971000</v>
      </c>
      <c r="P22" s="254">
        <f t="shared" ref="P22:P29" si="14">SUM(D22:O22)</f>
        <v>6965347</v>
      </c>
      <c r="Q22" s="254">
        <f t="shared" si="11"/>
        <v>6965347</v>
      </c>
      <c r="T22" s="179">
        <v>3500</v>
      </c>
      <c r="U22" s="179">
        <v>0</v>
      </c>
      <c r="V22" s="179">
        <v>0</v>
      </c>
      <c r="W22" s="179">
        <v>0</v>
      </c>
      <c r="AF22" s="254">
        <f t="shared" ref="AF22:AF29" si="15">SUM(T22:AE22)</f>
        <v>3500</v>
      </c>
      <c r="AG22" s="254">
        <f t="shared" si="12"/>
        <v>3500</v>
      </c>
      <c r="AJ22" s="179">
        <f t="shared" ref="AJ22:AJ29" si="16">+D22+T22</f>
        <v>1575135</v>
      </c>
      <c r="AK22" s="179">
        <f t="shared" si="13"/>
        <v>1710692</v>
      </c>
      <c r="AL22" s="179">
        <f t="shared" si="13"/>
        <v>1712020</v>
      </c>
      <c r="AM22" s="179">
        <f t="shared" si="13"/>
        <v>1971000</v>
      </c>
      <c r="AN22" s="179">
        <f t="shared" si="13"/>
        <v>0</v>
      </c>
      <c r="AO22" s="179">
        <f t="shared" si="13"/>
        <v>0</v>
      </c>
      <c r="AP22" s="179">
        <f t="shared" si="13"/>
        <v>0</v>
      </c>
      <c r="AQ22" s="179">
        <f t="shared" si="13"/>
        <v>0</v>
      </c>
      <c r="AR22" s="179">
        <f t="shared" si="13"/>
        <v>0</v>
      </c>
      <c r="AS22" s="179">
        <f t="shared" si="13"/>
        <v>0</v>
      </c>
      <c r="AT22" s="179">
        <f t="shared" si="13"/>
        <v>0</v>
      </c>
      <c r="AU22" s="179">
        <f t="shared" si="13"/>
        <v>0</v>
      </c>
      <c r="AV22" s="254">
        <f t="shared" ref="AV22:AV29" si="17">SUM(AJ22:AU22)</f>
        <v>6968847</v>
      </c>
      <c r="AW22" s="254">
        <f t="shared" ref="AW22:AW29" si="18">+Q22+AG22</f>
        <v>6968847</v>
      </c>
    </row>
    <row r="23" spans="1:49" x14ac:dyDescent="0.3">
      <c r="A23" s="246"/>
      <c r="B23" s="246" t="s">
        <v>56</v>
      </c>
      <c r="C23" t="s">
        <v>25</v>
      </c>
      <c r="D23" s="179">
        <v>1020983</v>
      </c>
      <c r="E23" s="179">
        <v>1055416.01</v>
      </c>
      <c r="F23" s="179">
        <v>1058285</v>
      </c>
      <c r="G23" s="179">
        <v>1289614</v>
      </c>
      <c r="P23" s="254">
        <f t="shared" si="14"/>
        <v>4424298.01</v>
      </c>
      <c r="Q23" s="254">
        <f t="shared" si="11"/>
        <v>4424298.01</v>
      </c>
      <c r="T23" s="179">
        <v>3000</v>
      </c>
      <c r="U23" s="179">
        <v>0</v>
      </c>
      <c r="V23" s="179">
        <v>0</v>
      </c>
      <c r="W23" s="179">
        <v>0</v>
      </c>
      <c r="AF23" s="254">
        <f t="shared" si="15"/>
        <v>3000</v>
      </c>
      <c r="AG23" s="254">
        <f t="shared" si="12"/>
        <v>3000</v>
      </c>
      <c r="AJ23" s="179">
        <f t="shared" si="16"/>
        <v>1023983</v>
      </c>
      <c r="AK23" s="179">
        <f t="shared" si="13"/>
        <v>1055416.01</v>
      </c>
      <c r="AL23" s="179">
        <f t="shared" si="13"/>
        <v>1058285</v>
      </c>
      <c r="AM23" s="179">
        <f t="shared" si="13"/>
        <v>1289614</v>
      </c>
      <c r="AN23" s="179">
        <f t="shared" si="13"/>
        <v>0</v>
      </c>
      <c r="AO23" s="179">
        <f t="shared" si="13"/>
        <v>0</v>
      </c>
      <c r="AP23" s="179">
        <f t="shared" si="13"/>
        <v>0</v>
      </c>
      <c r="AQ23" s="179">
        <f t="shared" si="13"/>
        <v>0</v>
      </c>
      <c r="AR23" s="179">
        <f t="shared" si="13"/>
        <v>0</v>
      </c>
      <c r="AS23" s="179">
        <f t="shared" si="13"/>
        <v>0</v>
      </c>
      <c r="AT23" s="179">
        <f t="shared" si="13"/>
        <v>0</v>
      </c>
      <c r="AU23" s="179">
        <f t="shared" si="13"/>
        <v>0</v>
      </c>
      <c r="AV23" s="254">
        <f t="shared" si="17"/>
        <v>4427298.01</v>
      </c>
      <c r="AW23" s="254">
        <f t="shared" si="18"/>
        <v>4427298.01</v>
      </c>
    </row>
    <row r="24" spans="1:49" x14ac:dyDescent="0.3">
      <c r="A24" s="246"/>
      <c r="B24" s="246" t="s">
        <v>56</v>
      </c>
      <c r="C24" t="s">
        <v>10</v>
      </c>
      <c r="D24" s="179">
        <v>331485</v>
      </c>
      <c r="E24" s="179">
        <v>504660</v>
      </c>
      <c r="F24" s="179">
        <v>486505</v>
      </c>
      <c r="G24" s="179">
        <v>561875</v>
      </c>
      <c r="P24" s="254">
        <f t="shared" si="14"/>
        <v>1884525</v>
      </c>
      <c r="Q24" s="254">
        <f t="shared" si="11"/>
        <v>1884525</v>
      </c>
      <c r="T24" s="179">
        <v>2000</v>
      </c>
      <c r="U24" s="179">
        <v>0</v>
      </c>
      <c r="V24" s="179">
        <v>0</v>
      </c>
      <c r="W24" s="179">
        <v>0</v>
      </c>
      <c r="AF24" s="254">
        <f t="shared" si="15"/>
        <v>2000</v>
      </c>
      <c r="AG24" s="254">
        <f t="shared" si="12"/>
        <v>2000</v>
      </c>
      <c r="AJ24" s="179">
        <f t="shared" si="16"/>
        <v>333485</v>
      </c>
      <c r="AK24" s="179">
        <f t="shared" si="13"/>
        <v>504660</v>
      </c>
      <c r="AL24" s="179">
        <f t="shared" si="13"/>
        <v>486505</v>
      </c>
      <c r="AM24" s="179">
        <f t="shared" si="13"/>
        <v>561875</v>
      </c>
      <c r="AN24" s="179">
        <f t="shared" si="13"/>
        <v>0</v>
      </c>
      <c r="AO24" s="179">
        <f t="shared" si="13"/>
        <v>0</v>
      </c>
      <c r="AP24" s="179">
        <f t="shared" si="13"/>
        <v>0</v>
      </c>
      <c r="AQ24" s="179">
        <f t="shared" si="13"/>
        <v>0</v>
      </c>
      <c r="AR24" s="179">
        <f t="shared" si="13"/>
        <v>0</v>
      </c>
      <c r="AS24" s="179">
        <f t="shared" si="13"/>
        <v>0</v>
      </c>
      <c r="AT24" s="179">
        <f t="shared" si="13"/>
        <v>0</v>
      </c>
      <c r="AU24" s="179">
        <f t="shared" si="13"/>
        <v>0</v>
      </c>
      <c r="AV24" s="254">
        <f t="shared" si="17"/>
        <v>1886525</v>
      </c>
      <c r="AW24" s="254">
        <f t="shared" si="18"/>
        <v>1886525</v>
      </c>
    </row>
    <row r="25" spans="1:49" x14ac:dyDescent="0.3">
      <c r="A25" s="246"/>
      <c r="B25" s="246" t="s">
        <v>56</v>
      </c>
      <c r="C25" t="s">
        <v>15</v>
      </c>
      <c r="D25" s="179">
        <v>242074</v>
      </c>
      <c r="E25" s="179">
        <v>635947</v>
      </c>
      <c r="F25" s="179">
        <v>590345</v>
      </c>
      <c r="G25" s="179">
        <v>645870</v>
      </c>
      <c r="P25" s="254">
        <f t="shared" si="14"/>
        <v>2114236</v>
      </c>
      <c r="Q25" s="254">
        <f t="shared" si="11"/>
        <v>2114236</v>
      </c>
      <c r="T25" s="179">
        <v>0</v>
      </c>
      <c r="U25" s="179">
        <v>0</v>
      </c>
      <c r="V25" s="179">
        <v>0</v>
      </c>
      <c r="W25" s="179">
        <v>0</v>
      </c>
      <c r="AF25" s="254">
        <f t="shared" si="15"/>
        <v>0</v>
      </c>
      <c r="AG25" s="254">
        <f t="shared" si="12"/>
        <v>0</v>
      </c>
      <c r="AJ25" s="179">
        <f t="shared" si="16"/>
        <v>242074</v>
      </c>
      <c r="AK25" s="179">
        <f t="shared" si="13"/>
        <v>635947</v>
      </c>
      <c r="AL25" s="179">
        <f t="shared" si="13"/>
        <v>590345</v>
      </c>
      <c r="AM25" s="179">
        <f t="shared" si="13"/>
        <v>645870</v>
      </c>
      <c r="AN25" s="179">
        <f t="shared" si="13"/>
        <v>0</v>
      </c>
      <c r="AO25" s="179">
        <f t="shared" si="13"/>
        <v>0</v>
      </c>
      <c r="AP25" s="179">
        <f t="shared" si="13"/>
        <v>0</v>
      </c>
      <c r="AQ25" s="179">
        <f t="shared" si="13"/>
        <v>0</v>
      </c>
      <c r="AR25" s="179">
        <f t="shared" si="13"/>
        <v>0</v>
      </c>
      <c r="AS25" s="179">
        <f t="shared" si="13"/>
        <v>0</v>
      </c>
      <c r="AT25" s="179">
        <f t="shared" si="13"/>
        <v>0</v>
      </c>
      <c r="AU25" s="179">
        <f t="shared" si="13"/>
        <v>0</v>
      </c>
      <c r="AV25" s="254">
        <f t="shared" si="17"/>
        <v>2114236</v>
      </c>
      <c r="AW25" s="254">
        <f t="shared" si="18"/>
        <v>2114236</v>
      </c>
    </row>
    <row r="26" spans="1:49" x14ac:dyDescent="0.3">
      <c r="A26" s="246"/>
      <c r="B26" s="246" t="s">
        <v>56</v>
      </c>
      <c r="C26" t="s">
        <v>14</v>
      </c>
      <c r="D26" s="179">
        <v>607140</v>
      </c>
      <c r="E26" s="179">
        <v>1103276</v>
      </c>
      <c r="F26" s="179">
        <v>1306355</v>
      </c>
      <c r="G26" s="179">
        <v>1477280</v>
      </c>
      <c r="P26" s="254">
        <f t="shared" si="14"/>
        <v>4494051</v>
      </c>
      <c r="Q26" s="254">
        <f t="shared" si="11"/>
        <v>4494051</v>
      </c>
      <c r="T26" s="179">
        <v>164700</v>
      </c>
      <c r="U26" s="179">
        <v>110100</v>
      </c>
      <c r="V26" s="179">
        <v>156800</v>
      </c>
      <c r="W26" s="179">
        <v>199500</v>
      </c>
      <c r="AF26" s="254">
        <f t="shared" si="15"/>
        <v>631100</v>
      </c>
      <c r="AG26" s="254">
        <f t="shared" si="12"/>
        <v>631100</v>
      </c>
      <c r="AJ26" s="179">
        <f t="shared" si="16"/>
        <v>771840</v>
      </c>
      <c r="AK26" s="179">
        <f t="shared" si="13"/>
        <v>1213376</v>
      </c>
      <c r="AL26" s="179">
        <f t="shared" si="13"/>
        <v>1463155</v>
      </c>
      <c r="AM26" s="179">
        <f t="shared" si="13"/>
        <v>1676780</v>
      </c>
      <c r="AN26" s="179">
        <f t="shared" si="13"/>
        <v>0</v>
      </c>
      <c r="AO26" s="179">
        <f t="shared" si="13"/>
        <v>0</v>
      </c>
      <c r="AP26" s="179">
        <f t="shared" si="13"/>
        <v>0</v>
      </c>
      <c r="AQ26" s="179">
        <f t="shared" si="13"/>
        <v>0</v>
      </c>
      <c r="AR26" s="179">
        <f t="shared" si="13"/>
        <v>0</v>
      </c>
      <c r="AS26" s="179">
        <f t="shared" si="13"/>
        <v>0</v>
      </c>
      <c r="AT26" s="179">
        <f t="shared" si="13"/>
        <v>0</v>
      </c>
      <c r="AU26" s="179">
        <f t="shared" si="13"/>
        <v>0</v>
      </c>
      <c r="AV26" s="254">
        <f t="shared" si="17"/>
        <v>5125151</v>
      </c>
      <c r="AW26" s="254">
        <f t="shared" si="18"/>
        <v>5125151</v>
      </c>
    </row>
    <row r="27" spans="1:49" x14ac:dyDescent="0.3">
      <c r="A27" s="246"/>
      <c r="B27" s="246" t="s">
        <v>56</v>
      </c>
      <c r="C27" t="s">
        <v>37</v>
      </c>
      <c r="D27" s="179">
        <v>159931</v>
      </c>
      <c r="E27" s="179">
        <v>350311</v>
      </c>
      <c r="F27" s="179">
        <v>362610</v>
      </c>
      <c r="G27" s="179">
        <v>432780</v>
      </c>
      <c r="P27" s="254">
        <f t="shared" si="14"/>
        <v>1305632</v>
      </c>
      <c r="Q27" s="254">
        <f t="shared" si="11"/>
        <v>1305632</v>
      </c>
      <c r="T27" s="179">
        <v>0</v>
      </c>
      <c r="U27" s="179">
        <v>0</v>
      </c>
      <c r="V27" s="179">
        <v>0</v>
      </c>
      <c r="W27" s="179">
        <v>0</v>
      </c>
      <c r="AF27" s="254">
        <f t="shared" si="15"/>
        <v>0</v>
      </c>
      <c r="AG27" s="254">
        <f t="shared" si="12"/>
        <v>0</v>
      </c>
      <c r="AJ27" s="179">
        <f t="shared" si="16"/>
        <v>159931</v>
      </c>
      <c r="AK27" s="179">
        <f t="shared" si="13"/>
        <v>350311</v>
      </c>
      <c r="AL27" s="179">
        <f t="shared" si="13"/>
        <v>362610</v>
      </c>
      <c r="AM27" s="179">
        <f t="shared" si="13"/>
        <v>432780</v>
      </c>
      <c r="AN27" s="179">
        <f t="shared" si="13"/>
        <v>0</v>
      </c>
      <c r="AO27" s="179">
        <f t="shared" si="13"/>
        <v>0</v>
      </c>
      <c r="AP27" s="179">
        <f t="shared" si="13"/>
        <v>0</v>
      </c>
      <c r="AQ27" s="179">
        <f t="shared" si="13"/>
        <v>0</v>
      </c>
      <c r="AR27" s="179">
        <f t="shared" si="13"/>
        <v>0</v>
      </c>
      <c r="AS27" s="179">
        <f t="shared" si="13"/>
        <v>0</v>
      </c>
      <c r="AT27" s="179">
        <f t="shared" si="13"/>
        <v>0</v>
      </c>
      <c r="AU27" s="179">
        <f t="shared" si="13"/>
        <v>0</v>
      </c>
      <c r="AV27" s="254">
        <f t="shared" si="17"/>
        <v>1305632</v>
      </c>
      <c r="AW27" s="254">
        <f t="shared" si="18"/>
        <v>1305632</v>
      </c>
    </row>
    <row r="28" spans="1:49" x14ac:dyDescent="0.3">
      <c r="A28" s="246"/>
      <c r="B28" s="246" t="s">
        <v>56</v>
      </c>
      <c r="C28" t="s">
        <v>12</v>
      </c>
      <c r="D28" s="179">
        <v>278151</v>
      </c>
      <c r="E28" s="179">
        <v>385515</v>
      </c>
      <c r="F28" s="179">
        <v>364793</v>
      </c>
      <c r="G28" s="179">
        <v>448361</v>
      </c>
      <c r="P28" s="254">
        <f t="shared" si="14"/>
        <v>1476820</v>
      </c>
      <c r="Q28" s="254">
        <f t="shared" si="11"/>
        <v>1476820</v>
      </c>
      <c r="T28" s="179">
        <v>30900</v>
      </c>
      <c r="U28" s="179">
        <v>45000</v>
      </c>
      <c r="V28" s="179">
        <v>30000</v>
      </c>
      <c r="W28" s="179">
        <v>26100</v>
      </c>
      <c r="AF28" s="254">
        <f t="shared" si="15"/>
        <v>132000</v>
      </c>
      <c r="AG28" s="254">
        <f t="shared" si="12"/>
        <v>132000</v>
      </c>
      <c r="AJ28" s="179">
        <f t="shared" si="16"/>
        <v>309051</v>
      </c>
      <c r="AK28" s="179">
        <f t="shared" si="13"/>
        <v>430515</v>
      </c>
      <c r="AL28" s="179">
        <f t="shared" si="13"/>
        <v>394793</v>
      </c>
      <c r="AM28" s="179">
        <f t="shared" si="13"/>
        <v>474461</v>
      </c>
      <c r="AN28" s="179">
        <f t="shared" si="13"/>
        <v>0</v>
      </c>
      <c r="AO28" s="179">
        <f t="shared" si="13"/>
        <v>0</v>
      </c>
      <c r="AP28" s="179">
        <f t="shared" si="13"/>
        <v>0</v>
      </c>
      <c r="AQ28" s="179">
        <f t="shared" si="13"/>
        <v>0</v>
      </c>
      <c r="AR28" s="179">
        <f t="shared" si="13"/>
        <v>0</v>
      </c>
      <c r="AS28" s="179">
        <f t="shared" si="13"/>
        <v>0</v>
      </c>
      <c r="AT28" s="179">
        <f t="shared" si="13"/>
        <v>0</v>
      </c>
      <c r="AU28" s="179">
        <f t="shared" si="13"/>
        <v>0</v>
      </c>
      <c r="AV28" s="254">
        <f t="shared" si="17"/>
        <v>1608820</v>
      </c>
      <c r="AW28" s="254">
        <f t="shared" si="18"/>
        <v>1608820</v>
      </c>
    </row>
    <row r="29" spans="1:49" x14ac:dyDescent="0.3">
      <c r="A29" s="246"/>
      <c r="B29" s="246" t="s">
        <v>56</v>
      </c>
      <c r="C29" t="s">
        <v>45</v>
      </c>
      <c r="D29" s="179">
        <v>0</v>
      </c>
      <c r="E29" s="179">
        <v>1045310</v>
      </c>
      <c r="F29" s="179">
        <v>868715</v>
      </c>
      <c r="G29" s="179">
        <v>793870</v>
      </c>
      <c r="P29" s="254">
        <f t="shared" si="14"/>
        <v>2707895</v>
      </c>
      <c r="Q29" s="254">
        <f t="shared" si="11"/>
        <v>2707895</v>
      </c>
      <c r="T29" s="179">
        <v>0</v>
      </c>
      <c r="U29" s="179">
        <v>0</v>
      </c>
      <c r="V29" s="179">
        <v>0</v>
      </c>
      <c r="W29" s="179">
        <v>0</v>
      </c>
      <c r="AF29" s="254">
        <f t="shared" si="15"/>
        <v>0</v>
      </c>
      <c r="AG29" s="254">
        <f t="shared" si="12"/>
        <v>0</v>
      </c>
      <c r="AJ29" s="179">
        <f t="shared" si="16"/>
        <v>0</v>
      </c>
      <c r="AK29" s="179">
        <f t="shared" si="13"/>
        <v>1045310</v>
      </c>
      <c r="AL29" s="179">
        <f t="shared" si="13"/>
        <v>868715</v>
      </c>
      <c r="AM29" s="179">
        <f t="shared" si="13"/>
        <v>793870</v>
      </c>
      <c r="AN29" s="179">
        <f t="shared" si="13"/>
        <v>0</v>
      </c>
      <c r="AO29" s="179">
        <f t="shared" si="13"/>
        <v>0</v>
      </c>
      <c r="AP29" s="179">
        <f t="shared" si="13"/>
        <v>0</v>
      </c>
      <c r="AQ29" s="179">
        <f t="shared" si="13"/>
        <v>0</v>
      </c>
      <c r="AR29" s="179">
        <f t="shared" si="13"/>
        <v>0</v>
      </c>
      <c r="AS29" s="179">
        <f t="shared" si="13"/>
        <v>0</v>
      </c>
      <c r="AT29" s="179">
        <f t="shared" si="13"/>
        <v>0</v>
      </c>
      <c r="AU29" s="179">
        <f t="shared" si="13"/>
        <v>0</v>
      </c>
      <c r="AV29" s="254">
        <f t="shared" si="17"/>
        <v>2707895</v>
      </c>
      <c r="AW29" s="254">
        <f t="shared" si="18"/>
        <v>2707895</v>
      </c>
    </row>
    <row r="30" spans="1:49" x14ac:dyDescent="0.3">
      <c r="A30" s="248">
        <f>SUM(A21:A29)</f>
        <v>0</v>
      </c>
      <c r="B30" s="248"/>
      <c r="C30" s="203" t="s">
        <v>58</v>
      </c>
      <c r="D30" s="255">
        <f>SUM(D21:D29)</f>
        <v>4926744</v>
      </c>
      <c r="E30" s="255">
        <f t="shared" ref="E30:Q30" si="19">SUM(E21:E29)</f>
        <v>7693186.0099999998</v>
      </c>
      <c r="F30" s="255">
        <f t="shared" si="19"/>
        <v>7385025</v>
      </c>
      <c r="G30" s="255">
        <f t="shared" si="19"/>
        <v>8375039</v>
      </c>
      <c r="H30" s="255">
        <f t="shared" si="19"/>
        <v>0</v>
      </c>
      <c r="I30" s="255">
        <f t="shared" si="19"/>
        <v>0</v>
      </c>
      <c r="J30" s="255">
        <f t="shared" si="19"/>
        <v>0</v>
      </c>
      <c r="K30" s="255">
        <f t="shared" si="19"/>
        <v>0</v>
      </c>
      <c r="L30" s="255">
        <f t="shared" si="19"/>
        <v>0</v>
      </c>
      <c r="M30" s="255">
        <f t="shared" si="19"/>
        <v>0</v>
      </c>
      <c r="N30" s="255">
        <f t="shared" si="19"/>
        <v>0</v>
      </c>
      <c r="O30" s="255">
        <f t="shared" si="19"/>
        <v>0</v>
      </c>
      <c r="P30" s="255">
        <f t="shared" si="19"/>
        <v>28379994.009999998</v>
      </c>
      <c r="Q30" s="255">
        <f t="shared" si="19"/>
        <v>28379994.009999998</v>
      </c>
      <c r="S30" s="255"/>
      <c r="T30" s="255">
        <f>SUM(T21:T29)</f>
        <v>204100</v>
      </c>
      <c r="U30" s="255">
        <f t="shared" ref="U30:AF30" si="20">SUM(U21:U29)</f>
        <v>155100</v>
      </c>
      <c r="V30" s="255">
        <f t="shared" si="20"/>
        <v>186800</v>
      </c>
      <c r="W30" s="255">
        <f t="shared" si="20"/>
        <v>225600</v>
      </c>
      <c r="X30" s="255">
        <f t="shared" si="20"/>
        <v>0</v>
      </c>
      <c r="Y30" s="255">
        <f t="shared" si="20"/>
        <v>0</v>
      </c>
      <c r="Z30" s="255">
        <f t="shared" si="20"/>
        <v>0</v>
      </c>
      <c r="AA30" s="255">
        <f t="shared" si="20"/>
        <v>0</v>
      </c>
      <c r="AB30" s="255">
        <f t="shared" si="20"/>
        <v>0</v>
      </c>
      <c r="AC30" s="255">
        <f t="shared" si="20"/>
        <v>0</v>
      </c>
      <c r="AD30" s="255">
        <f t="shared" si="20"/>
        <v>0</v>
      </c>
      <c r="AE30" s="255">
        <f t="shared" si="20"/>
        <v>0</v>
      </c>
      <c r="AF30" s="255">
        <f t="shared" si="20"/>
        <v>771600</v>
      </c>
      <c r="AG30" s="255"/>
      <c r="AI30" s="255">
        <f>SUM(AI21:AI29)</f>
        <v>0</v>
      </c>
      <c r="AJ30" s="255">
        <f t="shared" ref="AJ30:AV30" si="21">SUM(AJ21:AJ29)</f>
        <v>5130844</v>
      </c>
      <c r="AK30" s="255">
        <f t="shared" si="21"/>
        <v>7848286.0099999998</v>
      </c>
      <c r="AL30" s="255">
        <f t="shared" si="21"/>
        <v>7571825</v>
      </c>
      <c r="AM30" s="255">
        <f t="shared" si="21"/>
        <v>8600639</v>
      </c>
      <c r="AN30" s="255">
        <f t="shared" si="21"/>
        <v>0</v>
      </c>
      <c r="AO30" s="255">
        <f t="shared" si="21"/>
        <v>0</v>
      </c>
      <c r="AP30" s="255">
        <f t="shared" si="21"/>
        <v>0</v>
      </c>
      <c r="AQ30" s="255">
        <f t="shared" si="21"/>
        <v>0</v>
      </c>
      <c r="AR30" s="255">
        <f t="shared" si="21"/>
        <v>0</v>
      </c>
      <c r="AS30" s="255">
        <f t="shared" si="21"/>
        <v>0</v>
      </c>
      <c r="AT30" s="255">
        <f t="shared" si="21"/>
        <v>0</v>
      </c>
      <c r="AU30" s="255">
        <f t="shared" si="21"/>
        <v>0</v>
      </c>
      <c r="AV30" s="255">
        <f t="shared" si="21"/>
        <v>29151594.009999998</v>
      </c>
      <c r="AW30" s="255"/>
    </row>
    <row r="31" spans="1:49" x14ac:dyDescent="0.3">
      <c r="C31" s="192"/>
    </row>
    <row r="32" spans="1:49" x14ac:dyDescent="0.3">
      <c r="C32" s="192" t="s">
        <v>59</v>
      </c>
    </row>
    <row r="33" spans="1:49" x14ac:dyDescent="0.3">
      <c r="A33" s="246"/>
      <c r="B33" s="246" t="s">
        <v>59</v>
      </c>
      <c r="C33" t="s">
        <v>41</v>
      </c>
      <c r="D33" s="179">
        <v>351368</v>
      </c>
      <c r="E33" s="179">
        <v>372689</v>
      </c>
      <c r="F33" s="179">
        <v>310129</v>
      </c>
      <c r="G33" s="179">
        <v>278240</v>
      </c>
      <c r="P33" s="254">
        <f>SUM(D33:O33)</f>
        <v>1312426</v>
      </c>
      <c r="Q33" s="254">
        <f t="shared" ref="Q33:Q37" si="22">SUMIF($D$2:$O$2,$Q$3,D33:O33)</f>
        <v>1312426</v>
      </c>
      <c r="T33" s="179">
        <v>0</v>
      </c>
      <c r="U33" s="179">
        <v>0</v>
      </c>
      <c r="V33" s="179">
        <v>0</v>
      </c>
      <c r="W33" s="179">
        <v>0</v>
      </c>
      <c r="X33" s="179">
        <v>0</v>
      </c>
      <c r="Y33" s="179">
        <v>0</v>
      </c>
      <c r="Z33" s="179">
        <v>0</v>
      </c>
      <c r="AA33" s="179">
        <v>0</v>
      </c>
      <c r="AB33" s="179">
        <v>0</v>
      </c>
      <c r="AC33" s="179">
        <v>0</v>
      </c>
      <c r="AD33" s="179">
        <v>0</v>
      </c>
      <c r="AE33" s="179">
        <v>0</v>
      </c>
      <c r="AF33" s="254">
        <f>SUM(T33:AE33)</f>
        <v>0</v>
      </c>
      <c r="AG33" s="254">
        <f t="shared" ref="AG33:AG37" si="23">SUMIF($T$2:$AE$2,$AG$3,T33:AE33)</f>
        <v>0</v>
      </c>
      <c r="AJ33" s="179">
        <f>+D33+T33</f>
        <v>351368</v>
      </c>
      <c r="AK33" s="179">
        <f t="shared" ref="AK33:AU37" si="24">+E33+U33</f>
        <v>372689</v>
      </c>
      <c r="AL33" s="179">
        <f t="shared" si="24"/>
        <v>310129</v>
      </c>
      <c r="AM33" s="179">
        <f t="shared" si="24"/>
        <v>278240</v>
      </c>
      <c r="AN33" s="179">
        <f t="shared" si="24"/>
        <v>0</v>
      </c>
      <c r="AO33" s="179">
        <f t="shared" si="24"/>
        <v>0</v>
      </c>
      <c r="AP33" s="179">
        <f t="shared" si="24"/>
        <v>0</v>
      </c>
      <c r="AQ33" s="179">
        <f t="shared" si="24"/>
        <v>0</v>
      </c>
      <c r="AR33" s="179">
        <f t="shared" si="24"/>
        <v>0</v>
      </c>
      <c r="AS33" s="179">
        <f t="shared" si="24"/>
        <v>0</v>
      </c>
      <c r="AT33" s="179">
        <f t="shared" si="24"/>
        <v>0</v>
      </c>
      <c r="AU33" s="179">
        <f t="shared" si="24"/>
        <v>0</v>
      </c>
      <c r="AV33" s="254">
        <f>SUM(AJ33:AU33)</f>
        <v>1312426</v>
      </c>
      <c r="AW33" s="254">
        <f>+Q33+AG33</f>
        <v>1312426</v>
      </c>
    </row>
    <row r="34" spans="1:49" x14ac:dyDescent="0.3">
      <c r="A34" s="246"/>
      <c r="B34" s="246" t="s">
        <v>59</v>
      </c>
      <c r="C34" t="s">
        <v>38</v>
      </c>
      <c r="D34" s="179">
        <v>997747</v>
      </c>
      <c r="E34" s="179">
        <v>1076902</v>
      </c>
      <c r="F34" s="179">
        <v>908522</v>
      </c>
      <c r="G34" s="179">
        <v>1068450</v>
      </c>
      <c r="P34" s="254">
        <f t="shared" ref="P34:P37" si="25">SUM(D34:O34)</f>
        <v>4051621</v>
      </c>
      <c r="Q34" s="254">
        <f t="shared" si="22"/>
        <v>4051621</v>
      </c>
      <c r="T34" s="179">
        <v>1080</v>
      </c>
      <c r="U34" s="179">
        <v>0</v>
      </c>
      <c r="V34" s="179">
        <v>0</v>
      </c>
      <c r="W34" s="179">
        <v>0</v>
      </c>
      <c r="X34" s="179">
        <v>0</v>
      </c>
      <c r="Y34" s="179">
        <v>0</v>
      </c>
      <c r="Z34" s="179">
        <v>0</v>
      </c>
      <c r="AA34" s="179">
        <v>0</v>
      </c>
      <c r="AB34" s="179">
        <v>0</v>
      </c>
      <c r="AC34" s="179">
        <v>0</v>
      </c>
      <c r="AD34" s="179">
        <v>0</v>
      </c>
      <c r="AE34" s="179">
        <v>0</v>
      </c>
      <c r="AF34" s="254">
        <f t="shared" ref="AF34:AF37" si="26">SUM(T34:AE34)</f>
        <v>1080</v>
      </c>
      <c r="AG34" s="254">
        <f t="shared" si="23"/>
        <v>1080</v>
      </c>
      <c r="AJ34" s="179">
        <f t="shared" ref="AJ34:AJ37" si="27">+D34+T34</f>
        <v>998827</v>
      </c>
      <c r="AK34" s="179">
        <f t="shared" si="24"/>
        <v>1076902</v>
      </c>
      <c r="AL34" s="179">
        <f t="shared" si="24"/>
        <v>908522</v>
      </c>
      <c r="AM34" s="179">
        <f t="shared" si="24"/>
        <v>1068450</v>
      </c>
      <c r="AN34" s="179">
        <f t="shared" si="24"/>
        <v>0</v>
      </c>
      <c r="AO34" s="179">
        <f t="shared" si="24"/>
        <v>0</v>
      </c>
      <c r="AP34" s="179">
        <f t="shared" si="24"/>
        <v>0</v>
      </c>
      <c r="AQ34" s="179">
        <f t="shared" si="24"/>
        <v>0</v>
      </c>
      <c r="AR34" s="179">
        <f t="shared" si="24"/>
        <v>0</v>
      </c>
      <c r="AS34" s="179">
        <f t="shared" si="24"/>
        <v>0</v>
      </c>
      <c r="AT34" s="179">
        <f t="shared" si="24"/>
        <v>0</v>
      </c>
      <c r="AU34" s="179">
        <f t="shared" si="24"/>
        <v>0</v>
      </c>
      <c r="AV34" s="254">
        <f t="shared" ref="AV34:AV37" si="28">SUM(AJ34:AU34)</f>
        <v>4052701</v>
      </c>
      <c r="AW34" s="254">
        <f t="shared" ref="AW34:AW37" si="29">+Q34+AG34</f>
        <v>4052701</v>
      </c>
    </row>
    <row r="35" spans="1:49" x14ac:dyDescent="0.3">
      <c r="A35" s="246"/>
      <c r="B35" s="246" t="s">
        <v>59</v>
      </c>
      <c r="C35" t="s">
        <v>40</v>
      </c>
      <c r="D35" s="179">
        <v>513339.98</v>
      </c>
      <c r="E35" s="179">
        <v>659795</v>
      </c>
      <c r="F35" s="179">
        <v>529487.98999999987</v>
      </c>
      <c r="G35" s="179">
        <v>564827.01000000013</v>
      </c>
      <c r="P35" s="254">
        <f t="shared" si="25"/>
        <v>2267449.98</v>
      </c>
      <c r="Q35" s="254">
        <f t="shared" si="22"/>
        <v>2267449.98</v>
      </c>
      <c r="T35" s="179">
        <v>0</v>
      </c>
      <c r="U35" s="179">
        <v>0</v>
      </c>
      <c r="V35" s="179">
        <v>0</v>
      </c>
      <c r="W35" s="179">
        <v>0</v>
      </c>
      <c r="AF35" s="254">
        <f t="shared" si="26"/>
        <v>0</v>
      </c>
      <c r="AG35" s="254">
        <f t="shared" si="23"/>
        <v>0</v>
      </c>
      <c r="AJ35" s="179">
        <f t="shared" si="27"/>
        <v>513339.98</v>
      </c>
      <c r="AK35" s="179">
        <f t="shared" si="24"/>
        <v>659795</v>
      </c>
      <c r="AL35" s="179">
        <f t="shared" si="24"/>
        <v>529487.98999999987</v>
      </c>
      <c r="AM35" s="179">
        <f t="shared" si="24"/>
        <v>564827.01000000013</v>
      </c>
      <c r="AN35" s="179">
        <f t="shared" si="24"/>
        <v>0</v>
      </c>
      <c r="AO35" s="179">
        <f t="shared" si="24"/>
        <v>0</v>
      </c>
      <c r="AP35" s="179">
        <f t="shared" si="24"/>
        <v>0</v>
      </c>
      <c r="AQ35" s="179">
        <f t="shared" si="24"/>
        <v>0</v>
      </c>
      <c r="AR35" s="179">
        <f t="shared" si="24"/>
        <v>0</v>
      </c>
      <c r="AS35" s="179">
        <f t="shared" si="24"/>
        <v>0</v>
      </c>
      <c r="AT35" s="179">
        <f t="shared" si="24"/>
        <v>0</v>
      </c>
      <c r="AU35" s="179">
        <f t="shared" si="24"/>
        <v>0</v>
      </c>
      <c r="AV35" s="254">
        <f t="shared" si="28"/>
        <v>2267449.98</v>
      </c>
      <c r="AW35" s="254">
        <f t="shared" si="29"/>
        <v>2267449.98</v>
      </c>
    </row>
    <row r="36" spans="1:49" x14ac:dyDescent="0.3">
      <c r="A36" s="246"/>
      <c r="B36" s="246" t="s">
        <v>59</v>
      </c>
      <c r="C36" t="s">
        <v>39</v>
      </c>
      <c r="D36" s="179">
        <v>248719</v>
      </c>
      <c r="E36" s="179">
        <v>430303</v>
      </c>
      <c r="F36" s="179">
        <v>421540.01</v>
      </c>
      <c r="G36" s="179">
        <v>476947</v>
      </c>
      <c r="P36" s="254">
        <f t="shared" si="25"/>
        <v>1577509.01</v>
      </c>
      <c r="Q36" s="254">
        <f t="shared" si="22"/>
        <v>1577509.01</v>
      </c>
      <c r="T36" s="179">
        <v>0</v>
      </c>
      <c r="U36" s="179">
        <v>0</v>
      </c>
      <c r="V36" s="179">
        <v>93.990000000000009</v>
      </c>
      <c r="W36" s="179">
        <v>0</v>
      </c>
      <c r="X36" s="179">
        <v>0</v>
      </c>
      <c r="Y36" s="179">
        <v>0</v>
      </c>
      <c r="Z36" s="179">
        <v>0</v>
      </c>
      <c r="AA36" s="179">
        <v>0</v>
      </c>
      <c r="AB36" s="179">
        <v>0</v>
      </c>
      <c r="AC36" s="179">
        <v>0</v>
      </c>
      <c r="AD36" s="179">
        <v>0</v>
      </c>
      <c r="AE36" s="179">
        <v>0</v>
      </c>
      <c r="AF36" s="254">
        <f t="shared" si="26"/>
        <v>93.990000000000009</v>
      </c>
      <c r="AG36" s="254">
        <f t="shared" si="23"/>
        <v>93.990000000000009</v>
      </c>
      <c r="AJ36" s="179">
        <f t="shared" si="27"/>
        <v>248719</v>
      </c>
      <c r="AK36" s="179">
        <f t="shared" si="24"/>
        <v>430303</v>
      </c>
      <c r="AL36" s="179">
        <f t="shared" si="24"/>
        <v>421634</v>
      </c>
      <c r="AM36" s="179">
        <f t="shared" si="24"/>
        <v>476947</v>
      </c>
      <c r="AN36" s="179">
        <f t="shared" si="24"/>
        <v>0</v>
      </c>
      <c r="AO36" s="179">
        <f t="shared" si="24"/>
        <v>0</v>
      </c>
      <c r="AP36" s="179">
        <f t="shared" si="24"/>
        <v>0</v>
      </c>
      <c r="AQ36" s="179">
        <f t="shared" si="24"/>
        <v>0</v>
      </c>
      <c r="AR36" s="179">
        <f t="shared" si="24"/>
        <v>0</v>
      </c>
      <c r="AS36" s="179">
        <f t="shared" si="24"/>
        <v>0</v>
      </c>
      <c r="AT36" s="179">
        <f t="shared" si="24"/>
        <v>0</v>
      </c>
      <c r="AU36" s="179">
        <f t="shared" si="24"/>
        <v>0</v>
      </c>
      <c r="AV36" s="254">
        <f t="shared" si="28"/>
        <v>1577603</v>
      </c>
      <c r="AW36" s="254">
        <f t="shared" si="29"/>
        <v>1577603</v>
      </c>
    </row>
    <row r="37" spans="1:49" x14ac:dyDescent="0.3">
      <c r="A37" s="246"/>
      <c r="B37" s="246" t="s">
        <v>59</v>
      </c>
      <c r="C37" t="s">
        <v>16</v>
      </c>
      <c r="D37" s="179">
        <v>919546</v>
      </c>
      <c r="E37" s="179">
        <v>1215736</v>
      </c>
      <c r="F37" s="179">
        <v>1084899</v>
      </c>
      <c r="G37" s="179">
        <v>1105331</v>
      </c>
      <c r="P37" s="254">
        <f t="shared" si="25"/>
        <v>4325512</v>
      </c>
      <c r="Q37" s="254">
        <f t="shared" si="22"/>
        <v>4325512</v>
      </c>
      <c r="T37" s="179">
        <v>0</v>
      </c>
      <c r="U37" s="179">
        <v>0</v>
      </c>
      <c r="V37" s="179">
        <v>0</v>
      </c>
      <c r="W37" s="179">
        <v>0</v>
      </c>
      <c r="X37" s="179">
        <v>0</v>
      </c>
      <c r="Y37" s="179">
        <v>0</v>
      </c>
      <c r="Z37" s="179">
        <v>0</v>
      </c>
      <c r="AA37" s="179">
        <v>0</v>
      </c>
      <c r="AB37" s="179">
        <v>0</v>
      </c>
      <c r="AC37" s="179">
        <v>0</v>
      </c>
      <c r="AD37" s="179">
        <v>0</v>
      </c>
      <c r="AE37" s="179">
        <v>0</v>
      </c>
      <c r="AF37" s="254">
        <f t="shared" si="26"/>
        <v>0</v>
      </c>
      <c r="AG37" s="254">
        <f t="shared" si="23"/>
        <v>0</v>
      </c>
      <c r="AJ37" s="179">
        <f t="shared" si="27"/>
        <v>919546</v>
      </c>
      <c r="AK37" s="179">
        <f t="shared" si="24"/>
        <v>1215736</v>
      </c>
      <c r="AL37" s="179">
        <f t="shared" si="24"/>
        <v>1084899</v>
      </c>
      <c r="AM37" s="179">
        <f t="shared" si="24"/>
        <v>1105331</v>
      </c>
      <c r="AN37" s="179">
        <f t="shared" si="24"/>
        <v>0</v>
      </c>
      <c r="AO37" s="179">
        <f t="shared" si="24"/>
        <v>0</v>
      </c>
      <c r="AP37" s="179">
        <f t="shared" si="24"/>
        <v>0</v>
      </c>
      <c r="AQ37" s="179">
        <f t="shared" si="24"/>
        <v>0</v>
      </c>
      <c r="AR37" s="179">
        <f t="shared" si="24"/>
        <v>0</v>
      </c>
      <c r="AS37" s="179">
        <f t="shared" si="24"/>
        <v>0</v>
      </c>
      <c r="AT37" s="179">
        <f t="shared" si="24"/>
        <v>0</v>
      </c>
      <c r="AU37" s="179">
        <f t="shared" si="24"/>
        <v>0</v>
      </c>
      <c r="AV37" s="254">
        <f t="shared" si="28"/>
        <v>4325512</v>
      </c>
      <c r="AW37" s="254">
        <f t="shared" si="29"/>
        <v>4325512</v>
      </c>
    </row>
    <row r="38" spans="1:49" x14ac:dyDescent="0.3">
      <c r="A38" s="248">
        <f>SUM(A33:A37)</f>
        <v>0</v>
      </c>
      <c r="B38" s="248"/>
      <c r="C38" s="203" t="s">
        <v>60</v>
      </c>
      <c r="D38" s="255">
        <f>SUM(D33:D37)</f>
        <v>3030719.98</v>
      </c>
      <c r="E38" s="255">
        <f t="shared" ref="E38:Q38" si="30">SUM(E33:E37)</f>
        <v>3755425</v>
      </c>
      <c r="F38" s="255">
        <f t="shared" si="30"/>
        <v>3254578</v>
      </c>
      <c r="G38" s="255">
        <f t="shared" si="30"/>
        <v>3493795.0100000002</v>
      </c>
      <c r="H38" s="255">
        <f t="shared" si="30"/>
        <v>0</v>
      </c>
      <c r="I38" s="255">
        <f t="shared" si="30"/>
        <v>0</v>
      </c>
      <c r="J38" s="255">
        <f t="shared" si="30"/>
        <v>0</v>
      </c>
      <c r="K38" s="255">
        <f t="shared" si="30"/>
        <v>0</v>
      </c>
      <c r="L38" s="255">
        <f t="shared" si="30"/>
        <v>0</v>
      </c>
      <c r="M38" s="255">
        <f t="shared" si="30"/>
        <v>0</v>
      </c>
      <c r="N38" s="255">
        <f t="shared" si="30"/>
        <v>0</v>
      </c>
      <c r="O38" s="255">
        <f t="shared" si="30"/>
        <v>0</v>
      </c>
      <c r="P38" s="255">
        <f t="shared" si="30"/>
        <v>13534517.99</v>
      </c>
      <c r="Q38" s="255">
        <f t="shared" si="30"/>
        <v>13534517.99</v>
      </c>
      <c r="S38" s="255">
        <v>0</v>
      </c>
      <c r="T38" s="255">
        <f>SUM(T33:T37)</f>
        <v>1080</v>
      </c>
      <c r="U38" s="255">
        <f t="shared" ref="U38:AF38" si="31">SUM(U33:U37)</f>
        <v>0</v>
      </c>
      <c r="V38" s="255">
        <f t="shared" si="31"/>
        <v>93.990000000000009</v>
      </c>
      <c r="W38" s="255">
        <f t="shared" si="31"/>
        <v>0</v>
      </c>
      <c r="X38" s="255">
        <f t="shared" si="31"/>
        <v>0</v>
      </c>
      <c r="Y38" s="255">
        <f t="shared" si="31"/>
        <v>0</v>
      </c>
      <c r="Z38" s="255">
        <f t="shared" si="31"/>
        <v>0</v>
      </c>
      <c r="AA38" s="255">
        <f t="shared" si="31"/>
        <v>0</v>
      </c>
      <c r="AB38" s="255">
        <f t="shared" si="31"/>
        <v>0</v>
      </c>
      <c r="AC38" s="255">
        <f t="shared" si="31"/>
        <v>0</v>
      </c>
      <c r="AD38" s="255">
        <f t="shared" si="31"/>
        <v>0</v>
      </c>
      <c r="AE38" s="255">
        <f t="shared" si="31"/>
        <v>0</v>
      </c>
      <c r="AF38" s="255">
        <f t="shared" si="31"/>
        <v>1173.99</v>
      </c>
      <c r="AG38" s="255"/>
      <c r="AI38" s="255">
        <f>SUM(AI33:AI37)</f>
        <v>0</v>
      </c>
      <c r="AJ38" s="255">
        <f t="shared" ref="AJ38:AV38" si="32">SUM(AJ33:AJ37)</f>
        <v>3031799.98</v>
      </c>
      <c r="AK38" s="255">
        <f t="shared" si="32"/>
        <v>3755425</v>
      </c>
      <c r="AL38" s="255">
        <f t="shared" si="32"/>
        <v>3254671.9899999998</v>
      </c>
      <c r="AM38" s="255">
        <f t="shared" si="32"/>
        <v>3493795.0100000002</v>
      </c>
      <c r="AN38" s="255">
        <f t="shared" si="32"/>
        <v>0</v>
      </c>
      <c r="AO38" s="255">
        <f t="shared" si="32"/>
        <v>0</v>
      </c>
      <c r="AP38" s="255">
        <f t="shared" si="32"/>
        <v>0</v>
      </c>
      <c r="AQ38" s="255">
        <f t="shared" si="32"/>
        <v>0</v>
      </c>
      <c r="AR38" s="255">
        <f t="shared" si="32"/>
        <v>0</v>
      </c>
      <c r="AS38" s="255">
        <f t="shared" si="32"/>
        <v>0</v>
      </c>
      <c r="AT38" s="255">
        <f t="shared" si="32"/>
        <v>0</v>
      </c>
      <c r="AU38" s="255">
        <f t="shared" si="32"/>
        <v>0</v>
      </c>
      <c r="AV38" s="255">
        <f t="shared" si="32"/>
        <v>13535691.98</v>
      </c>
      <c r="AW38" s="255"/>
    </row>
    <row r="39" spans="1:49" x14ac:dyDescent="0.3">
      <c r="A39" s="180"/>
      <c r="B39" s="180"/>
    </row>
    <row r="40" spans="1:49" x14ac:dyDescent="0.3">
      <c r="C40" s="241" t="s">
        <v>126</v>
      </c>
    </row>
    <row r="41" spans="1:49" x14ac:dyDescent="0.3">
      <c r="C41" s="192"/>
    </row>
    <row r="42" spans="1:49" x14ac:dyDescent="0.3">
      <c r="C42" s="192" t="s">
        <v>56</v>
      </c>
      <c r="P42" s="254"/>
      <c r="Q42" s="254"/>
      <c r="AG42" s="254"/>
      <c r="AW42" s="254"/>
    </row>
    <row r="43" spans="1:49" x14ac:dyDescent="0.3">
      <c r="B43" s="246" t="s">
        <v>56</v>
      </c>
      <c r="C43" t="s">
        <v>127</v>
      </c>
      <c r="D43" s="179">
        <v>0</v>
      </c>
      <c r="E43" s="179">
        <v>0</v>
      </c>
      <c r="F43" s="179">
        <v>0</v>
      </c>
      <c r="G43" s="179">
        <v>0</v>
      </c>
      <c r="P43" s="254">
        <f>SUM(D43:O43)</f>
        <v>0</v>
      </c>
      <c r="Q43" s="254">
        <f t="shared" ref="Q43:Q53" si="33">SUMIF($D$2:$O$2,$Q$3,D43:O43)</f>
        <v>0</v>
      </c>
      <c r="T43" s="179">
        <v>0</v>
      </c>
      <c r="U43" s="179">
        <v>0</v>
      </c>
      <c r="V43" s="179">
        <v>0</v>
      </c>
      <c r="W43" s="179">
        <v>0</v>
      </c>
      <c r="X43" s="179">
        <v>0</v>
      </c>
      <c r="Y43" s="179">
        <v>0</v>
      </c>
      <c r="Z43" s="179">
        <v>0</v>
      </c>
      <c r="AA43" s="179">
        <v>0</v>
      </c>
      <c r="AB43" s="179">
        <v>0</v>
      </c>
      <c r="AC43" s="179">
        <v>0</v>
      </c>
      <c r="AD43" s="179">
        <v>0</v>
      </c>
      <c r="AE43" s="179">
        <v>0</v>
      </c>
      <c r="AF43" s="254">
        <f>SUM(T43:AE43)</f>
        <v>0</v>
      </c>
      <c r="AG43" s="254">
        <f t="shared" ref="AG43:AG53" si="34">SUMIF($T$2:$AE$2,$AG$3,T43:AE43)</f>
        <v>0</v>
      </c>
      <c r="AJ43" s="179">
        <f>+D43+T43</f>
        <v>0</v>
      </c>
      <c r="AK43" s="179">
        <f t="shared" ref="AK43:AU53" si="35">+E43+U43</f>
        <v>0</v>
      </c>
      <c r="AL43" s="179">
        <f t="shared" si="35"/>
        <v>0</v>
      </c>
      <c r="AM43" s="179">
        <f t="shared" si="35"/>
        <v>0</v>
      </c>
      <c r="AN43" s="179">
        <f t="shared" si="35"/>
        <v>0</v>
      </c>
      <c r="AO43" s="179">
        <f t="shared" si="35"/>
        <v>0</v>
      </c>
      <c r="AP43" s="179">
        <f t="shared" si="35"/>
        <v>0</v>
      </c>
      <c r="AQ43" s="179">
        <f t="shared" si="35"/>
        <v>0</v>
      </c>
      <c r="AR43" s="179">
        <f t="shared" si="35"/>
        <v>0</v>
      </c>
      <c r="AS43" s="179">
        <f t="shared" si="35"/>
        <v>0</v>
      </c>
      <c r="AT43" s="179">
        <f t="shared" si="35"/>
        <v>0</v>
      </c>
      <c r="AU43" s="179">
        <f t="shared" si="35"/>
        <v>0</v>
      </c>
      <c r="AV43" s="254">
        <f>SUM(AJ43:AU43)</f>
        <v>0</v>
      </c>
      <c r="AW43" s="254">
        <f>+Q43+AG43</f>
        <v>0</v>
      </c>
    </row>
    <row r="44" spans="1:49" x14ac:dyDescent="0.3">
      <c r="B44" s="246" t="s">
        <v>56</v>
      </c>
      <c r="C44" t="s">
        <v>128</v>
      </c>
      <c r="D44" s="179">
        <v>0</v>
      </c>
      <c r="E44" s="179">
        <v>0</v>
      </c>
      <c r="F44" s="179">
        <v>0</v>
      </c>
      <c r="G44" s="179">
        <v>0</v>
      </c>
      <c r="P44" s="254">
        <f t="shared" ref="P44:P53" si="36">SUM(D44:O44)</f>
        <v>0</v>
      </c>
      <c r="Q44" s="254">
        <f t="shared" si="33"/>
        <v>0</v>
      </c>
      <c r="T44" s="179">
        <v>0</v>
      </c>
      <c r="U44" s="179">
        <v>0</v>
      </c>
      <c r="V44" s="179">
        <v>0</v>
      </c>
      <c r="W44" s="179">
        <v>0</v>
      </c>
      <c r="X44" s="179">
        <v>0</v>
      </c>
      <c r="Y44" s="179">
        <v>0</v>
      </c>
      <c r="Z44" s="179">
        <v>0</v>
      </c>
      <c r="AA44" s="179">
        <v>0</v>
      </c>
      <c r="AB44" s="179">
        <v>0</v>
      </c>
      <c r="AC44" s="179">
        <v>0</v>
      </c>
      <c r="AD44" s="179">
        <v>0</v>
      </c>
      <c r="AE44" s="179">
        <v>0</v>
      </c>
      <c r="AF44" s="254">
        <f t="shared" ref="AF44:AF53" si="37">SUM(T44:AE44)</f>
        <v>0</v>
      </c>
      <c r="AG44" s="254">
        <f t="shared" si="34"/>
        <v>0</v>
      </c>
      <c r="AJ44" s="179">
        <f t="shared" ref="AJ44:AJ53" si="38">+D44+T44</f>
        <v>0</v>
      </c>
      <c r="AK44" s="179">
        <f t="shared" si="35"/>
        <v>0</v>
      </c>
      <c r="AL44" s="179">
        <f t="shared" si="35"/>
        <v>0</v>
      </c>
      <c r="AM44" s="179">
        <f t="shared" si="35"/>
        <v>0</v>
      </c>
      <c r="AN44" s="179">
        <f t="shared" si="35"/>
        <v>0</v>
      </c>
      <c r="AO44" s="179">
        <f t="shared" si="35"/>
        <v>0</v>
      </c>
      <c r="AP44" s="179">
        <f t="shared" si="35"/>
        <v>0</v>
      </c>
      <c r="AQ44" s="179">
        <f t="shared" si="35"/>
        <v>0</v>
      </c>
      <c r="AR44" s="179">
        <f t="shared" si="35"/>
        <v>0</v>
      </c>
      <c r="AS44" s="179">
        <f t="shared" si="35"/>
        <v>0</v>
      </c>
      <c r="AT44" s="179">
        <f t="shared" si="35"/>
        <v>0</v>
      </c>
      <c r="AU44" s="179">
        <f t="shared" si="35"/>
        <v>0</v>
      </c>
      <c r="AV44" s="254">
        <f t="shared" ref="AV44:AV53" si="39">SUM(AJ44:AU44)</f>
        <v>0</v>
      </c>
      <c r="AW44" s="254">
        <f t="shared" ref="AW44:AW53" si="40">+Q44+AG44</f>
        <v>0</v>
      </c>
    </row>
    <row r="45" spans="1:49" x14ac:dyDescent="0.3">
      <c r="B45" s="246" t="s">
        <v>56</v>
      </c>
      <c r="C45" t="s">
        <v>129</v>
      </c>
      <c r="D45" s="179">
        <v>0</v>
      </c>
      <c r="E45" s="179">
        <v>0</v>
      </c>
      <c r="F45" s="179">
        <v>0</v>
      </c>
      <c r="G45" s="179">
        <v>0</v>
      </c>
      <c r="P45" s="254">
        <f t="shared" si="36"/>
        <v>0</v>
      </c>
      <c r="Q45" s="254">
        <f t="shared" si="33"/>
        <v>0</v>
      </c>
      <c r="T45" s="179">
        <v>0</v>
      </c>
      <c r="U45" s="179">
        <v>0</v>
      </c>
      <c r="V45" s="179">
        <v>0</v>
      </c>
      <c r="W45" s="179">
        <v>0</v>
      </c>
      <c r="X45" s="179">
        <v>0</v>
      </c>
      <c r="Y45" s="179">
        <v>0</v>
      </c>
      <c r="Z45" s="179">
        <v>0</v>
      </c>
      <c r="AA45" s="179">
        <v>0</v>
      </c>
      <c r="AB45" s="179">
        <v>0</v>
      </c>
      <c r="AC45" s="179">
        <v>0</v>
      </c>
      <c r="AD45" s="179">
        <v>0</v>
      </c>
      <c r="AE45" s="179">
        <v>0</v>
      </c>
      <c r="AF45" s="254">
        <f t="shared" si="37"/>
        <v>0</v>
      </c>
      <c r="AG45" s="254">
        <f t="shared" si="34"/>
        <v>0</v>
      </c>
      <c r="AJ45" s="179">
        <f t="shared" si="38"/>
        <v>0</v>
      </c>
      <c r="AK45" s="179">
        <f t="shared" si="35"/>
        <v>0</v>
      </c>
      <c r="AL45" s="179">
        <f t="shared" si="35"/>
        <v>0</v>
      </c>
      <c r="AM45" s="179">
        <f t="shared" si="35"/>
        <v>0</v>
      </c>
      <c r="AN45" s="179">
        <f t="shared" si="35"/>
        <v>0</v>
      </c>
      <c r="AO45" s="179">
        <f t="shared" si="35"/>
        <v>0</v>
      </c>
      <c r="AP45" s="179">
        <f t="shared" si="35"/>
        <v>0</v>
      </c>
      <c r="AQ45" s="179">
        <f t="shared" si="35"/>
        <v>0</v>
      </c>
      <c r="AR45" s="179">
        <f t="shared" si="35"/>
        <v>0</v>
      </c>
      <c r="AS45" s="179">
        <f t="shared" si="35"/>
        <v>0</v>
      </c>
      <c r="AT45" s="179">
        <f t="shared" si="35"/>
        <v>0</v>
      </c>
      <c r="AU45" s="179">
        <f t="shared" si="35"/>
        <v>0</v>
      </c>
      <c r="AV45" s="254">
        <f t="shared" si="39"/>
        <v>0</v>
      </c>
      <c r="AW45" s="254">
        <f t="shared" si="40"/>
        <v>0</v>
      </c>
    </row>
    <row r="46" spans="1:49" x14ac:dyDescent="0.3">
      <c r="B46" s="246" t="s">
        <v>56</v>
      </c>
      <c r="C46" t="s">
        <v>130</v>
      </c>
      <c r="D46" s="179">
        <v>0</v>
      </c>
      <c r="E46" s="179">
        <v>0</v>
      </c>
      <c r="F46" s="179">
        <v>0</v>
      </c>
      <c r="G46" s="179">
        <v>0</v>
      </c>
      <c r="P46" s="254">
        <f t="shared" si="36"/>
        <v>0</v>
      </c>
      <c r="Q46" s="254">
        <f t="shared" si="33"/>
        <v>0</v>
      </c>
      <c r="T46" s="179">
        <v>0</v>
      </c>
      <c r="U46" s="179">
        <v>0</v>
      </c>
      <c r="V46" s="179">
        <v>0</v>
      </c>
      <c r="W46" s="179">
        <v>0</v>
      </c>
      <c r="X46" s="179">
        <v>0</v>
      </c>
      <c r="Y46" s="179">
        <v>0</v>
      </c>
      <c r="Z46" s="179">
        <v>0</v>
      </c>
      <c r="AA46" s="179">
        <v>0</v>
      </c>
      <c r="AB46" s="179">
        <v>0</v>
      </c>
      <c r="AC46" s="179">
        <v>0</v>
      </c>
      <c r="AD46" s="179">
        <v>0</v>
      </c>
      <c r="AE46" s="179">
        <v>0</v>
      </c>
      <c r="AF46" s="254">
        <f t="shared" si="37"/>
        <v>0</v>
      </c>
      <c r="AG46" s="254">
        <f t="shared" si="34"/>
        <v>0</v>
      </c>
      <c r="AJ46" s="179">
        <f t="shared" si="38"/>
        <v>0</v>
      </c>
      <c r="AK46" s="179">
        <f t="shared" si="35"/>
        <v>0</v>
      </c>
      <c r="AL46" s="179">
        <f t="shared" si="35"/>
        <v>0</v>
      </c>
      <c r="AM46" s="179">
        <f t="shared" si="35"/>
        <v>0</v>
      </c>
      <c r="AN46" s="179">
        <f t="shared" si="35"/>
        <v>0</v>
      </c>
      <c r="AO46" s="179">
        <f t="shared" si="35"/>
        <v>0</v>
      </c>
      <c r="AP46" s="179">
        <f t="shared" si="35"/>
        <v>0</v>
      </c>
      <c r="AQ46" s="179">
        <f t="shared" si="35"/>
        <v>0</v>
      </c>
      <c r="AR46" s="179">
        <f t="shared" si="35"/>
        <v>0</v>
      </c>
      <c r="AS46" s="179">
        <f t="shared" si="35"/>
        <v>0</v>
      </c>
      <c r="AT46" s="179">
        <f t="shared" si="35"/>
        <v>0</v>
      </c>
      <c r="AU46" s="179">
        <f t="shared" si="35"/>
        <v>0</v>
      </c>
      <c r="AV46" s="254">
        <f t="shared" si="39"/>
        <v>0</v>
      </c>
      <c r="AW46" s="254">
        <f t="shared" si="40"/>
        <v>0</v>
      </c>
    </row>
    <row r="47" spans="1:49" x14ac:dyDescent="0.3">
      <c r="B47" s="246" t="s">
        <v>56</v>
      </c>
      <c r="C47" t="s">
        <v>131</v>
      </c>
      <c r="D47" s="179">
        <v>0</v>
      </c>
      <c r="E47" s="179">
        <v>0</v>
      </c>
      <c r="F47" s="179">
        <v>0</v>
      </c>
      <c r="G47" s="179">
        <v>0</v>
      </c>
      <c r="P47" s="254">
        <f t="shared" si="36"/>
        <v>0</v>
      </c>
      <c r="Q47" s="254">
        <f t="shared" si="33"/>
        <v>0</v>
      </c>
      <c r="T47" s="179">
        <v>0</v>
      </c>
      <c r="U47" s="179">
        <v>0</v>
      </c>
      <c r="V47" s="179">
        <v>0</v>
      </c>
      <c r="W47" s="179">
        <v>0</v>
      </c>
      <c r="X47" s="179">
        <v>0</v>
      </c>
      <c r="Y47" s="179">
        <v>0</v>
      </c>
      <c r="Z47" s="179">
        <v>0</v>
      </c>
      <c r="AA47" s="179">
        <v>0</v>
      </c>
      <c r="AB47" s="179">
        <v>0</v>
      </c>
      <c r="AC47" s="179">
        <v>0</v>
      </c>
      <c r="AD47" s="179">
        <v>0</v>
      </c>
      <c r="AE47" s="179">
        <v>0</v>
      </c>
      <c r="AF47" s="254">
        <f t="shared" si="37"/>
        <v>0</v>
      </c>
      <c r="AG47" s="254">
        <f t="shared" si="34"/>
        <v>0</v>
      </c>
      <c r="AJ47" s="179">
        <f t="shared" si="38"/>
        <v>0</v>
      </c>
      <c r="AK47" s="179">
        <f t="shared" si="35"/>
        <v>0</v>
      </c>
      <c r="AL47" s="179">
        <f t="shared" si="35"/>
        <v>0</v>
      </c>
      <c r="AM47" s="179">
        <f t="shared" si="35"/>
        <v>0</v>
      </c>
      <c r="AN47" s="179">
        <f t="shared" si="35"/>
        <v>0</v>
      </c>
      <c r="AO47" s="179">
        <f t="shared" si="35"/>
        <v>0</v>
      </c>
      <c r="AP47" s="179">
        <f t="shared" si="35"/>
        <v>0</v>
      </c>
      <c r="AQ47" s="179">
        <f t="shared" si="35"/>
        <v>0</v>
      </c>
      <c r="AR47" s="179">
        <f t="shared" si="35"/>
        <v>0</v>
      </c>
      <c r="AS47" s="179">
        <f t="shared" si="35"/>
        <v>0</v>
      </c>
      <c r="AT47" s="179">
        <f t="shared" si="35"/>
        <v>0</v>
      </c>
      <c r="AU47" s="179">
        <f t="shared" si="35"/>
        <v>0</v>
      </c>
      <c r="AV47" s="254">
        <f t="shared" si="39"/>
        <v>0</v>
      </c>
      <c r="AW47" s="254">
        <f t="shared" si="40"/>
        <v>0</v>
      </c>
    </row>
    <row r="48" spans="1:49" x14ac:dyDescent="0.3">
      <c r="B48" s="246" t="s">
        <v>56</v>
      </c>
      <c r="C48" t="s">
        <v>132</v>
      </c>
      <c r="D48" s="179">
        <v>0</v>
      </c>
      <c r="E48" s="179">
        <v>0</v>
      </c>
      <c r="F48" s="179">
        <v>0</v>
      </c>
      <c r="G48" s="179">
        <v>0</v>
      </c>
      <c r="P48" s="254">
        <f t="shared" si="36"/>
        <v>0</v>
      </c>
      <c r="Q48" s="254">
        <f t="shared" si="33"/>
        <v>0</v>
      </c>
      <c r="T48" s="179">
        <v>0</v>
      </c>
      <c r="U48" s="179">
        <v>0</v>
      </c>
      <c r="V48" s="179">
        <v>0</v>
      </c>
      <c r="W48" s="179">
        <v>0</v>
      </c>
      <c r="X48" s="179">
        <v>0</v>
      </c>
      <c r="Y48" s="179">
        <v>0</v>
      </c>
      <c r="Z48" s="179">
        <v>0</v>
      </c>
      <c r="AA48" s="179">
        <v>0</v>
      </c>
      <c r="AB48" s="179">
        <v>0</v>
      </c>
      <c r="AC48" s="179">
        <v>0</v>
      </c>
      <c r="AD48" s="179">
        <v>0</v>
      </c>
      <c r="AE48" s="179">
        <v>0</v>
      </c>
      <c r="AF48" s="254">
        <f t="shared" si="37"/>
        <v>0</v>
      </c>
      <c r="AG48" s="254">
        <f t="shared" si="34"/>
        <v>0</v>
      </c>
      <c r="AJ48" s="179">
        <f t="shared" si="38"/>
        <v>0</v>
      </c>
      <c r="AK48" s="179">
        <f t="shared" si="35"/>
        <v>0</v>
      </c>
      <c r="AL48" s="179">
        <f t="shared" si="35"/>
        <v>0</v>
      </c>
      <c r="AM48" s="179">
        <f t="shared" si="35"/>
        <v>0</v>
      </c>
      <c r="AN48" s="179">
        <f t="shared" si="35"/>
        <v>0</v>
      </c>
      <c r="AO48" s="179">
        <f t="shared" si="35"/>
        <v>0</v>
      </c>
      <c r="AP48" s="179">
        <f t="shared" si="35"/>
        <v>0</v>
      </c>
      <c r="AQ48" s="179">
        <f t="shared" si="35"/>
        <v>0</v>
      </c>
      <c r="AR48" s="179">
        <f t="shared" si="35"/>
        <v>0</v>
      </c>
      <c r="AS48" s="179">
        <f t="shared" si="35"/>
        <v>0</v>
      </c>
      <c r="AT48" s="179">
        <f t="shared" si="35"/>
        <v>0</v>
      </c>
      <c r="AU48" s="179">
        <f t="shared" si="35"/>
        <v>0</v>
      </c>
      <c r="AV48" s="254">
        <f t="shared" si="39"/>
        <v>0</v>
      </c>
      <c r="AW48" s="254">
        <f>+Q48+AG48</f>
        <v>0</v>
      </c>
    </row>
    <row r="49" spans="2:49" x14ac:dyDescent="0.3">
      <c r="B49" s="246" t="s">
        <v>56</v>
      </c>
      <c r="C49" t="s">
        <v>133</v>
      </c>
      <c r="D49" s="179">
        <v>0</v>
      </c>
      <c r="E49" s="179">
        <v>0</v>
      </c>
      <c r="F49" s="179">
        <v>0</v>
      </c>
      <c r="G49" s="179">
        <v>0</v>
      </c>
      <c r="P49" s="254">
        <f t="shared" si="36"/>
        <v>0</v>
      </c>
      <c r="Q49" s="254">
        <f t="shared" si="33"/>
        <v>0</v>
      </c>
      <c r="T49" s="179">
        <v>0</v>
      </c>
      <c r="U49" s="179">
        <v>0</v>
      </c>
      <c r="V49" s="179">
        <v>0</v>
      </c>
      <c r="W49" s="179">
        <v>0</v>
      </c>
      <c r="X49" s="179">
        <v>0</v>
      </c>
      <c r="Y49" s="179">
        <v>0</v>
      </c>
      <c r="Z49" s="179">
        <v>0</v>
      </c>
      <c r="AA49" s="179">
        <v>0</v>
      </c>
      <c r="AB49" s="179">
        <v>0</v>
      </c>
      <c r="AC49" s="179">
        <v>0</v>
      </c>
      <c r="AD49" s="179">
        <v>0</v>
      </c>
      <c r="AE49" s="179">
        <v>0</v>
      </c>
      <c r="AF49" s="254">
        <f t="shared" si="37"/>
        <v>0</v>
      </c>
      <c r="AG49" s="254">
        <f t="shared" si="34"/>
        <v>0</v>
      </c>
      <c r="AJ49" s="179">
        <f t="shared" si="38"/>
        <v>0</v>
      </c>
      <c r="AK49" s="179">
        <f t="shared" si="35"/>
        <v>0</v>
      </c>
      <c r="AL49" s="179">
        <f t="shared" si="35"/>
        <v>0</v>
      </c>
      <c r="AM49" s="179">
        <f t="shared" si="35"/>
        <v>0</v>
      </c>
      <c r="AN49" s="179">
        <f t="shared" si="35"/>
        <v>0</v>
      </c>
      <c r="AO49" s="179">
        <f t="shared" si="35"/>
        <v>0</v>
      </c>
      <c r="AP49" s="179">
        <f t="shared" si="35"/>
        <v>0</v>
      </c>
      <c r="AQ49" s="179">
        <f t="shared" si="35"/>
        <v>0</v>
      </c>
      <c r="AR49" s="179">
        <f t="shared" si="35"/>
        <v>0</v>
      </c>
      <c r="AS49" s="179">
        <f t="shared" si="35"/>
        <v>0</v>
      </c>
      <c r="AT49" s="179">
        <f t="shared" si="35"/>
        <v>0</v>
      </c>
      <c r="AU49" s="179">
        <f t="shared" si="35"/>
        <v>0</v>
      </c>
      <c r="AV49" s="254">
        <f t="shared" si="39"/>
        <v>0</v>
      </c>
      <c r="AW49" s="254">
        <f t="shared" si="40"/>
        <v>0</v>
      </c>
    </row>
    <row r="50" spans="2:49" x14ac:dyDescent="0.3">
      <c r="B50" s="246" t="s">
        <v>56</v>
      </c>
      <c r="C50" t="s">
        <v>134</v>
      </c>
      <c r="D50" s="179">
        <v>0</v>
      </c>
      <c r="E50" s="179">
        <v>0</v>
      </c>
      <c r="F50" s="179">
        <v>0</v>
      </c>
      <c r="G50" s="179">
        <v>0</v>
      </c>
      <c r="P50" s="254">
        <f t="shared" si="36"/>
        <v>0</v>
      </c>
      <c r="Q50" s="254">
        <f t="shared" si="33"/>
        <v>0</v>
      </c>
      <c r="T50" s="179">
        <v>0</v>
      </c>
      <c r="U50" s="179">
        <v>0</v>
      </c>
      <c r="V50" s="179">
        <v>0</v>
      </c>
      <c r="W50" s="179">
        <v>0</v>
      </c>
      <c r="X50" s="179">
        <v>0</v>
      </c>
      <c r="Y50" s="179">
        <v>0</v>
      </c>
      <c r="Z50" s="179">
        <v>0</v>
      </c>
      <c r="AA50" s="179">
        <v>0</v>
      </c>
      <c r="AB50" s="179">
        <v>0</v>
      </c>
      <c r="AC50" s="179">
        <v>0</v>
      </c>
      <c r="AD50" s="179">
        <v>0</v>
      </c>
      <c r="AE50" s="179">
        <v>0</v>
      </c>
      <c r="AF50" s="254">
        <f t="shared" si="37"/>
        <v>0</v>
      </c>
      <c r="AG50" s="254">
        <f t="shared" si="34"/>
        <v>0</v>
      </c>
      <c r="AJ50" s="179">
        <f t="shared" si="38"/>
        <v>0</v>
      </c>
      <c r="AK50" s="179">
        <f t="shared" si="35"/>
        <v>0</v>
      </c>
      <c r="AL50" s="179">
        <f t="shared" si="35"/>
        <v>0</v>
      </c>
      <c r="AM50" s="179">
        <f t="shared" si="35"/>
        <v>0</v>
      </c>
      <c r="AN50" s="179">
        <f t="shared" si="35"/>
        <v>0</v>
      </c>
      <c r="AO50" s="179">
        <f t="shared" si="35"/>
        <v>0</v>
      </c>
      <c r="AP50" s="179">
        <f t="shared" si="35"/>
        <v>0</v>
      </c>
      <c r="AQ50" s="179">
        <f t="shared" si="35"/>
        <v>0</v>
      </c>
      <c r="AR50" s="179">
        <f t="shared" si="35"/>
        <v>0</v>
      </c>
      <c r="AS50" s="179">
        <f t="shared" si="35"/>
        <v>0</v>
      </c>
      <c r="AT50" s="179">
        <f t="shared" si="35"/>
        <v>0</v>
      </c>
      <c r="AU50" s="179">
        <f t="shared" si="35"/>
        <v>0</v>
      </c>
      <c r="AV50" s="254">
        <f t="shared" si="39"/>
        <v>0</v>
      </c>
      <c r="AW50" s="254">
        <f t="shared" si="40"/>
        <v>0</v>
      </c>
    </row>
    <row r="51" spans="2:49" x14ac:dyDescent="0.3">
      <c r="B51" s="246" t="s">
        <v>56</v>
      </c>
      <c r="C51" t="s">
        <v>135</v>
      </c>
      <c r="D51" s="179">
        <v>0</v>
      </c>
      <c r="E51" s="179">
        <v>0</v>
      </c>
      <c r="F51" s="179">
        <v>0</v>
      </c>
      <c r="G51" s="179">
        <v>0</v>
      </c>
      <c r="P51" s="254">
        <f t="shared" si="36"/>
        <v>0</v>
      </c>
      <c r="Q51" s="254">
        <f t="shared" si="33"/>
        <v>0</v>
      </c>
      <c r="T51" s="179">
        <v>0</v>
      </c>
      <c r="U51" s="179">
        <v>0</v>
      </c>
      <c r="V51" s="179">
        <v>0</v>
      </c>
      <c r="W51" s="179">
        <v>0</v>
      </c>
      <c r="X51" s="179">
        <v>0</v>
      </c>
      <c r="Y51" s="179">
        <v>0</v>
      </c>
      <c r="Z51" s="179">
        <v>0</v>
      </c>
      <c r="AA51" s="179">
        <v>0</v>
      </c>
      <c r="AB51" s="179">
        <v>0</v>
      </c>
      <c r="AC51" s="179">
        <v>0</v>
      </c>
      <c r="AD51" s="179">
        <v>0</v>
      </c>
      <c r="AE51" s="179">
        <v>0</v>
      </c>
      <c r="AF51" s="254">
        <f t="shared" si="37"/>
        <v>0</v>
      </c>
      <c r="AG51" s="254">
        <f t="shared" si="34"/>
        <v>0</v>
      </c>
      <c r="AJ51" s="179">
        <f t="shared" si="38"/>
        <v>0</v>
      </c>
      <c r="AK51" s="179">
        <f t="shared" si="35"/>
        <v>0</v>
      </c>
      <c r="AL51" s="179">
        <f t="shared" si="35"/>
        <v>0</v>
      </c>
      <c r="AM51" s="179">
        <f t="shared" si="35"/>
        <v>0</v>
      </c>
      <c r="AN51" s="179">
        <f t="shared" si="35"/>
        <v>0</v>
      </c>
      <c r="AO51" s="179">
        <f t="shared" si="35"/>
        <v>0</v>
      </c>
      <c r="AP51" s="179">
        <f t="shared" si="35"/>
        <v>0</v>
      </c>
      <c r="AQ51" s="179">
        <f t="shared" si="35"/>
        <v>0</v>
      </c>
      <c r="AR51" s="179">
        <f t="shared" si="35"/>
        <v>0</v>
      </c>
      <c r="AS51" s="179">
        <f t="shared" si="35"/>
        <v>0</v>
      </c>
      <c r="AT51" s="179">
        <f t="shared" si="35"/>
        <v>0</v>
      </c>
      <c r="AU51" s="179">
        <f t="shared" si="35"/>
        <v>0</v>
      </c>
      <c r="AV51" s="254">
        <f t="shared" si="39"/>
        <v>0</v>
      </c>
      <c r="AW51" s="254">
        <f t="shared" si="40"/>
        <v>0</v>
      </c>
    </row>
    <row r="52" spans="2:49" x14ac:dyDescent="0.3">
      <c r="B52" s="246" t="s">
        <v>56</v>
      </c>
      <c r="C52" t="s">
        <v>136</v>
      </c>
      <c r="D52" s="179">
        <v>0</v>
      </c>
      <c r="E52" s="179">
        <v>0</v>
      </c>
      <c r="F52" s="179">
        <v>0</v>
      </c>
      <c r="G52" s="179">
        <v>0</v>
      </c>
      <c r="P52" s="254">
        <f t="shared" si="36"/>
        <v>0</v>
      </c>
      <c r="Q52" s="254">
        <f t="shared" si="33"/>
        <v>0</v>
      </c>
      <c r="T52" s="179">
        <v>0</v>
      </c>
      <c r="U52" s="179">
        <v>0</v>
      </c>
      <c r="V52" s="179">
        <v>0</v>
      </c>
      <c r="W52" s="179">
        <v>0</v>
      </c>
      <c r="X52" s="179">
        <v>0</v>
      </c>
      <c r="Y52" s="179">
        <v>0</v>
      </c>
      <c r="Z52" s="179">
        <v>0</v>
      </c>
      <c r="AA52" s="179">
        <v>0</v>
      </c>
      <c r="AB52" s="179">
        <v>0</v>
      </c>
      <c r="AC52" s="179">
        <v>0</v>
      </c>
      <c r="AD52" s="179">
        <v>0</v>
      </c>
      <c r="AE52" s="179">
        <v>0</v>
      </c>
      <c r="AF52" s="254">
        <f t="shared" si="37"/>
        <v>0</v>
      </c>
      <c r="AG52" s="254">
        <f t="shared" si="34"/>
        <v>0</v>
      </c>
      <c r="AJ52" s="179">
        <f t="shared" si="38"/>
        <v>0</v>
      </c>
      <c r="AK52" s="179">
        <f t="shared" si="35"/>
        <v>0</v>
      </c>
      <c r="AL52" s="179">
        <f t="shared" si="35"/>
        <v>0</v>
      </c>
      <c r="AM52" s="179">
        <f t="shared" si="35"/>
        <v>0</v>
      </c>
      <c r="AN52" s="179">
        <f t="shared" si="35"/>
        <v>0</v>
      </c>
      <c r="AO52" s="179">
        <f t="shared" si="35"/>
        <v>0</v>
      </c>
      <c r="AP52" s="179">
        <f t="shared" si="35"/>
        <v>0</v>
      </c>
      <c r="AQ52" s="179">
        <f t="shared" si="35"/>
        <v>0</v>
      </c>
      <c r="AR52" s="179">
        <f t="shared" si="35"/>
        <v>0</v>
      </c>
      <c r="AS52" s="179">
        <f t="shared" si="35"/>
        <v>0</v>
      </c>
      <c r="AT52" s="179">
        <f t="shared" si="35"/>
        <v>0</v>
      </c>
      <c r="AU52" s="179">
        <f t="shared" si="35"/>
        <v>0</v>
      </c>
      <c r="AV52" s="254">
        <f t="shared" si="39"/>
        <v>0</v>
      </c>
      <c r="AW52" s="254">
        <f t="shared" si="40"/>
        <v>0</v>
      </c>
    </row>
    <row r="53" spans="2:49" x14ac:dyDescent="0.3">
      <c r="B53" s="246" t="s">
        <v>56</v>
      </c>
      <c r="C53" t="s">
        <v>137</v>
      </c>
      <c r="D53" s="179">
        <v>0</v>
      </c>
      <c r="E53" s="179">
        <v>0</v>
      </c>
      <c r="F53" s="179">
        <v>0</v>
      </c>
      <c r="G53" s="179">
        <v>0</v>
      </c>
      <c r="P53" s="254">
        <f t="shared" si="36"/>
        <v>0</v>
      </c>
      <c r="Q53" s="254">
        <f t="shared" si="33"/>
        <v>0</v>
      </c>
      <c r="T53" s="179">
        <v>0</v>
      </c>
      <c r="U53" s="179">
        <v>0</v>
      </c>
      <c r="V53" s="179">
        <v>0</v>
      </c>
      <c r="W53" s="179">
        <v>0</v>
      </c>
      <c r="X53" s="179">
        <v>0</v>
      </c>
      <c r="Y53" s="179">
        <v>0</v>
      </c>
      <c r="Z53" s="179">
        <v>0</v>
      </c>
      <c r="AA53" s="179">
        <v>0</v>
      </c>
      <c r="AB53" s="179">
        <v>0</v>
      </c>
      <c r="AC53" s="179">
        <v>0</v>
      </c>
      <c r="AD53" s="179">
        <v>0</v>
      </c>
      <c r="AE53" s="179">
        <v>0</v>
      </c>
      <c r="AF53" s="254">
        <f t="shared" si="37"/>
        <v>0</v>
      </c>
      <c r="AG53" s="254">
        <f t="shared" si="34"/>
        <v>0</v>
      </c>
      <c r="AJ53" s="179">
        <f t="shared" si="38"/>
        <v>0</v>
      </c>
      <c r="AK53" s="179">
        <f t="shared" si="35"/>
        <v>0</v>
      </c>
      <c r="AL53" s="179">
        <f t="shared" si="35"/>
        <v>0</v>
      </c>
      <c r="AM53" s="179">
        <f t="shared" si="35"/>
        <v>0</v>
      </c>
      <c r="AN53" s="179">
        <f t="shared" si="35"/>
        <v>0</v>
      </c>
      <c r="AO53" s="179">
        <f t="shared" si="35"/>
        <v>0</v>
      </c>
      <c r="AP53" s="179">
        <f t="shared" si="35"/>
        <v>0</v>
      </c>
      <c r="AQ53" s="179">
        <f t="shared" si="35"/>
        <v>0</v>
      </c>
      <c r="AR53" s="179">
        <f t="shared" si="35"/>
        <v>0</v>
      </c>
      <c r="AS53" s="179">
        <f t="shared" si="35"/>
        <v>0</v>
      </c>
      <c r="AT53" s="179">
        <f t="shared" si="35"/>
        <v>0</v>
      </c>
      <c r="AU53" s="179">
        <f t="shared" si="35"/>
        <v>0</v>
      </c>
      <c r="AV53" s="254">
        <f t="shared" si="39"/>
        <v>0</v>
      </c>
      <c r="AW53" s="254">
        <f t="shared" si="40"/>
        <v>0</v>
      </c>
    </row>
    <row r="54" spans="2:49" x14ac:dyDescent="0.3">
      <c r="C54" s="192" t="s">
        <v>138</v>
      </c>
      <c r="D54" s="255">
        <f>SUM(D43:D53)</f>
        <v>0</v>
      </c>
      <c r="E54" s="255">
        <f t="shared" ref="E54:Q54" si="41">SUM(E43:E53)</f>
        <v>0</v>
      </c>
      <c r="F54" s="255">
        <f t="shared" si="41"/>
        <v>0</v>
      </c>
      <c r="G54" s="255">
        <f t="shared" si="41"/>
        <v>0</v>
      </c>
      <c r="H54" s="255">
        <f t="shared" si="41"/>
        <v>0</v>
      </c>
      <c r="I54" s="255">
        <f t="shared" si="41"/>
        <v>0</v>
      </c>
      <c r="J54" s="255">
        <f t="shared" si="41"/>
        <v>0</v>
      </c>
      <c r="K54" s="255">
        <f t="shared" si="41"/>
        <v>0</v>
      </c>
      <c r="L54" s="255">
        <f t="shared" si="41"/>
        <v>0</v>
      </c>
      <c r="M54" s="255">
        <f t="shared" si="41"/>
        <v>0</v>
      </c>
      <c r="N54" s="255">
        <f t="shared" si="41"/>
        <v>0</v>
      </c>
      <c r="O54" s="255">
        <f t="shared" si="41"/>
        <v>0</v>
      </c>
      <c r="P54" s="255">
        <f t="shared" si="41"/>
        <v>0</v>
      </c>
      <c r="Q54" s="255">
        <f t="shared" si="41"/>
        <v>0</v>
      </c>
      <c r="S54" s="255">
        <v>0</v>
      </c>
      <c r="T54" s="255">
        <f>SUM(T43:T53)</f>
        <v>0</v>
      </c>
      <c r="U54" s="255">
        <f t="shared" ref="U54:AF54" si="42">SUM(U43:U53)</f>
        <v>0</v>
      </c>
      <c r="V54" s="255">
        <f t="shared" si="42"/>
        <v>0</v>
      </c>
      <c r="W54" s="255">
        <f t="shared" si="42"/>
        <v>0</v>
      </c>
      <c r="X54" s="255">
        <f t="shared" si="42"/>
        <v>0</v>
      </c>
      <c r="Y54" s="255">
        <f t="shared" si="42"/>
        <v>0</v>
      </c>
      <c r="Z54" s="255">
        <f t="shared" si="42"/>
        <v>0</v>
      </c>
      <c r="AA54" s="255">
        <f t="shared" si="42"/>
        <v>0</v>
      </c>
      <c r="AB54" s="255">
        <f t="shared" si="42"/>
        <v>0</v>
      </c>
      <c r="AC54" s="255">
        <f t="shared" si="42"/>
        <v>0</v>
      </c>
      <c r="AD54" s="255">
        <f t="shared" si="42"/>
        <v>0</v>
      </c>
      <c r="AE54" s="255">
        <f t="shared" si="42"/>
        <v>0</v>
      </c>
      <c r="AF54" s="255">
        <f t="shared" si="42"/>
        <v>0</v>
      </c>
      <c r="AG54" s="255"/>
      <c r="AI54" s="255">
        <f>SUM(AI43:AI53)</f>
        <v>0</v>
      </c>
      <c r="AJ54" s="255">
        <f t="shared" ref="AJ54:AV54" si="43">SUM(AJ43:AJ53)</f>
        <v>0</v>
      </c>
      <c r="AK54" s="255">
        <f t="shared" si="43"/>
        <v>0</v>
      </c>
      <c r="AL54" s="255">
        <f t="shared" si="43"/>
        <v>0</v>
      </c>
      <c r="AM54" s="255">
        <f t="shared" si="43"/>
        <v>0</v>
      </c>
      <c r="AN54" s="255">
        <f t="shared" si="43"/>
        <v>0</v>
      </c>
      <c r="AO54" s="255">
        <f t="shared" si="43"/>
        <v>0</v>
      </c>
      <c r="AP54" s="255">
        <f t="shared" si="43"/>
        <v>0</v>
      </c>
      <c r="AQ54" s="255">
        <f t="shared" si="43"/>
        <v>0</v>
      </c>
      <c r="AR54" s="255">
        <f t="shared" si="43"/>
        <v>0</v>
      </c>
      <c r="AS54" s="255">
        <f t="shared" si="43"/>
        <v>0</v>
      </c>
      <c r="AT54" s="255">
        <f t="shared" si="43"/>
        <v>0</v>
      </c>
      <c r="AU54" s="255">
        <f t="shared" si="43"/>
        <v>0</v>
      </c>
      <c r="AV54" s="255">
        <f t="shared" si="43"/>
        <v>0</v>
      </c>
      <c r="AW54" s="255"/>
    </row>
    <row r="55" spans="2:49" x14ac:dyDescent="0.3">
      <c r="P55" s="254"/>
      <c r="Q55" s="254"/>
      <c r="AF55" s="254"/>
      <c r="AG55" s="254"/>
      <c r="AV55" s="254"/>
      <c r="AW55" s="254"/>
    </row>
    <row r="56" spans="2:49" x14ac:dyDescent="0.3">
      <c r="B56" t="s">
        <v>59</v>
      </c>
      <c r="C56" t="s">
        <v>42</v>
      </c>
      <c r="D56" s="179">
        <v>0</v>
      </c>
      <c r="E56" s="179">
        <v>187415</v>
      </c>
      <c r="F56" s="179">
        <v>329610.05</v>
      </c>
      <c r="G56" s="179">
        <v>338130.97999999981</v>
      </c>
      <c r="P56" s="254">
        <f>SUM(D56:O56)</f>
        <v>855156.0299999998</v>
      </c>
      <c r="Q56" s="254">
        <f t="shared" ref="Q56:Q63" si="44">SUMIF($D$2:$O$2,$Q$3,D56:O56)</f>
        <v>855156.0299999998</v>
      </c>
      <c r="T56" s="179">
        <v>0</v>
      </c>
      <c r="U56" s="179">
        <v>0</v>
      </c>
      <c r="V56" s="179">
        <v>10800</v>
      </c>
      <c r="W56" s="179">
        <v>0</v>
      </c>
      <c r="X56" s="179">
        <v>0</v>
      </c>
      <c r="Y56" s="179">
        <v>0</v>
      </c>
      <c r="Z56" s="179">
        <v>0</v>
      </c>
      <c r="AA56" s="179">
        <v>0</v>
      </c>
      <c r="AB56" s="179">
        <v>0</v>
      </c>
      <c r="AC56" s="179">
        <v>0</v>
      </c>
      <c r="AD56" s="179">
        <v>0</v>
      </c>
      <c r="AE56" s="179">
        <v>0</v>
      </c>
      <c r="AF56" s="254">
        <f>SUM(T56:AE56)</f>
        <v>10800</v>
      </c>
      <c r="AG56" s="254">
        <f t="shared" ref="AG56:AG63" si="45">SUMIF($T$2:$AE$2,$AG$3,T56:AE56)</f>
        <v>10800</v>
      </c>
      <c r="AJ56" s="179">
        <f>+D56+T56</f>
        <v>0</v>
      </c>
      <c r="AK56" s="179">
        <f t="shared" ref="AK56:AU63" si="46">+E56+U56</f>
        <v>187415</v>
      </c>
      <c r="AL56" s="179">
        <f t="shared" si="46"/>
        <v>340410.05</v>
      </c>
      <c r="AM56" s="179">
        <f t="shared" si="46"/>
        <v>338130.97999999981</v>
      </c>
      <c r="AN56" s="179">
        <f t="shared" si="46"/>
        <v>0</v>
      </c>
      <c r="AO56" s="179">
        <f t="shared" si="46"/>
        <v>0</v>
      </c>
      <c r="AP56" s="179">
        <f t="shared" si="46"/>
        <v>0</v>
      </c>
      <c r="AQ56" s="179">
        <f t="shared" si="46"/>
        <v>0</v>
      </c>
      <c r="AR56" s="179">
        <f t="shared" si="46"/>
        <v>0</v>
      </c>
      <c r="AS56" s="179">
        <f t="shared" si="46"/>
        <v>0</v>
      </c>
      <c r="AT56" s="179">
        <f t="shared" si="46"/>
        <v>0</v>
      </c>
      <c r="AU56" s="179">
        <f t="shared" si="46"/>
        <v>0</v>
      </c>
      <c r="AV56" s="254">
        <f>SUM(AJ56:AU56)</f>
        <v>865956.0299999998</v>
      </c>
      <c r="AW56" s="254">
        <f t="shared" ref="AW56:AW63" si="47">+Q56+AG56</f>
        <v>865956.0299999998</v>
      </c>
    </row>
    <row r="57" spans="2:49" x14ac:dyDescent="0.3">
      <c r="B57" t="s">
        <v>59</v>
      </c>
      <c r="C57" t="s">
        <v>43</v>
      </c>
      <c r="D57" s="179">
        <v>0</v>
      </c>
      <c r="E57" s="179">
        <v>1870</v>
      </c>
      <c r="F57" s="179">
        <v>0</v>
      </c>
      <c r="G57" s="179">
        <v>0</v>
      </c>
      <c r="P57" s="254">
        <f t="shared" ref="P57:P63" si="48">SUM(D57:O57)</f>
        <v>1870</v>
      </c>
      <c r="Q57" s="254">
        <f t="shared" si="44"/>
        <v>1870</v>
      </c>
      <c r="T57" s="179">
        <v>0</v>
      </c>
      <c r="U57" s="179">
        <v>0</v>
      </c>
      <c r="V57" s="179">
        <v>0</v>
      </c>
      <c r="W57" s="179">
        <v>0</v>
      </c>
      <c r="X57" s="179">
        <v>0</v>
      </c>
      <c r="Y57" s="179">
        <v>0</v>
      </c>
      <c r="Z57" s="179">
        <v>0</v>
      </c>
      <c r="AA57" s="179">
        <v>0</v>
      </c>
      <c r="AB57" s="179">
        <v>0</v>
      </c>
      <c r="AC57" s="179">
        <v>0</v>
      </c>
      <c r="AD57" s="179">
        <v>0</v>
      </c>
      <c r="AE57" s="179">
        <v>0</v>
      </c>
      <c r="AF57" s="254">
        <f t="shared" ref="AF57:AF63" si="49">SUM(T57:AE57)</f>
        <v>0</v>
      </c>
      <c r="AG57" s="254">
        <f t="shared" si="45"/>
        <v>0</v>
      </c>
      <c r="AJ57" s="179">
        <f t="shared" ref="AJ57:AJ63" si="50">+D57+T57</f>
        <v>0</v>
      </c>
      <c r="AK57" s="179">
        <f t="shared" si="46"/>
        <v>1870</v>
      </c>
      <c r="AL57" s="179">
        <f t="shared" si="46"/>
        <v>0</v>
      </c>
      <c r="AM57" s="179">
        <f t="shared" si="46"/>
        <v>0</v>
      </c>
      <c r="AN57" s="179">
        <f t="shared" si="46"/>
        <v>0</v>
      </c>
      <c r="AO57" s="179">
        <f t="shared" si="46"/>
        <v>0</v>
      </c>
      <c r="AP57" s="179">
        <f t="shared" si="46"/>
        <v>0</v>
      </c>
      <c r="AQ57" s="179">
        <f t="shared" si="46"/>
        <v>0</v>
      </c>
      <c r="AR57" s="179">
        <f t="shared" si="46"/>
        <v>0</v>
      </c>
      <c r="AS57" s="179">
        <f t="shared" si="46"/>
        <v>0</v>
      </c>
      <c r="AT57" s="179">
        <f t="shared" si="46"/>
        <v>0</v>
      </c>
      <c r="AU57" s="179">
        <f t="shared" si="46"/>
        <v>0</v>
      </c>
      <c r="AV57" s="254">
        <f t="shared" ref="AV57:AV63" si="51">SUM(AJ57:AU57)</f>
        <v>1870</v>
      </c>
      <c r="AW57" s="254">
        <f t="shared" si="47"/>
        <v>1870</v>
      </c>
    </row>
    <row r="58" spans="2:49" x14ac:dyDescent="0.3">
      <c r="B58" t="s">
        <v>59</v>
      </c>
      <c r="C58" t="s">
        <v>139</v>
      </c>
      <c r="D58" s="179">
        <v>0</v>
      </c>
      <c r="E58" s="179">
        <v>0</v>
      </c>
      <c r="F58" s="179">
        <v>0</v>
      </c>
      <c r="G58" s="179">
        <v>0</v>
      </c>
      <c r="P58" s="254">
        <f t="shared" si="48"/>
        <v>0</v>
      </c>
      <c r="Q58" s="254">
        <f t="shared" si="44"/>
        <v>0</v>
      </c>
      <c r="T58" s="179">
        <v>0</v>
      </c>
      <c r="U58" s="179">
        <v>0</v>
      </c>
      <c r="V58" s="179">
        <v>0</v>
      </c>
      <c r="W58" s="179">
        <v>0</v>
      </c>
      <c r="X58" s="179">
        <v>0</v>
      </c>
      <c r="Y58" s="179">
        <v>0</v>
      </c>
      <c r="Z58" s="179">
        <v>0</v>
      </c>
      <c r="AA58" s="179">
        <v>0</v>
      </c>
      <c r="AB58" s="179">
        <v>0</v>
      </c>
      <c r="AC58" s="179">
        <v>0</v>
      </c>
      <c r="AD58" s="179">
        <v>0</v>
      </c>
      <c r="AE58" s="179">
        <v>0</v>
      </c>
      <c r="AF58" s="254">
        <f t="shared" si="49"/>
        <v>0</v>
      </c>
      <c r="AG58" s="254">
        <f t="shared" si="45"/>
        <v>0</v>
      </c>
      <c r="AJ58" s="179">
        <f t="shared" si="50"/>
        <v>0</v>
      </c>
      <c r="AK58" s="179">
        <f t="shared" si="46"/>
        <v>0</v>
      </c>
      <c r="AL58" s="179">
        <f t="shared" si="46"/>
        <v>0</v>
      </c>
      <c r="AM58" s="179">
        <f t="shared" si="46"/>
        <v>0</v>
      </c>
      <c r="AN58" s="179">
        <f t="shared" si="46"/>
        <v>0</v>
      </c>
      <c r="AO58" s="179">
        <f t="shared" si="46"/>
        <v>0</v>
      </c>
      <c r="AP58" s="179">
        <f t="shared" si="46"/>
        <v>0</v>
      </c>
      <c r="AQ58" s="179">
        <f t="shared" si="46"/>
        <v>0</v>
      </c>
      <c r="AR58" s="179">
        <f t="shared" si="46"/>
        <v>0</v>
      </c>
      <c r="AS58" s="179">
        <f t="shared" si="46"/>
        <v>0</v>
      </c>
      <c r="AT58" s="179">
        <f t="shared" si="46"/>
        <v>0</v>
      </c>
      <c r="AU58" s="179">
        <f t="shared" si="46"/>
        <v>0</v>
      </c>
      <c r="AV58" s="254">
        <f t="shared" si="51"/>
        <v>0</v>
      </c>
      <c r="AW58" s="254">
        <f t="shared" si="47"/>
        <v>0</v>
      </c>
    </row>
    <row r="59" spans="2:49" x14ac:dyDescent="0.3">
      <c r="B59" t="s">
        <v>59</v>
      </c>
      <c r="C59" t="s">
        <v>44</v>
      </c>
      <c r="D59" s="179">
        <v>0</v>
      </c>
      <c r="E59" s="179">
        <v>0</v>
      </c>
      <c r="F59" s="179">
        <v>18485</v>
      </c>
      <c r="G59" s="179">
        <v>389340</v>
      </c>
      <c r="P59" s="254">
        <f t="shared" si="48"/>
        <v>407825</v>
      </c>
      <c r="Q59" s="254">
        <f t="shared" si="44"/>
        <v>407825</v>
      </c>
      <c r="T59" s="179">
        <v>0</v>
      </c>
      <c r="U59" s="179">
        <v>0</v>
      </c>
      <c r="V59" s="179">
        <v>0</v>
      </c>
      <c r="W59" s="179">
        <v>0</v>
      </c>
      <c r="X59" s="179">
        <v>0</v>
      </c>
      <c r="Y59" s="179">
        <v>0</v>
      </c>
      <c r="Z59" s="179">
        <v>0</v>
      </c>
      <c r="AA59" s="179">
        <v>0</v>
      </c>
      <c r="AB59" s="179">
        <v>0</v>
      </c>
      <c r="AC59" s="179">
        <v>0</v>
      </c>
      <c r="AD59" s="179">
        <v>0</v>
      </c>
      <c r="AE59" s="179">
        <v>0</v>
      </c>
      <c r="AF59" s="254">
        <f t="shared" si="49"/>
        <v>0</v>
      </c>
      <c r="AG59" s="254">
        <f t="shared" si="45"/>
        <v>0</v>
      </c>
      <c r="AJ59" s="179">
        <f t="shared" si="50"/>
        <v>0</v>
      </c>
      <c r="AK59" s="179">
        <f t="shared" si="46"/>
        <v>0</v>
      </c>
      <c r="AL59" s="179">
        <f t="shared" si="46"/>
        <v>18485</v>
      </c>
      <c r="AM59" s="179">
        <f t="shared" si="46"/>
        <v>389340</v>
      </c>
      <c r="AN59" s="179">
        <f t="shared" si="46"/>
        <v>0</v>
      </c>
      <c r="AO59" s="179">
        <f t="shared" si="46"/>
        <v>0</v>
      </c>
      <c r="AP59" s="179">
        <f t="shared" si="46"/>
        <v>0</v>
      </c>
      <c r="AQ59" s="179">
        <f t="shared" si="46"/>
        <v>0</v>
      </c>
      <c r="AR59" s="179">
        <f t="shared" si="46"/>
        <v>0</v>
      </c>
      <c r="AS59" s="179">
        <f t="shared" si="46"/>
        <v>0</v>
      </c>
      <c r="AT59" s="179">
        <f t="shared" si="46"/>
        <v>0</v>
      </c>
      <c r="AU59" s="179">
        <f t="shared" si="46"/>
        <v>0</v>
      </c>
      <c r="AV59" s="254">
        <f t="shared" si="51"/>
        <v>407825</v>
      </c>
      <c r="AW59" s="254">
        <f t="shared" si="47"/>
        <v>407825</v>
      </c>
    </row>
    <row r="60" spans="2:49" x14ac:dyDescent="0.3">
      <c r="B60" t="s">
        <v>59</v>
      </c>
      <c r="C60" t="s">
        <v>141</v>
      </c>
      <c r="D60" s="179">
        <v>0</v>
      </c>
      <c r="E60" s="179">
        <v>0</v>
      </c>
      <c r="F60" s="179">
        <v>0</v>
      </c>
      <c r="G60" s="179">
        <v>0</v>
      </c>
      <c r="P60" s="254">
        <f t="shared" si="48"/>
        <v>0</v>
      </c>
      <c r="Q60" s="254">
        <f t="shared" si="44"/>
        <v>0</v>
      </c>
      <c r="T60" s="179">
        <v>0</v>
      </c>
      <c r="U60" s="179">
        <v>0</v>
      </c>
      <c r="V60" s="179">
        <v>0</v>
      </c>
      <c r="W60" s="179">
        <v>0</v>
      </c>
      <c r="X60" s="179">
        <v>0</v>
      </c>
      <c r="Y60" s="179">
        <v>0</v>
      </c>
      <c r="Z60" s="179">
        <v>0</v>
      </c>
      <c r="AA60" s="179">
        <v>0</v>
      </c>
      <c r="AB60" s="179">
        <v>0</v>
      </c>
      <c r="AC60" s="179">
        <v>0</v>
      </c>
      <c r="AD60" s="179">
        <v>0</v>
      </c>
      <c r="AE60" s="179">
        <v>0</v>
      </c>
      <c r="AF60" s="254">
        <f t="shared" si="49"/>
        <v>0</v>
      </c>
      <c r="AG60" s="254">
        <f t="shared" si="45"/>
        <v>0</v>
      </c>
      <c r="AJ60" s="179">
        <f t="shared" si="50"/>
        <v>0</v>
      </c>
      <c r="AK60" s="179">
        <f t="shared" si="46"/>
        <v>0</v>
      </c>
      <c r="AL60" s="179">
        <f t="shared" si="46"/>
        <v>0</v>
      </c>
      <c r="AM60" s="179">
        <f t="shared" si="46"/>
        <v>0</v>
      </c>
      <c r="AN60" s="179">
        <f t="shared" si="46"/>
        <v>0</v>
      </c>
      <c r="AO60" s="179">
        <f t="shared" si="46"/>
        <v>0</v>
      </c>
      <c r="AP60" s="179">
        <f t="shared" si="46"/>
        <v>0</v>
      </c>
      <c r="AQ60" s="179">
        <f t="shared" si="46"/>
        <v>0</v>
      </c>
      <c r="AR60" s="179">
        <f t="shared" si="46"/>
        <v>0</v>
      </c>
      <c r="AS60" s="179">
        <f t="shared" si="46"/>
        <v>0</v>
      </c>
      <c r="AT60" s="179">
        <f t="shared" si="46"/>
        <v>0</v>
      </c>
      <c r="AU60" s="179">
        <f t="shared" si="46"/>
        <v>0</v>
      </c>
      <c r="AV60" s="254">
        <f t="shared" si="51"/>
        <v>0</v>
      </c>
      <c r="AW60" s="254">
        <f t="shared" si="47"/>
        <v>0</v>
      </c>
    </row>
    <row r="61" spans="2:49" x14ac:dyDescent="0.3">
      <c r="B61" t="s">
        <v>59</v>
      </c>
      <c r="C61" t="s">
        <v>142</v>
      </c>
      <c r="D61" s="179">
        <v>0</v>
      </c>
      <c r="E61" s="179">
        <v>0</v>
      </c>
      <c r="F61" s="179">
        <v>0</v>
      </c>
      <c r="G61" s="179">
        <v>0</v>
      </c>
      <c r="P61" s="254">
        <f t="shared" si="48"/>
        <v>0</v>
      </c>
      <c r="Q61" s="254">
        <f t="shared" si="44"/>
        <v>0</v>
      </c>
      <c r="T61" s="179">
        <v>0</v>
      </c>
      <c r="U61" s="179">
        <v>0</v>
      </c>
      <c r="V61" s="179">
        <v>0</v>
      </c>
      <c r="W61" s="179">
        <v>0</v>
      </c>
      <c r="X61" s="179">
        <v>0</v>
      </c>
      <c r="Y61" s="179">
        <v>0</v>
      </c>
      <c r="Z61" s="179">
        <v>0</v>
      </c>
      <c r="AA61" s="179">
        <v>0</v>
      </c>
      <c r="AB61" s="179">
        <v>0</v>
      </c>
      <c r="AC61" s="179">
        <v>0</v>
      </c>
      <c r="AD61" s="179">
        <v>0</v>
      </c>
      <c r="AE61" s="179">
        <v>0</v>
      </c>
      <c r="AF61" s="254">
        <f t="shared" si="49"/>
        <v>0</v>
      </c>
      <c r="AG61" s="254">
        <f t="shared" si="45"/>
        <v>0</v>
      </c>
      <c r="AJ61" s="179">
        <f t="shared" si="50"/>
        <v>0</v>
      </c>
      <c r="AK61" s="179">
        <f t="shared" si="46"/>
        <v>0</v>
      </c>
      <c r="AL61" s="179">
        <f t="shared" si="46"/>
        <v>0</v>
      </c>
      <c r="AM61" s="179">
        <f t="shared" si="46"/>
        <v>0</v>
      </c>
      <c r="AN61" s="179">
        <f t="shared" si="46"/>
        <v>0</v>
      </c>
      <c r="AO61" s="179">
        <f t="shared" si="46"/>
        <v>0</v>
      </c>
      <c r="AP61" s="179">
        <f t="shared" si="46"/>
        <v>0</v>
      </c>
      <c r="AQ61" s="179">
        <f t="shared" si="46"/>
        <v>0</v>
      </c>
      <c r="AR61" s="179">
        <f t="shared" si="46"/>
        <v>0</v>
      </c>
      <c r="AS61" s="179">
        <f t="shared" si="46"/>
        <v>0</v>
      </c>
      <c r="AT61" s="179">
        <f t="shared" si="46"/>
        <v>0</v>
      </c>
      <c r="AU61" s="179">
        <f t="shared" si="46"/>
        <v>0</v>
      </c>
      <c r="AV61" s="254">
        <f t="shared" si="51"/>
        <v>0</v>
      </c>
      <c r="AW61" s="254">
        <f t="shared" si="47"/>
        <v>0</v>
      </c>
    </row>
    <row r="62" spans="2:49" x14ac:dyDescent="0.3">
      <c r="B62" t="s">
        <v>59</v>
      </c>
      <c r="C62" t="s">
        <v>143</v>
      </c>
      <c r="D62" s="179">
        <v>0</v>
      </c>
      <c r="E62" s="179">
        <v>0</v>
      </c>
      <c r="F62" s="179">
        <v>0</v>
      </c>
      <c r="G62" s="179">
        <v>0</v>
      </c>
      <c r="P62" s="254">
        <f t="shared" si="48"/>
        <v>0</v>
      </c>
      <c r="Q62" s="254">
        <f t="shared" si="44"/>
        <v>0</v>
      </c>
      <c r="T62" s="179">
        <v>0</v>
      </c>
      <c r="U62" s="179">
        <v>0</v>
      </c>
      <c r="V62" s="179">
        <v>0</v>
      </c>
      <c r="W62" s="179">
        <v>0</v>
      </c>
      <c r="X62" s="179">
        <v>0</v>
      </c>
      <c r="Y62" s="179">
        <v>0</v>
      </c>
      <c r="Z62" s="179">
        <v>0</v>
      </c>
      <c r="AA62" s="179">
        <v>0</v>
      </c>
      <c r="AB62" s="179">
        <v>0</v>
      </c>
      <c r="AC62" s="179">
        <v>0</v>
      </c>
      <c r="AD62" s="179">
        <v>0</v>
      </c>
      <c r="AE62" s="179">
        <v>0</v>
      </c>
      <c r="AF62" s="254">
        <f t="shared" si="49"/>
        <v>0</v>
      </c>
      <c r="AG62" s="254">
        <f t="shared" si="45"/>
        <v>0</v>
      </c>
      <c r="AJ62" s="179">
        <f t="shared" si="50"/>
        <v>0</v>
      </c>
      <c r="AK62" s="179">
        <f t="shared" si="46"/>
        <v>0</v>
      </c>
      <c r="AL62" s="179">
        <f t="shared" si="46"/>
        <v>0</v>
      </c>
      <c r="AM62" s="179">
        <f t="shared" si="46"/>
        <v>0</v>
      </c>
      <c r="AN62" s="179">
        <f t="shared" si="46"/>
        <v>0</v>
      </c>
      <c r="AO62" s="179">
        <f t="shared" si="46"/>
        <v>0</v>
      </c>
      <c r="AP62" s="179">
        <f t="shared" si="46"/>
        <v>0</v>
      </c>
      <c r="AQ62" s="179">
        <f t="shared" si="46"/>
        <v>0</v>
      </c>
      <c r="AR62" s="179">
        <f t="shared" si="46"/>
        <v>0</v>
      </c>
      <c r="AS62" s="179">
        <f t="shared" si="46"/>
        <v>0</v>
      </c>
      <c r="AT62" s="179">
        <f t="shared" si="46"/>
        <v>0</v>
      </c>
      <c r="AU62" s="179">
        <f t="shared" si="46"/>
        <v>0</v>
      </c>
      <c r="AV62" s="254">
        <f t="shared" si="51"/>
        <v>0</v>
      </c>
      <c r="AW62" s="254">
        <f t="shared" si="47"/>
        <v>0</v>
      </c>
    </row>
    <row r="63" spans="2:49" x14ac:dyDescent="0.3">
      <c r="B63" t="s">
        <v>59</v>
      </c>
      <c r="C63" t="s">
        <v>144</v>
      </c>
      <c r="D63" s="179">
        <v>0</v>
      </c>
      <c r="E63" s="179">
        <v>0</v>
      </c>
      <c r="F63" s="179">
        <v>0</v>
      </c>
      <c r="G63" s="179">
        <v>0</v>
      </c>
      <c r="P63" s="254">
        <f t="shared" si="48"/>
        <v>0</v>
      </c>
      <c r="Q63" s="254">
        <f t="shared" si="44"/>
        <v>0</v>
      </c>
      <c r="T63" s="179">
        <v>0</v>
      </c>
      <c r="U63" s="179">
        <v>0</v>
      </c>
      <c r="V63" s="179">
        <v>0</v>
      </c>
      <c r="W63" s="179">
        <v>0</v>
      </c>
      <c r="X63" s="179">
        <v>0</v>
      </c>
      <c r="Y63" s="179">
        <v>0</v>
      </c>
      <c r="Z63" s="179">
        <v>0</v>
      </c>
      <c r="AA63" s="179">
        <v>0</v>
      </c>
      <c r="AB63" s="179">
        <v>0</v>
      </c>
      <c r="AC63" s="179">
        <v>0</v>
      </c>
      <c r="AD63" s="179">
        <v>0</v>
      </c>
      <c r="AE63" s="179">
        <v>0</v>
      </c>
      <c r="AF63" s="254">
        <f t="shared" si="49"/>
        <v>0</v>
      </c>
      <c r="AG63" s="254">
        <f t="shared" si="45"/>
        <v>0</v>
      </c>
      <c r="AJ63" s="179">
        <f t="shared" si="50"/>
        <v>0</v>
      </c>
      <c r="AK63" s="179">
        <f t="shared" si="46"/>
        <v>0</v>
      </c>
      <c r="AL63" s="179">
        <f t="shared" si="46"/>
        <v>0</v>
      </c>
      <c r="AM63" s="179">
        <f t="shared" si="46"/>
        <v>0</v>
      </c>
      <c r="AN63" s="179">
        <f t="shared" si="46"/>
        <v>0</v>
      </c>
      <c r="AO63" s="179">
        <f t="shared" si="46"/>
        <v>0</v>
      </c>
      <c r="AP63" s="179">
        <f t="shared" si="46"/>
        <v>0</v>
      </c>
      <c r="AQ63" s="179">
        <f t="shared" si="46"/>
        <v>0</v>
      </c>
      <c r="AR63" s="179">
        <f t="shared" si="46"/>
        <v>0</v>
      </c>
      <c r="AS63" s="179">
        <f t="shared" si="46"/>
        <v>0</v>
      </c>
      <c r="AT63" s="179">
        <f t="shared" si="46"/>
        <v>0</v>
      </c>
      <c r="AU63" s="179">
        <f t="shared" si="46"/>
        <v>0</v>
      </c>
      <c r="AV63" s="254">
        <f t="shared" si="51"/>
        <v>0</v>
      </c>
      <c r="AW63" s="254">
        <f t="shared" si="47"/>
        <v>0</v>
      </c>
    </row>
    <row r="64" spans="2:49" x14ac:dyDescent="0.3">
      <c r="C64" s="192" t="s">
        <v>145</v>
      </c>
      <c r="D64" s="255">
        <f>SUM(D56:D63)</f>
        <v>0</v>
      </c>
      <c r="E64" s="255">
        <f t="shared" ref="E64:Q64" si="52">SUM(E56:E63)</f>
        <v>189285</v>
      </c>
      <c r="F64" s="255">
        <f t="shared" si="52"/>
        <v>348095.05</v>
      </c>
      <c r="G64" s="255">
        <f t="shared" si="52"/>
        <v>727470.97999999975</v>
      </c>
      <c r="H64" s="255">
        <f t="shared" si="52"/>
        <v>0</v>
      </c>
      <c r="I64" s="255">
        <f t="shared" si="52"/>
        <v>0</v>
      </c>
      <c r="J64" s="255">
        <f t="shared" si="52"/>
        <v>0</v>
      </c>
      <c r="K64" s="255">
        <f t="shared" si="52"/>
        <v>0</v>
      </c>
      <c r="L64" s="255">
        <f t="shared" si="52"/>
        <v>0</v>
      </c>
      <c r="M64" s="255">
        <f t="shared" si="52"/>
        <v>0</v>
      </c>
      <c r="N64" s="255">
        <f t="shared" si="52"/>
        <v>0</v>
      </c>
      <c r="O64" s="255">
        <f t="shared" si="52"/>
        <v>0</v>
      </c>
      <c r="P64" s="255">
        <f t="shared" si="52"/>
        <v>1264851.0299999998</v>
      </c>
      <c r="Q64" s="255">
        <f t="shared" si="52"/>
        <v>1264851.0299999998</v>
      </c>
      <c r="S64" s="255">
        <v>0</v>
      </c>
      <c r="T64" s="255">
        <f>SUM(T56:T63)</f>
        <v>0</v>
      </c>
      <c r="U64" s="255">
        <f t="shared" ref="U64:AF64" si="53">SUM(U56:U63)</f>
        <v>0</v>
      </c>
      <c r="V64" s="255">
        <f t="shared" si="53"/>
        <v>10800</v>
      </c>
      <c r="W64" s="255">
        <f t="shared" si="53"/>
        <v>0</v>
      </c>
      <c r="X64" s="255">
        <f t="shared" si="53"/>
        <v>0</v>
      </c>
      <c r="Y64" s="255">
        <f t="shared" si="53"/>
        <v>0</v>
      </c>
      <c r="Z64" s="255">
        <f t="shared" si="53"/>
        <v>0</v>
      </c>
      <c r="AA64" s="255">
        <f t="shared" si="53"/>
        <v>0</v>
      </c>
      <c r="AB64" s="255">
        <f t="shared" si="53"/>
        <v>0</v>
      </c>
      <c r="AC64" s="255">
        <f t="shared" si="53"/>
        <v>0</v>
      </c>
      <c r="AD64" s="255">
        <f t="shared" si="53"/>
        <v>0</v>
      </c>
      <c r="AE64" s="255">
        <f t="shared" si="53"/>
        <v>0</v>
      </c>
      <c r="AF64" s="255">
        <f t="shared" si="53"/>
        <v>10800</v>
      </c>
      <c r="AG64" s="255"/>
      <c r="AI64" s="255">
        <f t="shared" ref="AI64:AV64" si="54">SUM(AI56:AI63)</f>
        <v>0</v>
      </c>
      <c r="AJ64" s="255">
        <f t="shared" si="54"/>
        <v>0</v>
      </c>
      <c r="AK64" s="255">
        <f t="shared" si="54"/>
        <v>189285</v>
      </c>
      <c r="AL64" s="255">
        <f t="shared" si="54"/>
        <v>358895.05</v>
      </c>
      <c r="AM64" s="255">
        <f t="shared" si="54"/>
        <v>727470.97999999975</v>
      </c>
      <c r="AN64" s="255">
        <f t="shared" si="54"/>
        <v>0</v>
      </c>
      <c r="AO64" s="255">
        <f t="shared" si="54"/>
        <v>0</v>
      </c>
      <c r="AP64" s="255">
        <f t="shared" si="54"/>
        <v>0</v>
      </c>
      <c r="AQ64" s="255">
        <f t="shared" si="54"/>
        <v>0</v>
      </c>
      <c r="AR64" s="255">
        <f t="shared" si="54"/>
        <v>0</v>
      </c>
      <c r="AS64" s="255">
        <f t="shared" si="54"/>
        <v>0</v>
      </c>
      <c r="AT64" s="255">
        <f t="shared" si="54"/>
        <v>0</v>
      </c>
      <c r="AU64" s="255">
        <f t="shared" si="54"/>
        <v>0</v>
      </c>
      <c r="AV64" s="255">
        <f t="shared" si="54"/>
        <v>1275651.0299999998</v>
      </c>
      <c r="AW64" s="255"/>
    </row>
    <row r="66" spans="1:49" x14ac:dyDescent="0.3">
      <c r="B66" t="s">
        <v>56</v>
      </c>
      <c r="C66" t="s">
        <v>46</v>
      </c>
      <c r="D66" s="179">
        <v>0</v>
      </c>
      <c r="E66" s="179">
        <v>0</v>
      </c>
      <c r="F66" s="179">
        <v>0</v>
      </c>
      <c r="G66" s="179">
        <v>0</v>
      </c>
      <c r="P66" s="254">
        <f>SUM(D66:O66)</f>
        <v>0</v>
      </c>
      <c r="Q66" s="254">
        <f t="shared" ref="Q66:Q67" si="55">SUMIF($D$2:$O$2,$Q$3,D66:O66)</f>
        <v>0</v>
      </c>
      <c r="T66" s="179">
        <v>0</v>
      </c>
      <c r="U66" s="179">
        <v>0</v>
      </c>
      <c r="V66" s="179">
        <v>0</v>
      </c>
      <c r="W66" s="179">
        <v>0</v>
      </c>
      <c r="AF66" s="254">
        <f>SUM(T66:AE66)</f>
        <v>0</v>
      </c>
      <c r="AG66" s="254">
        <f t="shared" ref="AG66:AG67" si="56">SUMIF($T$2:$AE$2,$AG$3,T66:AE66)</f>
        <v>0</v>
      </c>
      <c r="AJ66" s="179">
        <f>+D66+T66</f>
        <v>0</v>
      </c>
      <c r="AK66" s="179">
        <f t="shared" ref="AK66:AU67" si="57">+E66+U66</f>
        <v>0</v>
      </c>
      <c r="AL66" s="179">
        <f t="shared" si="57"/>
        <v>0</v>
      </c>
      <c r="AM66" s="179">
        <f t="shared" si="57"/>
        <v>0</v>
      </c>
      <c r="AN66" s="179">
        <f t="shared" si="57"/>
        <v>0</v>
      </c>
      <c r="AO66" s="179">
        <f t="shared" si="57"/>
        <v>0</v>
      </c>
      <c r="AP66" s="179">
        <f t="shared" si="57"/>
        <v>0</v>
      </c>
      <c r="AQ66" s="179">
        <f t="shared" si="57"/>
        <v>0</v>
      </c>
      <c r="AR66" s="179">
        <f t="shared" si="57"/>
        <v>0</v>
      </c>
      <c r="AS66" s="179">
        <f t="shared" si="57"/>
        <v>0</v>
      </c>
      <c r="AT66" s="179">
        <f t="shared" si="57"/>
        <v>0</v>
      </c>
      <c r="AU66" s="179">
        <f t="shared" si="57"/>
        <v>0</v>
      </c>
      <c r="AV66" s="254">
        <f>SUM(AJ66:AU66)</f>
        <v>0</v>
      </c>
      <c r="AW66" s="254">
        <f t="shared" ref="AW66:AW67" si="58">+Q66+AG66</f>
        <v>0</v>
      </c>
    </row>
    <row r="67" spans="1:49" x14ac:dyDescent="0.3">
      <c r="B67" t="s">
        <v>56</v>
      </c>
      <c r="C67" t="s">
        <v>146</v>
      </c>
      <c r="D67" s="179">
        <v>0</v>
      </c>
      <c r="E67" s="179">
        <v>0</v>
      </c>
      <c r="F67" s="179">
        <v>0</v>
      </c>
      <c r="G67" s="179">
        <v>0</v>
      </c>
      <c r="P67" s="254">
        <f>SUM(D67:O67)</f>
        <v>0</v>
      </c>
      <c r="Q67" s="254">
        <f t="shared" si="55"/>
        <v>0</v>
      </c>
      <c r="T67" s="179">
        <v>0</v>
      </c>
      <c r="U67" s="179">
        <v>0</v>
      </c>
      <c r="V67" s="179">
        <v>0</v>
      </c>
      <c r="W67" s="179">
        <v>0</v>
      </c>
      <c r="AF67" s="254">
        <f>SUM(T67:AE67)</f>
        <v>0</v>
      </c>
      <c r="AG67" s="254">
        <f t="shared" si="56"/>
        <v>0</v>
      </c>
      <c r="AJ67" s="179">
        <f>+D67+T67</f>
        <v>0</v>
      </c>
      <c r="AK67" s="179">
        <f t="shared" si="57"/>
        <v>0</v>
      </c>
      <c r="AL67" s="179">
        <f t="shared" si="57"/>
        <v>0</v>
      </c>
      <c r="AM67" s="179">
        <f t="shared" si="57"/>
        <v>0</v>
      </c>
      <c r="AN67" s="179">
        <f t="shared" si="57"/>
        <v>0</v>
      </c>
      <c r="AO67" s="179">
        <f t="shared" si="57"/>
        <v>0</v>
      </c>
      <c r="AP67" s="179">
        <f t="shared" si="57"/>
        <v>0</v>
      </c>
      <c r="AQ67" s="179">
        <f t="shared" si="57"/>
        <v>0</v>
      </c>
      <c r="AR67" s="179">
        <f t="shared" si="57"/>
        <v>0</v>
      </c>
      <c r="AS67" s="179">
        <f t="shared" si="57"/>
        <v>0</v>
      </c>
      <c r="AT67" s="179">
        <f t="shared" si="57"/>
        <v>0</v>
      </c>
      <c r="AU67" s="179">
        <f t="shared" si="57"/>
        <v>0</v>
      </c>
      <c r="AV67" s="254">
        <f>SUM(AJ67:AU67)</f>
        <v>0</v>
      </c>
      <c r="AW67" s="254">
        <f t="shared" si="58"/>
        <v>0</v>
      </c>
    </row>
    <row r="69" spans="1:49" x14ac:dyDescent="0.3">
      <c r="A69" s="250">
        <v>0</v>
      </c>
      <c r="B69" s="250"/>
      <c r="C69" s="203"/>
      <c r="D69" s="255">
        <f>SUM(D66:D67)</f>
        <v>0</v>
      </c>
      <c r="E69" s="255">
        <f t="shared" ref="E69:Q69" si="59">SUM(E66:E67)</f>
        <v>0</v>
      </c>
      <c r="F69" s="255">
        <f t="shared" si="59"/>
        <v>0</v>
      </c>
      <c r="G69" s="255">
        <f t="shared" si="59"/>
        <v>0</v>
      </c>
      <c r="H69" s="255">
        <f t="shared" si="59"/>
        <v>0</v>
      </c>
      <c r="I69" s="255">
        <f t="shared" si="59"/>
        <v>0</v>
      </c>
      <c r="J69" s="255">
        <f t="shared" si="59"/>
        <v>0</v>
      </c>
      <c r="K69" s="255">
        <f t="shared" si="59"/>
        <v>0</v>
      </c>
      <c r="L69" s="255">
        <f t="shared" si="59"/>
        <v>0</v>
      </c>
      <c r="M69" s="255">
        <f t="shared" si="59"/>
        <v>0</v>
      </c>
      <c r="N69" s="255">
        <f t="shared" si="59"/>
        <v>0</v>
      </c>
      <c r="O69" s="255">
        <f t="shared" si="59"/>
        <v>0</v>
      </c>
      <c r="P69" s="255">
        <f t="shared" si="59"/>
        <v>0</v>
      </c>
      <c r="Q69" s="255">
        <f t="shared" si="59"/>
        <v>0</v>
      </c>
      <c r="S69" s="255">
        <v>0</v>
      </c>
      <c r="T69" s="255">
        <f>SUM(T66:T68)</f>
        <v>0</v>
      </c>
      <c r="U69" s="255">
        <f t="shared" ref="U69:AF69" si="60">SUM(U66:U68)</f>
        <v>0</v>
      </c>
      <c r="V69" s="255">
        <f t="shared" si="60"/>
        <v>0</v>
      </c>
      <c r="W69" s="255">
        <f t="shared" si="60"/>
        <v>0</v>
      </c>
      <c r="X69" s="255">
        <f t="shared" si="60"/>
        <v>0</v>
      </c>
      <c r="Y69" s="255">
        <f t="shared" si="60"/>
        <v>0</v>
      </c>
      <c r="Z69" s="255">
        <f t="shared" si="60"/>
        <v>0</v>
      </c>
      <c r="AA69" s="255">
        <f t="shared" si="60"/>
        <v>0</v>
      </c>
      <c r="AB69" s="255">
        <f t="shared" si="60"/>
        <v>0</v>
      </c>
      <c r="AC69" s="255">
        <f t="shared" si="60"/>
        <v>0</v>
      </c>
      <c r="AD69" s="255">
        <f t="shared" si="60"/>
        <v>0</v>
      </c>
      <c r="AE69" s="255">
        <f t="shared" si="60"/>
        <v>0</v>
      </c>
      <c r="AF69" s="255">
        <f t="shared" si="60"/>
        <v>0</v>
      </c>
      <c r="AG69" s="255"/>
      <c r="AI69" s="255">
        <f>SUM(AI66:AI68)</f>
        <v>0</v>
      </c>
      <c r="AJ69" s="255">
        <f t="shared" ref="AJ69:AV69" si="61">SUM(AJ66:AJ68)</f>
        <v>0</v>
      </c>
      <c r="AK69" s="255">
        <f t="shared" si="61"/>
        <v>0</v>
      </c>
      <c r="AL69" s="255">
        <f t="shared" si="61"/>
        <v>0</v>
      </c>
      <c r="AM69" s="255">
        <f t="shared" si="61"/>
        <v>0</v>
      </c>
      <c r="AN69" s="255">
        <f t="shared" si="61"/>
        <v>0</v>
      </c>
      <c r="AO69" s="255">
        <f t="shared" si="61"/>
        <v>0</v>
      </c>
      <c r="AP69" s="255">
        <f t="shared" si="61"/>
        <v>0</v>
      </c>
      <c r="AQ69" s="255">
        <f t="shared" si="61"/>
        <v>0</v>
      </c>
      <c r="AR69" s="255">
        <f t="shared" si="61"/>
        <v>0</v>
      </c>
      <c r="AS69" s="255">
        <f t="shared" si="61"/>
        <v>0</v>
      </c>
      <c r="AT69" s="255">
        <f t="shared" si="61"/>
        <v>0</v>
      </c>
      <c r="AU69" s="255">
        <f t="shared" si="61"/>
        <v>0</v>
      </c>
      <c r="AV69" s="255">
        <f t="shared" si="61"/>
        <v>0</v>
      </c>
      <c r="AW69" s="255"/>
    </row>
    <row r="71" spans="1:49" x14ac:dyDescent="0.3">
      <c r="A71" s="250"/>
      <c r="B71" s="250"/>
      <c r="C71" s="203" t="s">
        <v>148</v>
      </c>
      <c r="D71" s="255">
        <f t="shared" ref="D71:Q71" si="62">+D69+D64+D54+D38+D30+D18</f>
        <v>32880170.270000003</v>
      </c>
      <c r="E71" s="255">
        <f t="shared" si="62"/>
        <v>37467801.450000003</v>
      </c>
      <c r="F71" s="255">
        <f t="shared" si="62"/>
        <v>33679596.410000011</v>
      </c>
      <c r="G71" s="255">
        <f t="shared" si="62"/>
        <v>37702736.079999998</v>
      </c>
      <c r="H71" s="255">
        <f t="shared" si="62"/>
        <v>0</v>
      </c>
      <c r="I71" s="255">
        <f t="shared" si="62"/>
        <v>0</v>
      </c>
      <c r="J71" s="255">
        <f t="shared" si="62"/>
        <v>0</v>
      </c>
      <c r="K71" s="255">
        <f t="shared" si="62"/>
        <v>0</v>
      </c>
      <c r="L71" s="255">
        <f t="shared" si="62"/>
        <v>0</v>
      </c>
      <c r="M71" s="255">
        <f t="shared" si="62"/>
        <v>0</v>
      </c>
      <c r="N71" s="255">
        <f t="shared" si="62"/>
        <v>0</v>
      </c>
      <c r="O71" s="255">
        <f t="shared" si="62"/>
        <v>0</v>
      </c>
      <c r="P71" s="255">
        <f t="shared" si="62"/>
        <v>141730304.21000001</v>
      </c>
      <c r="Q71" s="255">
        <f t="shared" si="62"/>
        <v>141730304.21000001</v>
      </c>
      <c r="S71" s="255">
        <f t="shared" ref="S71:AV71" si="63">+S69+S64+S54+S38+S30+S18</f>
        <v>0</v>
      </c>
      <c r="T71" s="255">
        <f t="shared" si="63"/>
        <v>21484151.669999998</v>
      </c>
      <c r="U71" s="255">
        <f t="shared" si="63"/>
        <v>23221809.800000004</v>
      </c>
      <c r="V71" s="255">
        <f t="shared" si="63"/>
        <v>21632159.620000001</v>
      </c>
      <c r="W71" s="255">
        <f t="shared" si="63"/>
        <v>22258015.050000001</v>
      </c>
      <c r="X71" s="255">
        <f t="shared" si="63"/>
        <v>0</v>
      </c>
      <c r="Y71" s="255">
        <f t="shared" si="63"/>
        <v>0</v>
      </c>
      <c r="Z71" s="255">
        <f t="shared" si="63"/>
        <v>0</v>
      </c>
      <c r="AA71" s="255">
        <f t="shared" si="63"/>
        <v>0</v>
      </c>
      <c r="AB71" s="255">
        <f t="shared" si="63"/>
        <v>0</v>
      </c>
      <c r="AC71" s="255">
        <f t="shared" si="63"/>
        <v>0</v>
      </c>
      <c r="AD71" s="255">
        <f t="shared" si="63"/>
        <v>0</v>
      </c>
      <c r="AE71" s="255">
        <f t="shared" si="63"/>
        <v>0</v>
      </c>
      <c r="AF71" s="255">
        <f t="shared" si="63"/>
        <v>88596136.140000001</v>
      </c>
      <c r="AG71" s="255"/>
      <c r="AI71" s="255">
        <f t="shared" si="63"/>
        <v>0</v>
      </c>
      <c r="AJ71" s="255">
        <f t="shared" si="63"/>
        <v>54364321.939999998</v>
      </c>
      <c r="AK71" s="255">
        <f t="shared" si="63"/>
        <v>60689611.250000015</v>
      </c>
      <c r="AL71" s="255">
        <f t="shared" si="63"/>
        <v>55311756.030000001</v>
      </c>
      <c r="AM71" s="255">
        <f t="shared" si="63"/>
        <v>59960751.130000003</v>
      </c>
      <c r="AN71" s="255">
        <f t="shared" si="63"/>
        <v>0</v>
      </c>
      <c r="AO71" s="255">
        <f t="shared" si="63"/>
        <v>0</v>
      </c>
      <c r="AP71" s="255">
        <f t="shared" si="63"/>
        <v>0</v>
      </c>
      <c r="AQ71" s="255">
        <f t="shared" si="63"/>
        <v>0</v>
      </c>
      <c r="AR71" s="255">
        <f t="shared" si="63"/>
        <v>0</v>
      </c>
      <c r="AS71" s="255">
        <f t="shared" si="63"/>
        <v>0</v>
      </c>
      <c r="AT71" s="255">
        <f t="shared" si="63"/>
        <v>0</v>
      </c>
      <c r="AU71" s="255">
        <f t="shared" si="63"/>
        <v>0</v>
      </c>
      <c r="AV71" s="255">
        <f t="shared" si="63"/>
        <v>230326440.35000002</v>
      </c>
      <c r="AW71" s="255"/>
    </row>
    <row r="73" spans="1:49" x14ac:dyDescent="0.3">
      <c r="B73" t="s">
        <v>20</v>
      </c>
      <c r="C73" t="s">
        <v>20</v>
      </c>
      <c r="D73" s="179">
        <v>18411408.390000001</v>
      </c>
      <c r="E73" s="179">
        <v>20836001.372881357</v>
      </c>
      <c r="F73" s="179">
        <v>11028088.869999999</v>
      </c>
      <c r="G73" s="179">
        <v>12163108.720000001</v>
      </c>
      <c r="P73" s="254">
        <f>SUM(D73:O73)</f>
        <v>62438607.35288135</v>
      </c>
      <c r="Q73" s="179">
        <f>SUMIF($D$2:$O$2,$Q$3,D73:O73)</f>
        <v>62438607.35288135</v>
      </c>
      <c r="T73" s="179">
        <v>0</v>
      </c>
      <c r="U73" s="179">
        <v>0</v>
      </c>
      <c r="V73" s="179">
        <v>0</v>
      </c>
      <c r="AF73" s="179">
        <f>SUM(T73:AE73)</f>
        <v>0</v>
      </c>
      <c r="AG73" s="179">
        <f t="shared" ref="AG73:AG74" si="64">SUMIF($T$2:$AE$2,$AG$3,T73:AE73)</f>
        <v>0</v>
      </c>
      <c r="AJ73" s="179">
        <f>+D73+T73</f>
        <v>18411408.390000001</v>
      </c>
      <c r="AK73" s="179">
        <f t="shared" ref="AK73:AU74" si="65">+E73+U73</f>
        <v>20836001.372881357</v>
      </c>
      <c r="AL73" s="179">
        <f t="shared" si="65"/>
        <v>11028088.869999999</v>
      </c>
      <c r="AM73" s="179">
        <f t="shared" si="65"/>
        <v>12163108.720000001</v>
      </c>
      <c r="AN73" s="179">
        <f t="shared" si="65"/>
        <v>0</v>
      </c>
      <c r="AO73" s="179">
        <f t="shared" si="65"/>
        <v>0</v>
      </c>
      <c r="AP73" s="179">
        <f t="shared" si="65"/>
        <v>0</v>
      </c>
      <c r="AQ73" s="179">
        <f t="shared" si="65"/>
        <v>0</v>
      </c>
      <c r="AR73" s="179">
        <f t="shared" si="65"/>
        <v>0</v>
      </c>
      <c r="AS73" s="179">
        <f t="shared" si="65"/>
        <v>0</v>
      </c>
      <c r="AT73" s="179">
        <f t="shared" si="65"/>
        <v>0</v>
      </c>
      <c r="AU73" s="179">
        <f t="shared" si="65"/>
        <v>0</v>
      </c>
      <c r="AV73" s="254">
        <f>SUM(AJ73:AU73)</f>
        <v>62438607.35288135</v>
      </c>
      <c r="AW73" s="254">
        <f t="shared" ref="AW73:AW74" si="66">+Q73+AG73</f>
        <v>62438607.35288135</v>
      </c>
    </row>
    <row r="74" spans="1:49" x14ac:dyDescent="0.3">
      <c r="B74" t="s">
        <v>61</v>
      </c>
      <c r="C74" t="s">
        <v>61</v>
      </c>
      <c r="D74" s="179">
        <v>0</v>
      </c>
      <c r="P74" s="254">
        <f>SUM(D74:O74)</f>
        <v>0</v>
      </c>
      <c r="AF74" s="179">
        <f>SUM(T74:AE74)</f>
        <v>0</v>
      </c>
      <c r="AG74" s="179">
        <f t="shared" si="64"/>
        <v>0</v>
      </c>
      <c r="AJ74" s="179">
        <f>+D74+T74</f>
        <v>0</v>
      </c>
      <c r="AK74" s="179">
        <f t="shared" si="65"/>
        <v>0</v>
      </c>
      <c r="AL74" s="179">
        <f t="shared" si="65"/>
        <v>0</v>
      </c>
      <c r="AM74" s="179">
        <f t="shared" si="65"/>
        <v>0</v>
      </c>
      <c r="AN74" s="179">
        <f t="shared" si="65"/>
        <v>0</v>
      </c>
      <c r="AO74" s="179">
        <f t="shared" si="65"/>
        <v>0</v>
      </c>
      <c r="AP74" s="179">
        <f t="shared" si="65"/>
        <v>0</v>
      </c>
      <c r="AQ74" s="179">
        <f t="shared" si="65"/>
        <v>0</v>
      </c>
      <c r="AR74" s="179">
        <f t="shared" si="65"/>
        <v>0</v>
      </c>
      <c r="AS74" s="179">
        <f t="shared" si="65"/>
        <v>0</v>
      </c>
      <c r="AT74" s="179">
        <f t="shared" si="65"/>
        <v>0</v>
      </c>
      <c r="AU74" s="179">
        <f t="shared" si="65"/>
        <v>0</v>
      </c>
      <c r="AV74" s="254">
        <f>SUM(AJ74:AU74)</f>
        <v>0</v>
      </c>
      <c r="AW74" s="254">
        <f t="shared" si="66"/>
        <v>0</v>
      </c>
    </row>
    <row r="75" spans="1:49" x14ac:dyDescent="0.3">
      <c r="AV75" s="254"/>
      <c r="AW75" s="256"/>
    </row>
    <row r="76" spans="1:49" x14ac:dyDescent="0.3">
      <c r="A76" s="250"/>
      <c r="B76" s="250"/>
      <c r="C76" s="203" t="s">
        <v>3</v>
      </c>
      <c r="D76" s="255">
        <f>SUM(D73:D75)</f>
        <v>18411408.390000001</v>
      </c>
      <c r="E76" s="255">
        <f t="shared" ref="E76:Q76" si="67">SUM(E73:E75)</f>
        <v>20836001.372881357</v>
      </c>
      <c r="F76" s="255">
        <f t="shared" si="67"/>
        <v>11028088.869999999</v>
      </c>
      <c r="G76" s="255">
        <f t="shared" si="67"/>
        <v>12163108.720000001</v>
      </c>
      <c r="H76" s="255">
        <f t="shared" si="67"/>
        <v>0</v>
      </c>
      <c r="I76" s="255">
        <f t="shared" si="67"/>
        <v>0</v>
      </c>
      <c r="J76" s="255">
        <f t="shared" si="67"/>
        <v>0</v>
      </c>
      <c r="K76" s="255">
        <f t="shared" si="67"/>
        <v>0</v>
      </c>
      <c r="L76" s="255">
        <f t="shared" si="67"/>
        <v>0</v>
      </c>
      <c r="M76" s="255">
        <f t="shared" si="67"/>
        <v>0</v>
      </c>
      <c r="N76" s="255">
        <f t="shared" si="67"/>
        <v>0</v>
      </c>
      <c r="O76" s="255">
        <f t="shared" si="67"/>
        <v>0</v>
      </c>
      <c r="P76" s="255">
        <f t="shared" si="67"/>
        <v>62438607.35288135</v>
      </c>
      <c r="Q76" s="255">
        <f t="shared" si="67"/>
        <v>62438607.35288135</v>
      </c>
      <c r="T76" s="255">
        <f t="shared" ref="T76:AE76" si="68">SUM(T73:T75)</f>
        <v>0</v>
      </c>
      <c r="U76" s="255">
        <f t="shared" si="68"/>
        <v>0</v>
      </c>
      <c r="V76" s="255">
        <f t="shared" si="68"/>
        <v>0</v>
      </c>
      <c r="W76" s="255">
        <f t="shared" si="68"/>
        <v>0</v>
      </c>
      <c r="X76" s="255">
        <f t="shared" si="68"/>
        <v>0</v>
      </c>
      <c r="Y76" s="255">
        <f t="shared" si="68"/>
        <v>0</v>
      </c>
      <c r="Z76" s="255">
        <f t="shared" si="68"/>
        <v>0</v>
      </c>
      <c r="AA76" s="255">
        <f t="shared" si="68"/>
        <v>0</v>
      </c>
      <c r="AB76" s="255">
        <f t="shared" si="68"/>
        <v>0</v>
      </c>
      <c r="AC76" s="255">
        <f t="shared" si="68"/>
        <v>0</v>
      </c>
      <c r="AD76" s="255">
        <f t="shared" si="68"/>
        <v>0</v>
      </c>
      <c r="AE76" s="255">
        <f t="shared" si="68"/>
        <v>0</v>
      </c>
      <c r="AF76" s="255">
        <f>SUM(AF73:AF75)</f>
        <v>0</v>
      </c>
      <c r="AG76" s="255"/>
      <c r="AI76" s="255">
        <f>SUM(AI73:AI75)</f>
        <v>0</v>
      </c>
      <c r="AJ76" s="255">
        <f t="shared" ref="AJ76:AV76" si="69">SUM(AJ73:AJ75)</f>
        <v>18411408.390000001</v>
      </c>
      <c r="AK76" s="255">
        <f t="shared" si="69"/>
        <v>20836001.372881357</v>
      </c>
      <c r="AL76" s="255">
        <f t="shared" si="69"/>
        <v>11028088.869999999</v>
      </c>
      <c r="AM76" s="255">
        <f t="shared" si="69"/>
        <v>12163108.720000001</v>
      </c>
      <c r="AN76" s="255">
        <f t="shared" si="69"/>
        <v>0</v>
      </c>
      <c r="AO76" s="255">
        <f t="shared" si="69"/>
        <v>0</v>
      </c>
      <c r="AP76" s="255">
        <f t="shared" si="69"/>
        <v>0</v>
      </c>
      <c r="AQ76" s="255">
        <f t="shared" si="69"/>
        <v>0</v>
      </c>
      <c r="AR76" s="255">
        <f t="shared" si="69"/>
        <v>0</v>
      </c>
      <c r="AS76" s="255">
        <f t="shared" si="69"/>
        <v>0</v>
      </c>
      <c r="AT76" s="255">
        <f t="shared" si="69"/>
        <v>0</v>
      </c>
      <c r="AU76" s="255">
        <f t="shared" si="69"/>
        <v>0</v>
      </c>
      <c r="AV76" s="255">
        <f t="shared" si="69"/>
        <v>62438607.35288135</v>
      </c>
      <c r="AW76" s="255"/>
    </row>
    <row r="78" spans="1:49" x14ac:dyDescent="0.3">
      <c r="A78" s="250"/>
      <c r="B78" s="250"/>
      <c r="C78" s="203" t="s">
        <v>63</v>
      </c>
      <c r="D78" s="255">
        <f>+D71+D76</f>
        <v>51291578.660000004</v>
      </c>
      <c r="E78" s="255">
        <f t="shared" ref="E78:Q78" si="70">+E71+E76</f>
        <v>58303802.822881356</v>
      </c>
      <c r="F78" s="255">
        <f t="shared" si="70"/>
        <v>44707685.280000009</v>
      </c>
      <c r="G78" s="255">
        <f t="shared" si="70"/>
        <v>49865844.799999997</v>
      </c>
      <c r="H78" s="255">
        <f t="shared" si="70"/>
        <v>0</v>
      </c>
      <c r="I78" s="255">
        <f t="shared" si="70"/>
        <v>0</v>
      </c>
      <c r="J78" s="255">
        <f t="shared" si="70"/>
        <v>0</v>
      </c>
      <c r="K78" s="255">
        <f t="shared" si="70"/>
        <v>0</v>
      </c>
      <c r="L78" s="255">
        <f t="shared" si="70"/>
        <v>0</v>
      </c>
      <c r="M78" s="255">
        <f t="shared" si="70"/>
        <v>0</v>
      </c>
      <c r="N78" s="255">
        <f t="shared" si="70"/>
        <v>0</v>
      </c>
      <c r="O78" s="255">
        <f t="shared" si="70"/>
        <v>0</v>
      </c>
      <c r="P78" s="255">
        <f t="shared" si="70"/>
        <v>204168911.56288135</v>
      </c>
      <c r="Q78" s="255">
        <f t="shared" si="70"/>
        <v>204168911.56288135</v>
      </c>
      <c r="T78" s="255">
        <f>+T71+T76</f>
        <v>21484151.669999998</v>
      </c>
      <c r="U78" s="255">
        <f t="shared" ref="U78:AF78" si="71">+U71+U76</f>
        <v>23221809.800000004</v>
      </c>
      <c r="V78" s="255">
        <f t="shared" si="71"/>
        <v>21632159.620000001</v>
      </c>
      <c r="W78" s="255">
        <f t="shared" si="71"/>
        <v>22258015.050000001</v>
      </c>
      <c r="X78" s="255">
        <f t="shared" si="71"/>
        <v>0</v>
      </c>
      <c r="Y78" s="255">
        <f t="shared" si="71"/>
        <v>0</v>
      </c>
      <c r="Z78" s="255">
        <f t="shared" si="71"/>
        <v>0</v>
      </c>
      <c r="AA78" s="255">
        <f t="shared" si="71"/>
        <v>0</v>
      </c>
      <c r="AB78" s="255">
        <f t="shared" si="71"/>
        <v>0</v>
      </c>
      <c r="AC78" s="255">
        <f t="shared" si="71"/>
        <v>0</v>
      </c>
      <c r="AD78" s="255">
        <f t="shared" si="71"/>
        <v>0</v>
      </c>
      <c r="AE78" s="255">
        <f t="shared" si="71"/>
        <v>0</v>
      </c>
      <c r="AF78" s="255">
        <f t="shared" si="71"/>
        <v>88596136.140000001</v>
      </c>
      <c r="AG78" s="255"/>
      <c r="AI78" s="255">
        <f>+AI71+AI76</f>
        <v>0</v>
      </c>
      <c r="AJ78" s="255">
        <f t="shared" ref="AJ78:AV78" si="72">+AJ71+AJ76</f>
        <v>72775730.329999998</v>
      </c>
      <c r="AK78" s="255">
        <f t="shared" si="72"/>
        <v>81525612.622881368</v>
      </c>
      <c r="AL78" s="255">
        <f t="shared" si="72"/>
        <v>66339844.899999999</v>
      </c>
      <c r="AM78" s="255">
        <f t="shared" si="72"/>
        <v>72123859.850000009</v>
      </c>
      <c r="AN78" s="255">
        <f t="shared" si="72"/>
        <v>0</v>
      </c>
      <c r="AO78" s="255">
        <f t="shared" si="72"/>
        <v>0</v>
      </c>
      <c r="AP78" s="255">
        <f t="shared" si="72"/>
        <v>0</v>
      </c>
      <c r="AQ78" s="255">
        <f t="shared" si="72"/>
        <v>0</v>
      </c>
      <c r="AR78" s="255">
        <f t="shared" si="72"/>
        <v>0</v>
      </c>
      <c r="AS78" s="255">
        <f t="shared" si="72"/>
        <v>0</v>
      </c>
      <c r="AT78" s="255">
        <f t="shared" si="72"/>
        <v>0</v>
      </c>
      <c r="AU78" s="255">
        <f t="shared" si="72"/>
        <v>0</v>
      </c>
      <c r="AV78" s="255">
        <f t="shared" si="72"/>
        <v>292765047.7028814</v>
      </c>
      <c r="AW78" s="25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Dashboard</vt:lpstr>
      <vt:lpstr>Sheet1</vt:lpstr>
      <vt:lpstr>Summay</vt:lpstr>
      <vt:lpstr>Consol</vt:lpstr>
      <vt:lpstr>Lab</vt:lpstr>
      <vt:lpstr>Radio</vt:lpstr>
      <vt:lpstr>Jun23</vt:lpstr>
      <vt:lpstr>Apr24</vt:lpstr>
      <vt:lpstr>May24</vt:lpstr>
      <vt:lpstr>Jun24</vt:lpstr>
      <vt:lpstr>FY23</vt:lpstr>
      <vt:lpstr>FY24</vt:lpstr>
      <vt:lpstr>Bud25</vt:lpstr>
      <vt:lpstr>FY25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Purohit</dc:creator>
  <cp:lastModifiedBy>Arvind Purohit</cp:lastModifiedBy>
  <dcterms:created xsi:type="dcterms:W3CDTF">2024-07-10T06:52:02Z</dcterms:created>
  <dcterms:modified xsi:type="dcterms:W3CDTF">2024-08-16T05:32:48Z</dcterms:modified>
</cp:coreProperties>
</file>