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Entrées!$A$5:$L$622</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<sst xmlns="http://schemas.openxmlformats.org/spreadsheetml/2006/main" count="8586" uniqueCount="3286">
  <si>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</si>
  <si>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</si>
  <si>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</si>
  <si>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</si>
  <si>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</si>
  <si>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</si>
  <si>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</si>
  <si>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</si>
  <si>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</si>
  <si>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</si>
  <si>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</si>
  <si>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</si>
  <si>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</si>
  <si>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</si>
  <si>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</si>
  <si>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</si>
  <si>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</si>
  <si>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</si>
  <si>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</si>
  <si>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</si>
  <si>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</si>
  <si>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</si>
  <si>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</si>
  <si>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</si>
  <si>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</si>
  <si>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</si>
  <si>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</si>
  <si>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</si>
  <si>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</si>
  <si>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</si>
  <si>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</si>
  <si>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</si>
  <si>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</si>
  <si>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</si>
  <si>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</si>
  <si>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</si>
  <si>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</si>
  <si>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</si>
  <si>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</si>
  <si>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</si>
  <si>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</si>
  <si>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</si>
  <si>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</si>
  <si>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</si>
  <si>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</si>
  <si>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</si>
  <si>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</si>
  <si>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</si>
  <si>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</si>
  <si>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</si>
  <si>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</si>
  <si>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</si>
  <si>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</si>
  <si>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</si>
  <si>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</si>
  <si>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</si>
  <si>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</si>
  <si>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</si>
  <si>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</si>
  <si>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</si>
  <si>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</si>
  <si>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</si>
  <si>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</si>
  <si>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</si>
  <si>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</si>
  <si>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</si>
  <si>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</si>
  <si>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</si>
  <si>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</si>
  <si>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</si>
  <si>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</si>
  <si>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</si>
  <si>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</si>
  <si>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</si>
  <si>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</si>
  <si>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</si>
  <si>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</si>
  <si>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</si>
  <si>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</si>
  <si>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</si>
  <si>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</si>
  <si>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</si>
  <si>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</si>
  <si>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</si>
  <si>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</si>
  <si>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</si>
  <si>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617 chiffres versés dans dataroom.is42.fr, état au 07/10/2026.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</si>
  <si>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</si>
  <si>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</si>
  <si>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</si>
  <si>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</si>
  <si>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</si>
  <si>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</si>
  <si>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</si>
  <si>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</si>
  <si>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</si>
  <si>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</si>
  <si>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</si>
  <si>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</si>
  <si>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</si>
  <si>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</si>
  <si>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</si>
  <si>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</si>
  <si>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</si>
  <si>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</si>
  <si>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</si>
  <si>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</si>
  <si>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</si>
  <si>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</si>
  <si>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</si>
  <si>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</si>
  <si>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</si>
  <si>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</si>
  <si>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</si>
  <si>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</si>
  <si>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</si>
  <si>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</si>
  <si>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</si>
  <si>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</si>
  <si>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</si>
  <si>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</si>
  <si>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</si>
  <si>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</si>
  <si>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</si>
  <si>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</si>
  <si>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</si>
  <si>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</si>
  <si>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</si>
  <si>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</si>
  <si>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</si>
  <si>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</si>
  <si>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</si>
  <si>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</si>
  <si>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</si>
  <si>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</si>
  <si>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</si>
  <si>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</si>
  <si>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</si>
  <si>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</si>
  <si>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</si>
  <si>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</si>
  <si>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</si>
  <si>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</si>
  <si>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</si>
  <si>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</si>
  <si>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</si>
  <si>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</si>
  <si>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</si>
  <si>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</si>
  <si>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</si>
  <si>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</si>
  <si>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</si>
  <si>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</si>
  <si>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</si>
  <si>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</si>
  <si>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</si>
  <si>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</si>
  <si>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</si>
  <si>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</si>
  <si>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</si>
  <si>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</si>
  <si>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</si>
  <si>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</si>
  <si>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</si>
  <si>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</si>
  <si>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</si>
  <si>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</si>
  <si>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</si>
  <si>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</si>
  <si>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</si>
  <si>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</si>
  <si>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</si>
  <si>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</si>
  <si>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</si>
  <si>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</si>
  <si>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</si>
  <si>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</si>
  <si>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</si>
  <si>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</si>
  <si>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</si>
  <si>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</si>
  <si>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</si>
  <si>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</si>
  <si>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</si>
  <si>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</si>
  <si>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</si>
  <si>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</si>
  <si>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</si>
  <si>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</si>
  <si>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</si>
  <si>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</si>
  <si>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</si>
  <si>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</si>
  <si>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</si>
  <si>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</si>
  <si>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</si>
  <si>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</si>
  <si>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</si>
  <si>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</si>
  <si>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</si>
  <si>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</si>
  <si>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</si>
  <si>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</si>
  <si>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</si>
  <si>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</si>
  <si>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</si>
  <si>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</si>
  <si>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</si>
  <si>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</si>
  <si>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</si>
  <si>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</si>
  <si>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</si>
  <si>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</si>
  <si>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</si>
  <si>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</si>
  <si>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</si>
  <si>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</si>
  <si>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</si>
  <si>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</si>
  <si>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</si>
  <si>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</si>
  <si>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</si>
  <si>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</si>
  <si>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</si>
  <si>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</si>
  <si>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</si>
  <si>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</si>
  <si>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</si>
  <si>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</si>
  <si>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</si>
  <si>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</si>
  <si>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</si>
  <si>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</si>
  <si>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</si>
  <si>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</si>
  <si>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</si>
  <si>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</si>
  <si>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</si>
  <si>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</si>
  <si>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</si>
  <si>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</si>
  <si>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</si>
  <si>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</si>
  <si>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</si>
  <si>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</si>
  <si>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</si>
  <si>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</si>
  <si>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</si>
  <si>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</si>
  <si>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</si>
  <si>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</si>
  <si>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</si>
  <si>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</si>
  <si>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</si>
  <si>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</si>
  <si>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</si>
  <si>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</si>
  <si>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</si>
  <si>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</si>
  <si>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</si>
  <si>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</si>
  <si>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</si>
  <si>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</si>
  <si>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</si>
  <si>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</si>
  <si>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</si>
  <si>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</si>
  <si>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</si>
  <si>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</si>
  <si>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</si>
  <si>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</si>
  <si>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</si>
  <si>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</si>
  <si>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</si>
  <si>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</si>
  <si>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</si>
  <si>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</si>
  <si>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</si>
  <si>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</si>
  <si>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</si>
  <si>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</si>
  <si>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</si>
  <si>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</si>
  <si>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</si>
  <si>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</si>
  <si>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</si>
  <si>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</si>
  <si>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</si>
  <si>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</si>
  <si>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</si>
  <si>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</si>
  <si>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</si>
  <si>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</si>
  <si>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</si>
  <si>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</si>
  <si>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</si>
  <si>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</si>
  <si>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</si>
  <si>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</si>
  <si>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</si>
  <si>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</si>
  <si>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</si>
  <si>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</si>
  <si>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</si>
  <si>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</si>
  <si>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</si>
  <si>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</si>
  <si>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</si>
  <si>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</si>
  <si>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</si>
  <si>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</si>
  <si>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</si>
  <si>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</si>
  <si>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</si>
  <si>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</si>
  <si>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</si>
  <si>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</si>
  <si>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</si>
  <si>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</si>
  <si>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</si>
  <si>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</si>
  <si>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</si>
  <si>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</si>
  <si>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</si>
  <si>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</si>
  <si>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</si>
  <si>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</si>
  <si>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</si>
  <si>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</si>
  <si>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</si>
  <si>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</si>
  <si>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</si>
  <si>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</si>
  <si>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</si>
  <si>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</si>
  <si>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</si>
  <si>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</si>
  <si>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</si>
  <si>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</si>
  <si>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</si>
  <si>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</si>
  <si>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</si>
  <si>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</si>
  <si>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</si>
  <si>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</si>
  <si>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</si>
  <si>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</si>
  <si>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</si>
  <si>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</si>
  <si>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</si>
  <si>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</si>
  <si>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</si>
  <si>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</si>
  <si>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</si>
  <si>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</si>
  <si>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</si>
  <si>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</si>
  <si>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</si>
  <si>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</si>
  <si>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</si>
  <si>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</si>
  <si>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</si>
  <si>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</si>
  <si>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</si>
  <si>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</si>
  <si>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</si>
  <si>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</si>
  <si>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</si>
  <si>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</si>
  <si>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</si>
  <si>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</si>
  <si>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</si>
  <si>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</si>
  <si>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</si>
  <si>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</si>
  <si>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</si>
  <si>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</si>
  <si>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</si>
  <si>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</si>
  <si>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</si>
  <si>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</si>
  <si>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</si>
  <si>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</si>
  <si>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</si>
  <si>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</si>
  <si>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</si>
  <si>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</si>
  <si>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</si>
  <si>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</si>
  <si>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</si>
  <si>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</si>
  <si>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</si>
  <si>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</si>
  <si>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</si>
  <si>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</si>
  <si>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</si>
  <si>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</si>
  <si>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</si>
  <si>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</si>
  <si>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</si>
  <si>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</si>
  <si>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</si>
  <si>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</si>
  <si>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</si>
  <si>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</si>
  <si>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</si>
  <si>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</si>
  <si>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</si>
  <si>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</si>
  <si>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</si>
  <si>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</si>
  <si>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</si>
  <si>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</si>
  <si>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</si>
  <si>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</si>
  <si>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</si>
  <si>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</si>
  <si>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</si>
  <si>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</si>
  <si>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</si>
  <si>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</si>
  <si>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</si>
  <si>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</si>
  <si>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</si>
  <si>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</si>
  <si>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</si>
  <si>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</si>
  <si>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</si>
  <si>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</si>
  <si>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</si>
  <si>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</si>
  <si>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</si>
  <si>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</si>
  <si>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</si>
  <si>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</si>
  <si>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</si>
  <si>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</si>
  <si>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</si>
  <si>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</si>
  <si>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</si>
  <si>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</si>
  <si>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</si>
  <si>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</si>
  <si>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</si>
  <si>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</si>
  <si>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</si>
  <si>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</si>
  <si>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</si>
  <si>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</si>
  <si>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</si>
  <si>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</si>
  <si>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</si>
  <si>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</si>
  <si>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</si>
  <si>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</si>
  <si>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</si>
  <si>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</si>
  <si>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</si>
  <si>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</si>
  <si>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</si>
  <si>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</si>
  <si>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</si>
  <si>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</si>
  <si>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</si>
  <si>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</si>
  <si>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</si>
  <si>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</si>
  <si>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</si>
  <si>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</si>
  <si>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</si>
  <si>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</si>
  <si>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</si>
  <si>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</si>
  <si>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</si>
  <si>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</si>
  <si>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</si>
  <si>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</si>
  <si>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</si>
  <si>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</si>
  <si>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</si>
  <si>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</si>
  <si>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</si>
  <si>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</si>
  <si>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</si>
  <si>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</si>
  <si>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</si>
  <si>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</si>
  <si>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</si>
  <si>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</si>
  <si>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</si>
  <si>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</si>
  <si>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</si>
  <si>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</si>
  <si>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</si>
  <si>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</si>
  <si>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</si>
  <si>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</si>
  <si>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</si>
  <si>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</si>
  <si>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</si>
  <si>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</si>
  <si>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</si>
  <si>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</si>
  <si>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</si>
  <si>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</si>
  <si>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</si>
  <si>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</si>
  <si>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</si>
  <si>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</si>
  <si>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</si>
  <si>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</si>
  <si>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</si>
  <si>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</si>
  <si>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</si>
  <si>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</si>
  <si>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</si>
  <si>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</si>
  <si>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</si>
  <si>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</si>
  <si>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</si>
  <si>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</si>
  <si>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</si>
  <si>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</si>
  <si>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</si>
  <si>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</si>
  <si>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</si>
  <si>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</si>
  <si>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</si>
  <si>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</si>
  <si>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</si>
  <si>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</si>
  <si>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</si>
  <si>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</si>
  <si>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</si>
  <si>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</si>
  <si>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</si>
  <si>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</si>
  <si>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</si>
  <si>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</si>
  <si>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</si>
  <si>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</si>
  <si>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</si>
  <si>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</si>
  <si>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</si>
  <si>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</si>
  <si>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</si>
  <si>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</si>
  <si>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</si>
  <si>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</si>
  <si>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</si>
  <si>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</si>
  <si>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</si>
  <si>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</si>
  <si>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</si>
  <si>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</si>
  <si>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</si>
  <si>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</si>
  <si>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</si>
  <si>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</si>
  <si>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</si>
  <si>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</si>
  <si>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</si>
  <si>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</si>
  <si>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</si>
  <si>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</si>
  <si>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</si>
  <si>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</si>
  <si>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</si>
  <si>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</si>
  <si>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</si>
  <si>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</si>
  <si>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</si>
  <si>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</si>
  <si>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</si>
  <si>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</si>
  <si>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</si>
  <si>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</si>
  <si>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</si>
  <si>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</si>
  <si>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</si>
  <si>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</si>
  <si>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</si>
  <si>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</si>
  <si>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</si>
  <si>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</si>
  <si>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</si>
  <si>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</si>
  <si>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</si>
  <si>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</si>
  <si>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</si>
  <si>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</si>
  <si>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</si>
  <si>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</si>
  <si>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</si>
  <si>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</si>
  <si>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</si>
  <si>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</si>
  <si>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</si>
  <si>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</si>
  <si>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</si>
  <si>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</si>
  <si>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</si>
  <si>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</si>
  <si>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</si>
  <si>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</si>
  <si>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</si>
  <si>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</si>
  <si>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</si>
  <si>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</si>
  <si>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</si>
  <si>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</si>
  <si>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</si>
  <si>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</si>
  <si>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</si>
  <si>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</si>
  <si>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</si>
  <si>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</si>
  <si>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</si>
  <si>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</si>
  <si>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</si>
  <si>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</si>
  <si>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</si>
  <si>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</si>
  <si>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</si>
  <si>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</si>
  <si>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</si>
  <si>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</si>
  <si>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</si>
  <si>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</si>
  <si>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</si>
  <si>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</si>
  <si>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</si>
  <si>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</si>
  <si>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</si>
  <si>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</si>
  <si>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</si>
  <si>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</si>
  <si>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</si>
  <si>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</si>
  <si>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</si>
  <si>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</si>
  <si>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</si>
  <si>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</si>
  <si>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</si>
  <si>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</si>
  <si>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</si>
  <si>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</si>
  <si>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</si>
  <si>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</si>
  <si>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</si>
  <si>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</si>
  <si>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</si>
  <si>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</si>
  <si>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</si>
  <si>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</si>
  <si>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</si>
  <si>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</si>
  <si>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</si>
  <si>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</si>
  <si>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</si>
  <si>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</si>
  <si>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</si>
  <si>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</si>
  <si>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</si>
  <si>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</si>
  <si>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</si>
  <si>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</si>
  <si>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</si>
  <si>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</si>
  <si>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</si>
  <si>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</si>
  <si>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</si>
  <si>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</si>
  <si>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</si>
  <si>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</si>
  <si>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</si>
  <si>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</si>
  <si>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</si>
  <si>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</si>
  <si>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</si>
  <si>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</si>
  <si>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</si>
  <si>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</si>
  <si>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</si>
  <si>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</si>
  <si>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</si>
  <si>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</si>
  <si>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</si>
  <si>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</si>
  <si>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</si>
  <si>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</si>
  <si>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</si>
  <si>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</si>
  <si>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</si>
  <si>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</si>
  <si>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</si>
  <si>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</si>
  <si>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</si>
  <si>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</si>
  <si>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</si>
  <si>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</si>
  <si>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</si>
  <si>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</si>
  <si>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</si>
  <si>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</si>
  <si>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</si>
  <si>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</si>
  <si>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</si>
  <si>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</si>
  <si>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</si>
  <si>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</si>
  <si>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</si>
  <si>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</si>
  <si>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</si>
  <si>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</si>
  <si>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</si>
  <si>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</si>
  <si>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</si>
  <si>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</si>
  <si>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</si>
  <si>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</si>
  <si>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</si>
  <si>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</si>
  <si>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</si>
  <si>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</si>
  <si>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</si>
  <si>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</si>
  <si>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</si>
  <si>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</si>
  <si>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</si>
  <si>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</si>
  <si>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</si>
  <si>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</si>
  <si>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</si>
  <si>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</si>
  <si>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</si>
  <si>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</si>
  <si>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</si>
  <si>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</si>
  <si>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</si>
  <si>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</si>
  <si>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</si>
  <si>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</si>
  <si>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</si>
  <si>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</si>
  <si>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</si>
  <si>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</si>
  <si>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</si>
  <si>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</si>
  <si>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</si>
  <si>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</si>
  <si>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</si>
  <si>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</si>
  <si>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</si>
  <si>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</si>
  <si>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</si>
  <si>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</si>
  <si>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</si>
  <si>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</si>
  <si>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</si>
  <si>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</si>
  <si>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</si>
  <si>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</si>
  <si>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</si>
  <si>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</si>
  <si>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</si>
  <si>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</si>
  <si>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</si>
  <si>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</si>
  <si>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</si>
  <si>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</si>
  <si>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</si>
  <si>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</si>
  <si>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</si>
  <si>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</si>
  <si>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</si>
  <si>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</si>
  <si>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</si>
  <si>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</si>
  <si>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</si>
  <si>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</si>
  <si>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</si>
  <si>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</si>
  <si>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</si>
  <si>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</si>
  <si>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</si>
  <si>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</si>
  <si>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</si>
  <si>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</si>
  <si>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</si>
  <si>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</si>
  <si>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</si>
  <si>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</si>
  <si>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</si>
  <si>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</si>
  <si>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</si>
  <si>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</si>
  <si>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</si>
  <si>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</si>
  <si>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</si>
  <si>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</si>
  <si>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</si>
  <si>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</si>
  <si>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</si>
  <si>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</si>
  <si>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</si>
  <si>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</si>
  <si>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</si>
  <si>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</si>
  <si>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</si>
  <si>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</si>
  <si>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</si>
  <si>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</si>
  <si>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</si>
  <si>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</si>
  <si>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</si>
  <si>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</si>
  <si>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</si>
  <si>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</si>
  <si>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</si>
  <si>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</si>
  <si>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</si>
  <si>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</si>
  <si>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</si>
  <si>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</si>
  <si>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</si>
  <si>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</si>
  <si>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</si>
  <si>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</si>
  <si>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</si>
  <si>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</si>
  <si>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</si>
  <si>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</si>
  <si>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</si>
  <si>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</si>
  <si>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</si>
  <si>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</si>
  <si>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</si>
  <si>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</si>
  <si>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</si>
  <si>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</si>
  <si>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</si>
  <si>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</si>
  <si>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</si>
  <si>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</si>
  <si>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</si>
  <si>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</si>
  <si>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</si>
  <si>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</si>
  <si>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</si>
  <si>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</si>
  <si>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</si>
  <si>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</si>
  <si>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</si>
  <si>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</si>
  <si>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</si>
  <si>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</si>
  <si>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</si>
  <si>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</si>
  <si>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</si>
  <si>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</si>
  <si>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</si>
  <si>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</si>
  <si>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</si>
  <si>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</si>
  <si>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</si>
  <si>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</si>
  <si>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</si>
  <si>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</si>
  <si>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</si>
  <si>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</si>
  <si>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</si>
  <si>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</si>
  <si>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</si>
  <si>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</si>
  <si>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</si>
  <si>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</si>
  <si>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</si>
  <si>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</si>
  <si>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</si>
  <si>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</si>
  <si>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</si>
  <si>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</si>
  <si>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</si>
  <si>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</si>
  <si>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</si>
  <si>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</si>
  <si>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</si>
  <si>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</si>
  <si>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</si>
  <si>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</si>
  <si>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</si>
  <si>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</si>
  <si>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</si>
  <si>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</si>
  <si>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</si>
  <si>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</si>
  <si>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</si>
  <si>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</si>
  <si>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</si>
  <si>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</si>
  <si>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</si>
  <si>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</si>
  <si>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</si>
  <si>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</si>
  <si>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</si>
  <si>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</si>
  <si>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</si>
  <si>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</si>
  <si>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</si>
  <si>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</si>
  <si>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</si>
  <si>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</si>
  <si>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</si>
  <si>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</si>
  <si>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</si>
  <si>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</si>
  <si>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</si>
  <si>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</si>
  <si>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</si>
  <si>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</si>
  <si>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</si>
  <si>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</si>
  <si>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</si>
  <si>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</si>
  <si>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</si>
  <si>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</si>
  <si>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</si>
  <si>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</si>
  <si>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</si>
  <si>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</si>
  <si>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</si>
  <si>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</si>
  <si>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</si>
  <si>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</si>
  <si>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</si>
  <si>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</si>
  <si>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</si>
  <si>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</si>
  <si>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</si>
  <si>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</si>
  <si>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</si>
  <si>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</si>
  <si>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</si>
  <si>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</si>
  <si>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</si>
  <si>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</si>
  <si>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</si>
  <si>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</si>
  <si>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</si>
  <si>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</si>
  <si>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</si>
  <si>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</si>
  <si>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</si>
  <si>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</si>
  <si>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</si>
  <si>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</si>
  <si>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</si>
  <si>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</si>
  <si>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</si>
  <si>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</si>
  <si>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</si>
  <si>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</si>
  <si>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</si>
  <si>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</si>
  <si>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</si>
  <si>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</si>
  <si>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</si>
  <si>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</si>
  <si>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</si>
  <si>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</si>
  <si>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</si>
  <si>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</si>
  <si>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</si>
  <si>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</si>
  <si>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</si>
  <si>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</si>
  <si>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</si>
  <si>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</si>
  <si>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</si>
  <si>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</si>
  <si>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</si>
  <si>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</si>
  <si>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</si>
  <si>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</si>
  <si>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</si>
  <si>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</si>
  <si>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</si>
  <si>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</si>
  <si>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</si>
  <si>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</si>
  <si>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</si>
  <si>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</si>
  <si>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</si>
  <si>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</si>
  <si>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</si>
  <si>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</si>
  <si>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</si>
  <si>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</si>
  <si>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</si>
  <si>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</si>
  <si>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</si>
  <si>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</si>
  <si>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</si>
  <si>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</si>
  <si>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</si>
  <si>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</si>
  <si>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</si>
  <si>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</si>
  <si>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</si>
  <si>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</si>
  <si>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</si>
  <si>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</si>
  <si>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</si>
  <si>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</si>
  <si>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</si>
  <si>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</si>
  <si>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</si>
  <si>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</si>
  <si>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</si>
  <si>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</si>
  <si>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</si>
  <si>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</si>
  <si>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</si>
  <si>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</si>
  <si>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</si>
  <si>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</si>
  <si>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</si>
  <si>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</si>
  <si>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</si>
  <si>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</si>
  <si>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</si>
  <si>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</si>
  <si>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</si>
  <si>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</si>
  <si>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</si>
  <si>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</si>
  <si>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</si>
  <si>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</si>
  <si>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</si>
  <si>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</si>
  <si>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</si>
  <si>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</si>
  <si>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</si>
  <si>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</si>
  <si>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</si>
  <si>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</si>
  <si>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</si>
  <si>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</si>
  <si>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</si>
  <si>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</si>
  <si>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</si>
  <si>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</si>
  <si>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</si>
  <si>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</si>
  <si>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</si>
  <si>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</si>
  <si>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</si>
  <si>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</si>
  <si>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</si>
  <si>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</si>
  <si>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</si>
  <si>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</si>
  <si>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</si>
  <si>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</si>
  <si>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</si>
  <si>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</si>
  <si>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</si>
  <si>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</si>
  <si>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</si>
  <si>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</si>
  <si>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</si>
  <si>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</si>
  <si>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</si>
  <si>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</si>
  <si>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</si>
  <si>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</si>
  <si>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</si>
  <si>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</si>
  <si>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</si>
  <si>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</si>
  <si>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</si>
  <si>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</si>
  <si>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</si>
  <si>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</si>
  <si>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</si>
  <si>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</si>
  <si>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</si>
  <si>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</si>
  <si>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</si>
  <si>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</si>
  <si>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</si>
  <si>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</si>
  <si>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</si>
  <si>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</si>
  <si>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</si>
  <si>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</si>
  <si>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</si>
  <si>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</si>
  <si>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</si>
  <si>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</si>
  <si>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</si>
  <si>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</si>
  <si>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</si>
  <si>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</si>
  <si>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</si>
  <si>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</si>
  <si>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</si>
  <si>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</si>
  <si>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</si>
  <si>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</si>
  <si>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</si>
  <si>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</si>
  <si>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</si>
  <si>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</si>
  <si>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</si>
  <si>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</si>
  <si>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</si>
  <si>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</si>
  <si>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</si>
  <si>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</si>
  <si>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</si>
  <si>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</si>
  <si>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</si>
  <si>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</si>
  <si>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</si>
  <si>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</si>
  <si>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</si>
  <si>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</si>
  <si>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</si>
  <si>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</si>
  <si>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</si>
  <si>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</si>
  <si>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</si>
  <si>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</si>
  <si>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</si>
  <si>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</si>
  <si>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</si>
  <si>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</si>
  <si>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</si>
  <si>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</si>
  <si>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</si>
  <si>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</si>
  <si>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</si>
  <si>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</si>
  <si>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</si>
  <si>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</si>
  <si>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</si>
  <si>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</si>
  <si>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</si>
  <si>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</si>
  <si>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</si>
  <si>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</si>
  <si>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</si>
  <si>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</si>
  <si>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</si>
  <si>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</si>
  <si>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</si>
  <si>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</si>
  <si>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</si>
  <si>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</si>
  <si>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</si>
  <si>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</si>
  <si>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</si>
  <si>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</si>
  <si>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</si>
  <si>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</si>
  <si>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</si>
  <si>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</si>
  <si>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</si>
  <si>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</si>
  <si>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</si>
  <si>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</si>
  <si>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</si>
  <si>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</si>
  <si>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</si>
  <si>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</si>
  <si>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</si>
  <si>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</si>
  <si>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</si>
  <si>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</si>
  <si>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</si>
  <si>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</si>
  <si>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</si>
  <si>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</si>
  <si>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</si>
  <si>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</si>
  <si>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</si>
  <si>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</si>
  <si>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</si>
  <si>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</si>
  <si>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</si>
  <si>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</si>
  <si>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</si>
  <si>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</si>
  <si>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</si>
  <si>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</si>
  <si>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</si>
  <si>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</si>
  <si>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</si>
  <si>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</si>
  <si>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</si>
  <si>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</si>
  <si>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</si>
  <si>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</si>
  <si>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</si>
  <si>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</si>
  <si>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</si>
  <si>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</si>
  <si>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</si>
  <si>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</si>
  <si>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</si>
  <si>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</si>
  <si>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</si>
  <si>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</si>
  <si>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</si>
  <si>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</si>
  <si>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</si>
  <si>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</si>
  <si>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</si>
  <si>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</si>
  <si>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</si>
  <si>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</si>
  <si>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</si>
  <si>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</si>
  <si>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</si>
  <si>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</si>
  <si>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</si>
  <si>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</si>
  <si>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</si>
  <si>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</si>
  <si>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</si>
  <si>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</si>
  <si>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</si>
  <si>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</si>
  <si>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</si>
  <si>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</si>
  <si>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</si>
  <si>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</si>
  <si>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</si>
  <si>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</si>
  <si>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</si>
  <si>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</si>
  <si>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</si>
  <si>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</si>
  <si>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</si>
  <si>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</si>
  <si>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</si>
  <si>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</si>
  <si>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</si>
  <si>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</si>
  <si>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</si>
  <si>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</si>
  <si>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</si>
  <si>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</si>
  <si>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</si>
  <si>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</si>
  <si>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</si>
  <si>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</si>
  <si>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</si>
  <si>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</si>
  <si>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</si>
  <si>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</si>
  <si>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</si>
  <si>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</si>
  <si>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</si>
  <si>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</si>
  <si>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</si>
  <si>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</si>
  <si>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</si>
  <si>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</si>
  <si>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</si>
  <si>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</si>
  <si>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</si>
  <si>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</si>
  <si>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</si>
  <si>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</si>
  <si>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</si>
  <si>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</si>
  <si>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</si>
  <si>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</si>
  <si>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</si>
  <si>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</si>
  <si>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</si>
  <si>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</si>
  <si>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</si>
  <si>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</si>
  <si>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</si>
  <si>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</si>
  <si>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</si>
  <si>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</si>
  <si>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</si>
  <si>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</si>
  <si>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</si>
  <si>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</si>
  <si>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</si>
  <si>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</si>
  <si>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</si>
  <si>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</si>
  <si>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</si>
  <si>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</si>
  <si>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</si>
  <si>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</si>
  <si>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</si>
  <si>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</si>
  <si>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</si>
  <si>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</si>
  <si>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</si>
  <si>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</si>
  <si>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</si>
  <si>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</si>
  <si>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</si>
  <si>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</si>
  <si>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</si>
  <si>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</si>
  <si>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</si>
  <si>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</si>
  <si>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</si>
  <si>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</si>
  <si>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</si>
  <si>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</si>
  <si>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</si>
  <si>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</si>
  <si>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</si>
  <si>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</si>
  <si>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</si>
  <si>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</si>
  <si>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</si>
  <si>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</si>
  <si>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</si>
  <si>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</si>
  <si>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</si>
  <si>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</si>
  <si>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</si>
  <si>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</si>
  <si>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</si>
  <si>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</si>
  <si>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</si>
  <si>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</si>
  <si>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</si>
  <si>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</si>
  <si>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</si>
  <si>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</si>
  <si>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</si>
  <si>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</si>
  <si>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</si>
  <si>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</si>
  <si>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</si>
  <si>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</si>
  <si>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</si>
  <si>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</si>
  <si>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</si>
  <si>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</si>
  <si>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</si>
  <si>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</si>
  <si>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</si>
  <si>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</si>
  <si>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</si>
  <si>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</si>
  <si>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</si>
  <si>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</si>
  <si>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</si>
  <si>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</si>
  <si>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</si>
  <si>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</si>
  <si>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</si>
  <si>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</si>
  <si>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</si>
  <si>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</si>
  <si>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</si>
  <si>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</si>
  <si>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</si>
  <si>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</si>
  <si>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</si>
  <si>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</si>
  <si>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</si>
  <si>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</si>
  <si>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</si>
  <si>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</si>
  <si>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</si>
  <si>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</si>
  <si>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</si>
  <si>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</si>
  <si>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</si>
  <si>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</si>
  <si>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</si>
  <si>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</si>
  <si>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</si>
  <si>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</si>
  <si>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</si>
  <si>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</si>
  <si>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</si>
  <si>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</si>
  <si>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</si>
  <si>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</si>
  <si>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</si>
  <si>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</si>
  <si>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</si>
  <si>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</si>
  <si>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</si>
  <si>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</si>
  <si>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</si>
  <si>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</si>
  <si>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</si>
  <si>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</si>
  <si>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</si>
  <si>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</si>
  <si>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</si>
  <si>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</si>
  <si>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</si>
  <si>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</si>
  <si>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</si>
  <si>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</si>
  <si>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</si>
  <si>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</si>
  <si>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</si>
  <si>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</si>
  <si>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</si>
  <si>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</si>
  <si>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</si>
  <si>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</si>
  <si>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</si>
  <si>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</si>
  <si>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</si>
  <si>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</si>
  <si>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</si>
  <si>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</si>
  <si>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</si>
  <si>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</si>
  <si>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</si>
  <si>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</si>
  <si>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</si>
  <si>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</si>
  <si>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</si>
  <si>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</si>
  <si>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</si>
  <si>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</si>
  <si>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</si>
  <si>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</si>
  <si>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</si>
  <si>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</si>
  <si>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</si>
  <si>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</si>
  <si>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</si>
  <si>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</si>
  <si>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</si>
  <si>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</si>
  <si>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</si>
  <si>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</si>
  <si>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</si>
  <si>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</si>
  <si>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</si>
  <si>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</si>
  <si>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</si>
  <si>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</si>
  <si>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</si>
  <si>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</si>
  <si>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</si>
  <si>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</si>
  <si>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</si>
  <si>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</si>
  <si>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</si>
  <si>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</si>
  <si>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</si>
  <si>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</si>
  <si>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</si>
  <si>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</si>
  <si>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</si>
  <si>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</si>
  <si>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</si>
  <si>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</si>
  <si>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</si>
  <si>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</si>
  <si>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</si>
  <si>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</si>
  <si>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</si>
  <si>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</si>
  <si>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</si>
  <si>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</si>
  <si>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</si>
  <si>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</si>
  <si>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</si>
  <si>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</si>
  <si>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</si>
  <si>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</si>
  <si>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</si>
  <si>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</si>
  <si>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</si>
  <si>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</si>
  <si>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</si>
  <si>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</si>
  <si>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</si>
  <si>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</si>
  <si>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</si>
  <si>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</si>
  <si>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</si>
  <si>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</si>
  <si>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</si>
  <si>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</si>
  <si>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</si>
  <si>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</si>
  <si>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</si>
  <si>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</si>
  <si>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</si>
  <si>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</si>
  <si>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</si>
  <si>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</si>
  <si>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</si>
  <si>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</si>
  <si>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</si>
  <si>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</si>
  <si>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</si>
  <si>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</si>
  <si>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</si>
  <si>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</si>
  <si>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</si>
  <si>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</si>
  <si>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</si>
  <si>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</si>
  <si>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</si>
  <si>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</si>
  <si>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</si>
  <si>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</si>
  <si>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</si>
  <si>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</si>
  <si>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</si>
  <si>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</si>
  <si>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</si>
  <si>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</si>
  <si>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</si>
  <si>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</si>
  <si>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</si>
  <si>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</si>
  <si>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</si>
  <si>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</si>
  <si>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</si>
  <si>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</si>
  <si>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</si>
  <si>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</si>
  <si>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</si>
  <si>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</si>
  <si>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</si>
  <si>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</si>
  <si>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</si>
  <si>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</si>
  <si>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</si>
  <si>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</si>
  <si>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</si>
  <si>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</si>
  <si>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</si>
  <si>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</si>
  <si>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</si>
  <si>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</si>
  <si>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</si>
  <si>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</si>
  <si>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</si>
  <si>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</si>
  <si>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</si>
  <si>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</si>
  <si>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</si>
  <si>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</si>
  <si>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</si>
  <si>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</si>
  <si>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</si>
  <si>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</si>
  <si>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</si>
  <si>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</si>
  <si>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</si>
  <si>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</si>
  <si>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</si>
  <si>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</si>
  <si>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</si>
  <si>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</si>
  <si>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</si>
  <si>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</si>
  <si>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</si>
  <si>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</si>
  <si>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</si>
  <si>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</si>
  <si>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</si>
  <si>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</si>
  <si>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</si>
  <si>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</si>
  <si>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</si>
  <si>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</si>
  <si>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</si>
  <si>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</si>
  <si>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</si>
  <si>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</si>
  <si>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</si>
  <si>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</si>
  <si>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</si>
  <si>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</si>
  <si>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</si>
  <si>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</si>
  <si>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</si>
  <si>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</si>
  <si>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</si>
  <si>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</si>
  <si>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</si>
  <si>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</si>
  <si>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</si>
  <si>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</si>
  <si>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</si>
  <si>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</si>
  <si>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</si>
  <si>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</si>
  <si>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</si>
  <si>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</si>
  <si>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</si>
  <si>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</si>
  <si>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</si>
  <si>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</si>
  <si>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</si>
  <si>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</si>
  <si>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</si>
  <si>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</si>
  <si>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</si>
  <si>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</si>
  <si>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</si>
  <si>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</si>
  <si>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</si>
  <si>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</si>
  <si>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</si>
  <si>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</si>
  <si>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</si>
  <si>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</si>
  <si>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</si>
  <si>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</si>
  <si>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</si>
  <si>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</si>
  <si>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</si>
  <si>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</si>
  <si>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</si>
  <si>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</si>
  <si>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</si>
  <si>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</si>
  <si>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</si>
  <si>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</si>
  <si>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</si>
  <si>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</si>
  <si>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</si>
  <si>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</si>
  <si>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</si>
  <si>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</si>
  <si>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</si>
  <si>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</si>
  <si>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</si>
  <si>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</si>
  <si>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</si>
  <si>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</si>
  <si>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</si>
  <si>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</si>
  <si>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</si>
  <si>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</si>
  <si>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</si>
  <si>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</si>
  <si>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</si>
  <si>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</si>
  <si>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</si>
  <si>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</si>
  <si>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</si>
  <si>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</si>
  <si>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</si>
  <si>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</si>
  <si>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</si>
  <si>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</si>
  <si>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</si>
  <si>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</si>
  <si>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</si>
  <si>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</si>
  <si>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</si>
  <si>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</si>
  <si>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</si>
  <si>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</si>
  <si>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</si>
  <si>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</si>
  <si>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</si>
  <si>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</si>
  <si>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</si>
  <si>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</si>
  <si>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</si>
  <si>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</si>
  <si>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</si>
  <si>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</si>
  <si>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</si>
  <si>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</si>
  <si>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</si>
  <si>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</si>
  <si>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</si>
  <si>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</si>
  <si>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</si>
  <si>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</si>
  <si>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</si>
  <si>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</si>
  <si>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</si>
  <si>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</si>
  <si>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</si>
  <si>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</si>
  <si>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</si>
  <si>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</si>
  <si>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</si>
  <si>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</si>
  <si>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</si>
  <si>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</si>
  <si>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</si>
  <si>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</si>
  <si>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</si>
  <si>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</si>
  <si>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</si>
  <si>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</si>
  <si>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</si>
  <si>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</si>
  <si>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</si>
  <si>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</si>
  <si>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</si>
  <si>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</si>
  <si>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</si>
  <si>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</si>
  <si>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</si>
  <si>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</si>
  <si>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</si>
  <si>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</si>
  <si>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</si>
  <si>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</si>
  <si>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</si>
  <si>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</si>
  <si>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</si>
  <si>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</si>
  <si>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</si>
  <si>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</si>
  <si>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</si>
  <si>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</si>
  <si>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</si>
  <si>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</si>
  <si>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</si>
  <si>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</si>
  <si>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</si>
  <si>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</si>
  <si>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</si>
  <si>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</si>
  <si>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</si>
  <si>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</si>
  <si>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</si>
  <si>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</si>
  <si>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</si>
  <si>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</si>
  <si>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</si>
  <si>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</si>
  <si>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</si>
  <si>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</si>
  <si>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</si>
  <si>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</si>
  <si>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</si>
  <si>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</si>
  <si>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</si>
  <si>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</si>
  <si>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</si>
  <si>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</si>
  <si>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</si>
  <si>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</si>
  <si>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</si>
  <si>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</si>
  <si>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</si>
  <si>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</si>
  <si>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</si>
  <si>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</si>
  <si>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</si>
  <si>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</si>
  <si>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</si>
  <si>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</si>
  <si>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</si>
  <si>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</si>
  <si>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</si>
  <si>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</si>
  <si>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</si>
  <si>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</si>
  <si>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</si>
  <si>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</si>
  <si>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</si>
  <si>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</si>
  <si>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</si>
  <si>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</si>
  <si>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</si>
  <si>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</si>
  <si>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</si>
  <si>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</si>
  <si>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</si>
  <si>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</si>
  <si>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</si>
  <si>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</si>
  <si>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</si>
  <si>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</si>
  <si>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</si>
  <si>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</si>
  <si>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</si>
  <si>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</si>
  <si>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</si>
  <si>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</si>
  <si>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</si>
  <si>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</si>
  <si>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</si>
  <si>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</si>
  <si>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</si>
  <si>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</si>
  <si>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</si>
  <si>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</si>
  <si>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</si>
  <si>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</si>
  <si>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</si>
  <si>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</si>
  <si>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</si>
  <si>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</si>
  <si>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</si>
  <si>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</si>
  <si>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</si>
  <si>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</si>
  <si>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</si>
  <si>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</si>
  <si>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</si>
  <si>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</si>
  <si>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</si>
  <si>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</si>
  <si>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</si>
  <si>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</si>
  <si>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</si>
  <si>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</si>
  <si>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</si>
  <si>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</si>
  <si>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</si>
  <si>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</si>
  <si>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</si>
  <si>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</si>
  <si>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</si>
  <si>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</si>
  <si>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</si>
  <si>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</si>
  <si>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</si>
  <si>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</si>
  <si>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</si>
  <si>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</si>
  <si>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</si>
  <si>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</si>
  <si>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</si>
  <si>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</si>
  <si>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</si>
  <si>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</si>
  <si>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</si>
  <si>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</si>
  <si>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</si>
  <si>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</si>
  <si>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</si>
  <si>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</si>
  <si>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</si>
  <si>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</si>
  <si>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</si>
  <si>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</si>
  <si>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</si>
  <si>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</si>
  <si>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</si>
  <si>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</si>
  <si>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</si>
  <si>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</si>
  <si>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</si>
  <si>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</si>
  <si>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</si>
  <si>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</si>
  <si>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</si>
  <si>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</si>
  <si>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</si>
  <si>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</si>
  <si>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</si>
  <si>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</si>
  <si>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</si>
  <si>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</si>
  <si>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</si>
  <si>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</si>
  <si>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</si>
  <si>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</si>
  <si>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</si>
  <si>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</si>
  <si>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</si>
  <si>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</si>
  <si>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</si>
  <si>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</si>
  <si>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</si>
  <si>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</si>
  <si>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</si>
  <si>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</si>
  <si>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</si>
  <si>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</si>
  <si>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</si>
  <si>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</si>
  <si>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</si>
  <si>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</si>
  <si>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</si>
  <si>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</si>
  <si>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</si>
  <si>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</si>
  <si>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</si>
  <si>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</si>
  <si>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</si>
  <si>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</si>
  <si>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</si>
  <si>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</si>
  <si>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</si>
  <si>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</si>
  <si>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</si>
  <si>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</si>
  <si>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</si>
  <si>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</si>
  <si>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</si>
  <si>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</si>
  <si>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</si>
  <si>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</si>
  <si>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</si>
  <si>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</si>
  <si>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</si>
  <si>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</si>
  <si>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</si>
  <si>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</si>
  <si>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</si>
  <si>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</si>
  <si>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</si>
  <si>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</si>
  <si>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</si>
  <si>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</si>
  <si>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</si>
  <si>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</si>
  <si>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</si>
  <si>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</si>
  <si>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</si>
  <si>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</si>
  <si>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</si>
  <si>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</si>
  <si>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</si>
  <si>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</si>
  <si>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</si>
  <si>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</si>
  <si>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</si>
  <si>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</si>
  <si>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</si>
  <si>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</si>
  <si>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</si>
  <si>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</si>
  <si>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</si>
  <si>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</si>
  <si>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</si>
  <si>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</si>
  <si>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</si>
  <si>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</si>
  <si>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</si>
  <si>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</si>
  <si>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</si>
  <si>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</si>
  <si>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</si>
  <si>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</si>
  <si>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</si>
  <si>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</si>
  <si>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</si>
  <si>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</si>
  <si>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</si>
  <si>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</si>
  <si>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</si>
  <si>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</si>
  <si>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</si>
  <si>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</si>
  <si>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</si>
  <si>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</si>
  <si>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</si>
  <si>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</si>
  <si>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</si>
  <si>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</si>
  <si>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</si>
  <si>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</si>
  <si>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</si>
  <si>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</si>
  <si>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</si>
  <si>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</si>
  <si>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</si>
  <si>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</si>
  <si>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</si>
  <si>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</si>
  <si>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</si>
  <si>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</si>
  <si>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</si>
  <si>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</si>
  <si>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</si>
  <si>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</si>
  <si>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</si>
  <si>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</si>
  <si>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</si>
  <si>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</si>
  <si>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</si>
  <si>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</si>
  <si>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</si>
  <si>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</si>
  <si>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</si>
  <si>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</si>
  <si>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</si>
  <si>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</si>
  <si>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</si>
  <si>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</si>
  <si>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</si>
  <si>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</si>
  <si>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</si>
  <si>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</si>
  <si>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</si>
  <si>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</si>
  <si>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</si>
  <si>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</si>
  <si>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</si>
  <si>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</si>
  <si>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</si>
  <si>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</si>
  <si>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</si>
  <si>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</si>
  <si>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</si>
  <si>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</si>
  <si>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</si>
  <si>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</si>
  <si>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</si>
  <si>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</si>
  <si>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</si>
  <si>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</si>
  <si>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</si>
  <si>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</si>
  <si>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</si>
  <si>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</si>
  <si>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</si>
  <si>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</si>
  <si>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</si>
  <si>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</si>
  <si>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</si>
  <si>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</si>
  <si>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</si>
  <si>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</si>
  <si>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</si>
  <si>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</si>
  <si>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</si>
  <si>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</si>
  <si>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</si>
  <si>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</si>
  <si>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</si>
  <si>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</si>
  <si>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</si>
  <si>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</si>
  <si>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</si>
  <si>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</si>
  <si>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</si>
  <si>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</si>
  <si>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</si>
  <si>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</si>
  <si>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</si>
  <si>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</si>
  <si>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</si>
  <si>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</si>
  <si>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</si>
  <si>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</si>
  <si>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</si>
  <si>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</si>
  <si>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</si>
  <si>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</si>
  <si>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</si>
  <si>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</si>
  <si>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</si>
  <si>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</si>
  <si>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</si>
  <si>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</si>
  <si>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</si>
  <si>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</si>
  <si>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</si>
  <si>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</si>
  <si>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</si>
  <si>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</si>
  <si>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</si>
  <si>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</si>
  <si>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</si>
  <si>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</si>
  <si>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</si>
  <si>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</si>
  <si>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</si>
  <si>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</si>
  <si>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</si>
  <si>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</si>
  <si>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</si>
  <si>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</si>
  <si>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</si>
  <si>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</si>
  <si>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</si>
  <si>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</si>
  <si>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</si>
  <si>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</si>
  <si>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</si>
  <si>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</si>
  <si>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</si>
  <si>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</si>
  <si>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</si>
  <si>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</si>
  <si>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</si>
  <si>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</si>
  <si>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</si>
  <si>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</si>
  <si>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</si>
  <si>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</si>
  <si>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</si>
  <si>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</si>
  <si>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</si>
  <si>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</si>
  <si>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</si>
  <si>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</si>
  <si>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</si>
  <si>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</si>
  <si>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</si>
  <si>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</si>
  <si>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</si>
  <si>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</si>
  <si>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</si>
  <si>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</si>
  <si>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</si>
  <si>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</si>
  <si>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</si>
  <si>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</si>
  <si>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</si>
  <si>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</si>
  <si>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</si>
  <si>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</si>
  <si>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</si>
  <si>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</si>
  <si>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</si>
  <si>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</si>
  <si>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</si>
  <si>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</si>
  <si>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</si>
  <si>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</si>
  <si>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</si>
  <si>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</si>
  <si>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</si>
  <si>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</si>
  <si>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</si>
  <si>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</si>
  <si>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</si>
  <si>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</si>
  <si>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</si>
  <si>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</si>
  <si>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</si>
  <si>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</si>
  <si>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</si>
  <si>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</si>
  <si>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</si>
  <si>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</si>
  <si>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</si>
  <si>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</si>
  <si>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</si>
  <si>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</si>
  <si>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</si>
  <si>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</si>
  <si>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</si>
  <si>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</si>
  <si>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</si>
  <si>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</si>
  <si>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</si>
  <si>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</si>
  <si>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</si>
  <si>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</si>
  <si>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</si>
  <si>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</si>
  <si>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</si>
  <si>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</si>
  <si>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</si>
  <si>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</si>
  <si>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</si>
  <si>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</si>
  <si>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</si>
  <si>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</si>
  <si>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</si>
  <si>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</si>
  <si>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</si>
  <si>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</si>
  <si>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</si>
  <si>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</si>
  <si>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</si>
  <si>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</si>
  <si>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</si>
  <si>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</si>
  <si>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</si>
  <si>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</si>
  <si>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</si>
  <si>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</si>
  <si>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</si>
  <si>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</si>
  <si>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</si>
  <si>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</si>
  <si>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</si>
  <si>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</si>
  <si>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</si>
  <si>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</si>
  <si>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</si>
  <si>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</si>
  <si>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</si>
  <si>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</si>
  <si>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</si>
  <si>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</si>
  <si>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</si>
  <si>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</si>
  <si>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</si>
  <si>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</si>
  <si>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</si>
  <si>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</si>
  <si>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</si>
  <si>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</si>
  <si>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</si>
  <si>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</si>
  <si>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</si>
  <si>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</si>
  <si>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</si>
  <si>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</si>
  <si>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</si>
  <si>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</si>
  <si>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</si>
  <si>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</si>
  <si>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</si>
  <si>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</si>
  <si>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</si>
  <si>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</si>
  <si>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</si>
  <si>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</si>
  <si>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</si>
  <si>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</si>
  <si>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</si>
  <si>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</si>
  <si>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</si>
  <si>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</si>
  <si>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</si>
  <si>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</si>
  <si>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</si>
  <si>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</si>
  <si>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</si>
  <si>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</si>
  <si>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</si>
  <si>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</si>
  <si>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</si>
  <si>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</si>
  <si>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</si>
  <si>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</si>
  <si>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</si>
  <si>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</si>
  <si>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</si>
  <si>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</si>
  <si>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</si>
  <si>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</si>
  <si>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</si>
  <si>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</si>
  <si>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</si>
  <si>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</si>
  <si>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</si>
  <si>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</si>
  <si>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</si>
  <si>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</si>
  <si>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</si>
  <si>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</si>
  <si>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</si>
  <si>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</si>
  <si>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</si>
  <si>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</si>
  <si>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</si>
  <si>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</si>
  <si>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</si>
  <si>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</si>
  <si>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</si>
  <si>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</si>
  <si>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</si>
  <si>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</si>
  <si>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</si>
  <si>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</si>
  <si>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</si>
  <si>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</si>
  <si>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</si>
  <si>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</si>
  <si>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</si>
  <si>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</si>
  <si>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</si>
  <si>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</si>
  <si>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</si>
  <si>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</si>
  <si>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</si>
  <si>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</si>
  <si>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</si>
  <si>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</si>
  <si>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</si>
  <si>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</si>
  <si>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</si>
  <si>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</si>
  <si>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</si>
  <si>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</si>
  <si>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</si>
  <si>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</si>
  <si>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</si>
  <si>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</si>
  <si>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</si>
  <si>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</si>
  <si>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</si>
  <si>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</si>
  <si>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</si>
  <si>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</si>
  <si>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</si>
  <si>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</si>
  <si>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</si>
  <si>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</si>
  <si>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</si>
  <si>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</si>
  <si>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</si>
  <si>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</si>
  <si>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</si>
  <si>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</si>
  <si>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</si>
  <si>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</si>
  <si>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</si>
  <si>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</si>
  <si>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</si>
  <si>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</si>
  <si>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</si>
  <si>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</si>
  <si>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</si>
  <si>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</si>
  <si>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</si>
  <si>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</si>
  <si>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</si>
  <si>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</si>
  <si>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</si>
  <si>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</si>
  <si>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</si>
  <si>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</si>
  <si>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</si>
  <si>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</si>
  <si>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</si>
  <si>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</si>
  <si>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</si>
  <si>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</si>
  <si>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</si>
  <si>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</si>
  <si>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</si>
  <si>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</si>
  <si>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</si>
  <si>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</si>
  <si>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</si>
  <si>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</si>
  <si>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</si>
  <si>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</si>
  <si>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</si>
  <si>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</si>
  <si>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</si>
  <si>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</si>
  <si>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</si>
  <si>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</si>
  <si>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</si>
  <si>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</si>
  <si>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</si>
  <si>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</si>
  <si>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</si>
  <si>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</si>
  <si>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</si>
  <si>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</si>
  <si>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</si>
  <si>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</si>
  <si>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</si>
  <si>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</si>
  <si>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</si>
  <si>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</si>
  <si>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</si>
  <si>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</si>
  <si>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</si>
  <si>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</si>
  <si>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</si>
  <si>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</si>
  <si>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</si>
  <si>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</si>
  <si>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</si>
  <si>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</si>
  <si>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</si>
  <si>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</si>
  <si>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</si>
  <si>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</si>
  <si>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</si>
  <si>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</si>
  <si>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</si>
  <si>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</si>
  <si>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</si>
  <si>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</si>
  <si>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</si>
  <si>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</si>
  <si>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</si>
  <si>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</si>
  <si>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</si>
  <si>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</si>
  <si>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</si>
  <si>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</si>
  <si>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</si>
  <si>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</si>
  <si>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</si>
  <si>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</si>
  <si>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</si>
  <si>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</si>
  <si>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</si>
  <si>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</si>
  <si>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</si>
  <si>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</si>
  <si>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</si>
  <si>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</si>
  <si>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</si>
  <si>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</si>
  <si>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</si>
  <si>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</si>
  <si>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</si>
  <si>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</si>
  <si>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</si>
  <si>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</si>
  <si>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</si>
  <si>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</si>
  <si>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</si>
  <si>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</si>
  <si>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</si>
  <si>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</si>
  <si>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</si>
  <si>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</si>
  <si>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</si>
  <si>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</si>
  <si>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</si>
  <si>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</si>
  <si>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</si>
  <si>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</si>
  <si>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</si>
  <si>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</si>
  <si>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</si>
  <si>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</si>
  <si>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</si>
  <si>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</si>
  <si>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</si>
  <si>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</si>
  <si>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</si>
  <si>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</si>
  <si>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</si>
  <si>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</si>
  <si>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</si>
  <si>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</si>
  <si>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</si>
  <si>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</si>
  <si>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</si>
  <si>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</si>
  <si>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</si>
  <si>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</si>
  <si>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</si>
  <si>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</si>
  <si>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</si>
  <si>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</si>
  <si>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</si>
  <si>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</si>
  <si>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</si>
  <si>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</si>
  <si>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</si>
  <si>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</si>
  <si>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</si>
  <si>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</si>
  <si>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</si>
  <si>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</si>
  <si>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</si>
  <si>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</si>
  <si>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</si>
  <si>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</si>
  <si>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</si>
  <si>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</si>
  <si>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</si>
  <si>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</si>
  <si>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</si>
  <si>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</si>
  <si>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</si>
  <si>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</si>
  <si>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</si>
  <si>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</si>
  <si>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</si>
  <si>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</si>
  <si>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</si>
  <si>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</si>
  <si>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</si>
  <si>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</si>
  <si>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</si>
  <si>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</si>
  <si>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</si>
  <si>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</si>
  <si>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</si>
  <si>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</si>
  <si>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</si>
  <si>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</si>
  <si>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</si>
  <si>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</si>
  <si>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</si>
  <si>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</si>
  <si>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</si>
  <si>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</si>
  <si>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</si>
  <si>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</si>
  <si>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</si>
  <si>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</si>
  <si>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</si>
  <si>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</si>
  <si>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</si>
  <si>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</si>
  <si>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</si>
  <si>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</si>
  <si>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</si>
  <si>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</si>
  <si>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</si>
  <si>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</si>
  <si>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</si>
  <si>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</si>
  <si>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</si>
  <si>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</si>
  <si>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</si>
  <si>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</si>
  <si>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</si>
  <si>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</si>
  <si>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</si>
  <si>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</si>
  <si>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</si>
  <si>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</si>
  <si>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</si>
  <si>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</si>
  <si>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</si>
  <si>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</si>
  <si>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</si>
  <si>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</si>
  <si>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</si>
  <si>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</si>
  <si>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</si>
  <si>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</si>
  <si>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</si>
  <si>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</si>
  <si>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</si>
  <si>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</si>
  <si>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</si>
  <si>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</si>
  <si>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</si>
  <si>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</si>
  <si>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</si>
  <si>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</si>
  <si>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</si>
  <si>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</si>
  <si>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</si>
  <si>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</si>
  <si>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</si>
  <si>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</si>
  <si>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</si>
  <si>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</si>
  <si>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</si>
  <si>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</si>
  <si>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</si>
  <si>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</si>
  <si>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</si>
  <si>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</si>
  <si>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</si>
  <si>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</si>
  <si>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</si>
  <si>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</si>
  <si>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</si>
  <si>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</si>
  <si>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</si>
  <si>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</si>
  <si>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</si>
  <si>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</si>
  <si>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</si>
  <si>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</si>
  <si>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</si>
  <si>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</si>
  <si>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</si>
  <si>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</si>
  <si>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</si>
  <si>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</si>
  <si>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</si>
  <si>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</si>
  <si>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</si>
  <si>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</si>
  <si>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</si>
  <si>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</si>
  <si>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</si>
  <si>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</si>
  <si>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</si>
  <si>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</si>
  <si>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</si>
  <si>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</si>
  <si>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</si>
  <si>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</si>
  <si>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</si>
  <si>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</si>
  <si>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</si>
  <si>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</si>
  <si>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</si>
  <si>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</si>
  <si>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</si>
  <si>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</si>
  <si>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</si>
  <si>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</si>
  <si>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</si>
  <si>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</si>
  <si>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</si>
  <si>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</si>
  <si>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</si>
  <si>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</si>
  <si>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</si>
  <si>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</si>
  <si>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</si>
  <si>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</si>
  <si>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</si>
  <si>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</si>
  <si>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</si>
  <si>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</si>
  <si>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</si>
  <si>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</si>
  <si>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</si>
  <si>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</si>
  <si>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</si>
  <si>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</si>
  <si>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</si>
  <si>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</si>
  <si>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</si>
  <si>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</si>
  <si>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</si>
  <si>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</si>
  <si>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</si>
  <si>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</si>
  <si>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</si>
  <si>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</si>
  <si>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</si>
  <si>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</si>
  <si>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</si>
  <si>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</si>
  <si>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</si>
  <si>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</si>
  <si>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</si>
  <si>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</si>
  <si>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</si>
  <si>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</si>
  <si>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</si>
  <si>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</si>
  <si>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</si>
  <si>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</si>
  <si>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</si>
  <si>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</si>
  <si>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</si>
  <si>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</si>
  <si>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</si>
  <si>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</si>
  <si>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</si>
  <si>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</si>
  <si>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</si>
  <si>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</si>
  <si>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</si>
  <si>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</si>
  <si>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</si>
  <si>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</si>
  <si>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</si>
  <si>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</si>
  <si>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</si>
  <si>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</si>
  <si>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</si>
  <si>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</si>
  <si>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</si>
  <si>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</si>
  <si>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</si>
  <si>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</si>
  <si>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</si>
  <si>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</si>
  <si>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</si>
  <si>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</si>
  <si>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</si>
  <si>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</si>
  <si>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</si>
  <si>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</si>
  <si>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</si>
  <si>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</si>
  <si>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</si>
  <si>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</si>
  <si>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</si>
  <si>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</si>
  <si>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</si>
  <si>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</si>
  <si>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</si>
  <si>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</si>
  <si>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</si>
  <si>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</si>
  <si>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</si>
  <si>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</si>
  <si>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</si>
  <si>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</si>
  <si>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</si>
  <si>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</si>
  <si>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</si>
  <si>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</si>
  <si>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</si>
  <si>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</si>
  <si>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</si>
  <si>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</si>
  <si>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</si>
  <si>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</si>
  <si>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</si>
  <si>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</si>
  <si>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</si>
  <si>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</si>
  <si>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</si>
  <si>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</si>
  <si>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</si>
  <si>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</si>
  <si>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</si>
  <si>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</si>
  <si>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</si>
  <si>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</si>
  <si>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</si>
  <si>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</si>
  <si>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</si>
  <si>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</si>
  <si>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</si>
  <si>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</si>
  <si>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</si>
  <si>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</si>
  <si>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</si>
  <si>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</si>
  <si>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</si>
  <si>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</si>
  <si>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</si>
  <si>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</si>
  <si>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</si>
  <si>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</si>
  <si>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</si>
  <si>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</si>
  <si>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</si>
  <si>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</si>
  <si>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</si>
  <si>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</si>
  <si>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</si>
  <si>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</si>
  <si>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</si>
  <si>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</si>
  <si>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</si>
  <si>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</si>
  <si>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</si>
  <si>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</si>
  <si>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</si>
  <si>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</si>
  <si>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</si>
  <si>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</si>
  <si>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</si>
  <si>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</si>
  <si>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</si>
  <si>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</si>
  <si>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</si>
  <si>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</si>
  <si>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</si>
  <si>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</si>
  <si>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</si>
  <si>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</si>
  <si>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</si>
  <si>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</si>
  <si>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</si>
  <si>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</si>
  <si>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</si>
  <si>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</si>
  <si>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</si>
  <si>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</si>
  <si>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</si>
  <si>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</si>
  <si>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</si>
  <si>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</si>
  <si>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</si>
  <si>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</si>
  <si>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</si>
  <si>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</si>
  <si>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</si>
  <si>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</si>
  <si>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</si>
  <si>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</si>
  <si>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</si>
  <si>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</si>
  <si>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</si>
  <si>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</si>
  <si>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</si>
  <si>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</si>
  <si>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</si>
  <si>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</si>
  <si>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</si>
  <si>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</si>
  <si>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</si>
  <si>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</si>
  <si>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</si>
  <si>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</si>
  <si>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</si>
  <si>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</si>
  <si>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</si>
  <si>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</si>
  <si>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</si>
  <si>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</si>
  <si>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</si>
  <si>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</si>
  <si>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</si>
  <si>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</si>
  <si>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</si>
  <si>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</si>
  <si>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</si>
  <si>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</si>
  <si>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</si>
  <si>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</si>
  <si>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</si>
  <si>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</si>
  <si>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</si>
  <si>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</si>
  <si>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</si>
  <si>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</si>
  <si>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</si>
  <si>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</si>
  <si>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</si>
  <si>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</si>
  <si>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</si>
  <si>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</si>
  <si>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</si>
  <si>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</si>
  <si>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</si>
  <si>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</si>
  <si>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</si>
  <si>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</si>
  <si>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</si>
  <si>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</si>
  <si>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</si>
  <si>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</si>
  <si>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</si>
  <si>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</si>
  <si>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</si>
  <si>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</si>
  <si>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</si>
  <si>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</si>
  <si>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</si>
  <si>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</si>
  <si>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</si>
  <si>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</si>
  <si>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</si>
  <si>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</si>
  <si>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</si>
  <si>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</si>
  <si>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</si>
  <si>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</si>
  <si>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</si>
  <si>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</si>
  <si>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</si>
  <si>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</si>
  <si>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</si>
  <si>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</si>
  <si>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</si>
  <si>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</si>
  <si>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</si>
  <si>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</si>
  <si>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</si>
  <si>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</si>
  <si>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</si>
  <si>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</si>
  <si>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</si>
  <si>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</si>
  <si>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</si>
  <si>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</si>
  <si>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</si>
  <si>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</si>
  <si>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</si>
  <si>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</si>
  <si>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</si>
  <si>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</si>
  <si>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</si>
  <si>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</si>
  <si>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</si>
  <si>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</si>
  <si>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</si>
  <si>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</si>
  <si>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</si>
  <si>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</si>
  <si>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</si>
  <si>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</si>
  <si>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</si>
  <si>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</si>
  <si>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</si>
  <si>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</si>
  <si>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</si>
  <si>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</si>
  <si>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</si>
  <si>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</si>
  <si>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</si>
  <si>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</si>
  <si>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</si>
  <si>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</si>
  <si>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</si>
  <si>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</si>
  <si>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</si>
  <si>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</si>
  <si>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</si>
  <si>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</si>
  <si>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</si>
  <si>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</si>
  <si>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</si>
  <si>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</si>
  <si>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</si>
  <si>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</si>
  <si>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</si>
  <si>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</si>
  <si>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</si>
  <si>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</si>
  <si>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</si>
  <si>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</si>
  <si>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</si>
  <si>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</si>
  <si>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</si>
  <si>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</si>
  <si>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</si>
  <si>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</si>
  <si>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</si>
  <si>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</si>
  <si>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</si>
  <si>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</si>
  <si>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</si>
  <si>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</si>
  <si>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</si>
  <si>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</si>
  <si>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</si>
  <si>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</si>
  <si>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</si>
  <si>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</si>
  <si>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</si>
  <si>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</si>
  <si>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</si>
  <si>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</si>
  <si>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</si>
  <si>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</si>
  <si>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</si>
  <si>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</si>
  <si>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</si>
  <si>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</si>
  <si>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</si>
  <si>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</si>
  <si>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</si>
  <si>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</si>
  <si>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</si>
  <si>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</si>
  <si>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</si>
  <si>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</si>
  <si>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</si>
  <si>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</si>
  <si>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</si>
  <si>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</si>
  <si>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</si>
  <si>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</si>
  <si>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</si>
  <si>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</si>
  <si>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</si>
  <si>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</si>
  <si>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</si>
  <si>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</si>
  <si>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</si>
  <si>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</si>
  <si>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</si>
  <si>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</si>
  <si>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</si>
  <si>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</si>
  <si>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</si>
  <si>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</si>
  <si>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</si>
  <si>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</si>
  <si>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</si>
  <si>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</si>
  <si>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</si>
  <si>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</si>
  <si>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</si>
  <si>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</si>
  <si>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</si>
  <si>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</si>
  <si>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</si>
  <si>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</si>
  <si>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</si>
  <si>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</si>
  <si>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</si>
  <si>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</si>
  <si>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</si>
  <si>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</si>
  <si>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</si>
  <si>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</si>
  <si>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</si>
  <si>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</si>
  <si>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</si>
  <si>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</si>
  <si>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</si>
  <si>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</si>
  <si>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</si>
  <si>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</si>
  <si>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</si>
  <si>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</si>
  <si>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</si>
  <si>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</si>
  <si>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</si>
  <si>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</si>
  <si>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</si>
  <si>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</si>
  <si>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</si>
  <si>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</si>
  <si>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</si>
  <si>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</si>
  <si>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</si>
  <si>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</si>
  <si>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</si>
  <si>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</si>
  <si>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</si>
  <si>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</si>
  <si>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</si>
  <si>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</si>
  <si>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</si>
  <si>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</si>
  <si>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</si>
  <si>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</si>
  <si>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</si>
  <si>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</si>
  <si>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</si>
  <si>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</si>
  <si>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</si>
  <si>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</si>
  <si>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</si>
  <si>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</si>
  <si>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</si>
  <si>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</si>
  <si>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</si>
  <si>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</si>
  <si>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</si>
  <si>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</si>
  <si>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</si>
  <si>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</si>
  <si>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</si>
  <si>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</si>
  <si>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</si>
  <si>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</si>
  <si>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</si>
  <si>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</si>
  <si>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</si>
  <si>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</si>
  <si>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</si>
  <si>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</si>
  <si>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</si>
  <si>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</si>
  <si>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</si>
  <si>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</si>
  <si>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</si>
  <si>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</si>
  <si>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</si>
  <si>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</si>
  <si>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</si>
  <si>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</si>
  <si>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</si>
  <si>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</si>
  <si>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</si>
  <si>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</si>
  <si>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</si>
  <si>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</si>
  <si>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</si>
  <si>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</si>
  <si>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</si>
  <si>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</si>
  <si>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</si>
  <si>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</si>
  <si>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</si>
  <si>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</si>
  <si>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</si>
  <si>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</si>
  <si>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</si>
  <si>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</si>
  <si>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</si>
  <si>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</si>
  <si>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</si>
  <si>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</si>
  <si>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</si>
  <si>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</si>
  <si>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</si>
  <si>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</si>
  <si>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</si>
  <si>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</si>
  <si>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</si>
  <si>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</si>
  <si>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</si>
  <si>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</si>
  <si>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</si>
  <si>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</si>
  <si>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</si>
  <si>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</si>
  <si>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</si>
  <si>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</si>
  <si>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</si>
  <si>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</si>
  <si>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</si>
  <si>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</si>
  <si>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</si>
  <si>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</si>
  <si>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</si>
  <si>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</si>
  <si>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</si>
  <si>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</si>
  <si>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</si>
  <si>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</si>
  <si>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</si>
  <si>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</si>
  <si>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</si>
  <si>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</si>
  <si>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</si>
  <si>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</si>
  <si>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traitement d'eaux usées, gestion et transport de déchets dangereux (EMI) ; aucun site de traitement annoncé</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</si>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</sst>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60985398"/>
        <c:axId val="2350045"/>
      </c:barChart>
      <c:catAx>
        <c:axId val="609853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350045"/>
        <c:crosses val="autoZero"/>
        <c:auto val="1"/>
        <c:lblAlgn val="ctr"/>
        <c:lblOffset val="100"/>
        <c:noMultiLvlLbl val="0"/>
      </c:catAx>
      <c:valAx>
        <c:axId val="2350045"/>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0985398"/>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11067852"/>
        <c:axId val="20658738"/>
      </c:barChart>
      <c:catAx>
        <c:axId val="11067852"/>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20658738"/>
        <c:crosses val="autoZero"/>
        <c:auto val="1"/>
        <c:lblAlgn val="ctr"/>
        <c:lblOffset val="100"/>
        <c:noMultiLvlLbl val="0"/>
      </c:catAx>
      <c:valAx>
        <c:axId val="20658738"/>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106785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4501207"/>
        <c:axId val="980236"/>
      </c:barChart>
      <c:catAx>
        <c:axId val="450120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80236"/>
        <c:crosses val="autoZero"/>
        <c:auto val="1"/>
        <c:lblAlgn val="ctr"/>
        <c:lblOffset val="100"/>
        <c:noMultiLvlLbl val="0"/>
      </c:catAx>
      <c:valAx>
        <c:axId val="980236"/>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501207"/>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74596805"/>
        <c:axId val="83240047"/>
      </c:lineChart>
      <c:catAx>
        <c:axId val="7459680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3240047"/>
        <c:crosses val="autoZero"/>
        <c:auto val="1"/>
        <c:lblAlgn val="ctr"/>
        <c:lblOffset val="100"/>
        <c:noMultiLvlLbl val="0"/>
      </c:catAx>
      <c:valAx>
        <c:axId val="8324004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459680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49721314"/>
        <c:axId val="36988263"/>
      </c:barChart>
      <c:catAx>
        <c:axId val="497213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6988263"/>
        <c:crosses val="autoZero"/>
        <c:auto val="1"/>
        <c:lblAlgn val="ctr"/>
        <c:lblOffset val="100"/>
        <c:noMultiLvlLbl val="0"/>
      </c:catAx>
      <c:valAx>
        <c:axId val="36988263"/>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9721314"/>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sheetData>
  <autoFilter ref="A5:L622"/>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1922</v>
      </c>
      <c r="B1" s="2"/>
      <c r="C1" s="2"/>
      <c r="D1" s="2"/>
      <c r="E1" s="2"/>
      <c r="F1" s="2"/>
      <c r="G1" s="2"/>
      <c r="H1" s="2"/>
      <c r="I1" s="2"/>
      <c r="J1" s="2"/>
    </row>
    <row r="2" customFormat="false" ht="15" hidden="false" customHeight="false" outlineLevel="0" collapsed="false">
      <c r="A2" s="3" t="s">
        <v>1923</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1924</v>
      </c>
      <c r="B4" s="21" t="s">
        <v>1925</v>
      </c>
      <c r="C4" s="21" t="s">
        <v>1926</v>
      </c>
      <c r="D4" s="21" t="s">
        <v>1927</v>
      </c>
      <c r="E4" s="21" t="s">
        <v>1928</v>
      </c>
      <c r="F4" s="21" t="s">
        <v>93</v>
      </c>
      <c r="G4" s="21" t="s">
        <v>1929</v>
      </c>
      <c r="H4" s="21" t="s">
        <v>1930</v>
      </c>
      <c r="I4" s="21" t="s">
        <v>55</v>
      </c>
      <c r="J4" s="21" t="s">
        <v>1931</v>
      </c>
    </row>
    <row r="5" customFormat="false" ht="30" hidden="false" customHeight="true" outlineLevel="0" collapsed="false">
      <c r="A5" s="22" t="s">
        <v>1932</v>
      </c>
      <c r="B5" s="38" t="s">
        <v>1933</v>
      </c>
      <c r="C5" s="39" t="n">
        <f aca="false">AVERAGE(Entrées!$C$92,Entrées!$C$93)/100</f>
        <v>0.055</v>
      </c>
      <c r="D5" s="39" t="n">
        <f aca="false">Entrées!$C$92/100</f>
        <v>0.05</v>
      </c>
      <c r="E5" s="39" t="n">
        <f aca="false">Entrées!$C$93/100</f>
        <v>0.06</v>
      </c>
      <c r="F5" s="5" t="s">
        <v>299</v>
      </c>
      <c r="G5" s="38" t="s">
        <v>1934</v>
      </c>
      <c r="H5" s="24" t="s">
        <v>1935</v>
      </c>
      <c r="I5" s="40" t="s">
        <v>1926</v>
      </c>
      <c r="J5" s="41" t="n">
        <f aca="false">IF(AND(I5="Bas",ISNUMBER(D5)),D5,IF(AND(I5="Haut",ISNUMBER(E5)),E5,C5))</f>
        <v>0.055</v>
      </c>
    </row>
    <row r="6" customFormat="false" ht="30" hidden="false" customHeight="true" outlineLevel="0" collapsed="false">
      <c r="A6" s="22" t="s">
        <v>1936</v>
      </c>
      <c r="B6" s="38" t="s">
        <v>1937</v>
      </c>
      <c r="C6" s="42" t="n">
        <f aca="false">C5</f>
        <v>0.055</v>
      </c>
      <c r="D6" s="43" t="n">
        <v>0.04</v>
      </c>
      <c r="E6" s="43" t="n">
        <v>0.07</v>
      </c>
      <c r="F6" s="5" t="s">
        <v>299</v>
      </c>
      <c r="G6" s="38" t="s">
        <v>1938</v>
      </c>
      <c r="H6" s="24" t="s">
        <v>1939</v>
      </c>
      <c r="I6" s="40" t="s">
        <v>1926</v>
      </c>
      <c r="J6" s="41" t="n">
        <f aca="false">IF(AND(I6="Bas",ISNUMBER(D6)),D6,IF(AND(I6="Haut",ISNUMBER(E6)),E6,C6))</f>
        <v>0.055</v>
      </c>
    </row>
    <row r="7" customFormat="false" ht="30" hidden="false" customHeight="true" outlineLevel="0" collapsed="false">
      <c r="A7" s="22" t="s">
        <v>1940</v>
      </c>
      <c r="B7" s="38" t="s">
        <v>1941</v>
      </c>
      <c r="C7" s="44" t="n">
        <f aca="false">Entrées!$C$56</f>
        <v>200</v>
      </c>
      <c r="D7" s="44" t="n">
        <f aca="false">Entrées!$C$56*0.9</f>
        <v>180</v>
      </c>
      <c r="E7" s="44" t="n">
        <f aca="false">Entrées!$C$56*1.1</f>
        <v>220</v>
      </c>
      <c r="F7" s="5" t="s">
        <v>249</v>
      </c>
      <c r="G7" s="38" t="s">
        <v>1942</v>
      </c>
      <c r="H7" s="24" t="s">
        <v>290</v>
      </c>
      <c r="I7" s="40" t="s">
        <v>1926</v>
      </c>
      <c r="J7" s="45" t="n">
        <f aca="false">IF(AND(I7="Bas",ISNUMBER(D7)),D7,IF(AND(I7="Haut",ISNUMBER(E7)),E7,C7))</f>
        <v>200</v>
      </c>
    </row>
    <row r="8" customFormat="false" ht="30" hidden="false" customHeight="true" outlineLevel="0" collapsed="false">
      <c r="A8" s="22" t="s">
        <v>1943</v>
      </c>
      <c r="B8" s="38" t="s">
        <v>1944</v>
      </c>
      <c r="C8" s="43" t="n">
        <v>0.25</v>
      </c>
      <c r="D8" s="43" t="n">
        <v>0</v>
      </c>
      <c r="E8" s="43" t="n">
        <v>0.5</v>
      </c>
      <c r="F8" s="5" t="s">
        <v>299</v>
      </c>
      <c r="G8" s="38" t="s">
        <v>1945</v>
      </c>
      <c r="H8" s="24" t="s">
        <v>282</v>
      </c>
      <c r="I8" s="40" t="s">
        <v>1926</v>
      </c>
      <c r="J8" s="41" t="n">
        <f aca="false">IF(AND(I8="Bas",ISNUMBER(D8)),D8,IF(AND(I8="Haut",ISNUMBER(E8)),E8,C8))</f>
        <v>0.25</v>
      </c>
    </row>
    <row r="9" customFormat="false" ht="30" hidden="false" customHeight="true" outlineLevel="0" collapsed="false">
      <c r="A9" s="22" t="s">
        <v>1946</v>
      </c>
      <c r="B9" s="38" t="s">
        <v>1947</v>
      </c>
      <c r="C9" s="44" t="n">
        <f aca="false">Entrées!$C$34-Entrées!$C$75</f>
        <v>1629</v>
      </c>
      <c r="D9" s="46" t="n">
        <f aca="false">C9*0.8</f>
        <v>1303.2</v>
      </c>
      <c r="E9" s="46" t="n">
        <f aca="false">C9*1.1</f>
        <v>1791.9</v>
      </c>
      <c r="F9" s="5" t="s">
        <v>103</v>
      </c>
      <c r="G9" s="38" t="s">
        <v>1948</v>
      </c>
      <c r="H9" s="24" t="s">
        <v>1949</v>
      </c>
      <c r="I9" s="40" t="s">
        <v>1926</v>
      </c>
      <c r="J9" s="45" t="n">
        <f aca="false">IF(AND(I9="Bas",ISNUMBER(D9)),D9,IF(AND(I9="Haut",ISNUMBER(E9)),E9,C9))</f>
        <v>1629</v>
      </c>
    </row>
    <row r="10" customFormat="false" ht="30" hidden="false" customHeight="true" outlineLevel="0" collapsed="false">
      <c r="A10" s="22" t="s">
        <v>1950</v>
      </c>
      <c r="B10" s="38" t="s">
        <v>1951</v>
      </c>
      <c r="C10" s="39" t="n">
        <f aca="false">AVERAGE(Entrées!$C$18/Entrées!$C$22,Entrées!$C$34/Entrées!$C$8)</f>
        <v>0.168696364464616</v>
      </c>
      <c r="D10" s="43" t="n">
        <v>0.14</v>
      </c>
      <c r="E10" s="43" t="n">
        <v>0.19</v>
      </c>
      <c r="F10" s="5" t="s">
        <v>299</v>
      </c>
      <c r="G10" s="38" t="s">
        <v>1952</v>
      </c>
      <c r="H10" s="24" t="s">
        <v>1953</v>
      </c>
      <c r="I10" s="40" t="s">
        <v>1926</v>
      </c>
      <c r="J10" s="41" t="n">
        <f aca="false">IF(AND(I10="Bas",ISNUMBER(D10)),D10,IF(AND(I10="Haut",ISNUMBER(E10)),E10,C10))</f>
        <v>0.168696364464616</v>
      </c>
    </row>
    <row r="11" customFormat="false" ht="30" hidden="false" customHeight="true" outlineLevel="0" collapsed="false">
      <c r="A11" s="22" t="s">
        <v>1954</v>
      </c>
      <c r="B11" s="38" t="s">
        <v>1955</v>
      </c>
      <c r="C11" s="39" t="n">
        <f aca="false">Entrées!$C$94/100</f>
        <v>0.08</v>
      </c>
      <c r="D11" s="43" t="n">
        <v>0.04</v>
      </c>
      <c r="E11" s="43" t="n">
        <v>0.12</v>
      </c>
      <c r="F11" s="5" t="s">
        <v>299</v>
      </c>
      <c r="G11" s="38" t="s">
        <v>1956</v>
      </c>
      <c r="H11" s="24" t="s">
        <v>402</v>
      </c>
      <c r="I11" s="40" t="s">
        <v>1926</v>
      </c>
      <c r="J11" s="41" t="n">
        <f aca="false">IF(AND(I11="Bas",ISNUMBER(D11)),D11,IF(AND(I11="Haut",ISNUMBER(E11)),E11,C11))</f>
        <v>0.08</v>
      </c>
    </row>
    <row r="12" customFormat="false" ht="30" hidden="false" customHeight="true" outlineLevel="0" collapsed="false">
      <c r="A12" s="22" t="s">
        <v>1957</v>
      </c>
      <c r="B12" s="38" t="s">
        <v>1958</v>
      </c>
      <c r="C12" s="43" t="n">
        <v>0.5</v>
      </c>
      <c r="D12" s="43" t="n">
        <v>0</v>
      </c>
      <c r="E12" s="43" t="n">
        <v>1</v>
      </c>
      <c r="F12" s="5" t="s">
        <v>299</v>
      </c>
      <c r="G12" s="38" t="s">
        <v>1959</v>
      </c>
      <c r="H12" s="24" t="s">
        <v>218</v>
      </c>
      <c r="I12" s="40" t="s">
        <v>1926</v>
      </c>
      <c r="J12" s="41" t="n">
        <f aca="false">IF(AND(I12="Bas",ISNUMBER(D12)),D12,IF(AND(I12="Haut",ISNUMBER(E12)),E12,C12))</f>
        <v>0.5</v>
      </c>
    </row>
    <row r="13" customFormat="false" ht="30" hidden="false" customHeight="true" outlineLevel="0" collapsed="false">
      <c r="A13" s="22" t="s">
        <v>1960</v>
      </c>
      <c r="B13" s="38" t="s">
        <v>1961</v>
      </c>
      <c r="C13" s="43" t="n">
        <v>0.5</v>
      </c>
      <c r="D13" s="43" t="n">
        <v>0</v>
      </c>
      <c r="E13" s="43" t="n">
        <v>1</v>
      </c>
      <c r="F13" s="5" t="s">
        <v>299</v>
      </c>
      <c r="G13" s="38" t="s">
        <v>1962</v>
      </c>
      <c r="H13" s="24" t="s">
        <v>197</v>
      </c>
      <c r="I13" s="40" t="s">
        <v>1926</v>
      </c>
      <c r="J13" s="41" t="n">
        <f aca="false">IF(AND(I13="Bas",ISNUMBER(D13)),D13,IF(AND(I13="Haut",ISNUMBER(E13)),E13,C13))</f>
        <v>0.5</v>
      </c>
    </row>
    <row r="14" customFormat="false" ht="30" hidden="false" customHeight="true" outlineLevel="0" collapsed="false">
      <c r="A14" s="22" t="s">
        <v>1963</v>
      </c>
      <c r="B14" s="38" t="s">
        <v>1964</v>
      </c>
      <c r="C14" s="47" t="n">
        <v>10</v>
      </c>
      <c r="D14" s="47" t="n">
        <v>8</v>
      </c>
      <c r="E14" s="47" t="n">
        <v>12</v>
      </c>
      <c r="F14" s="5" t="s">
        <v>133</v>
      </c>
      <c r="G14" s="38" t="s">
        <v>1965</v>
      </c>
      <c r="H14" s="24" t="s">
        <v>1939</v>
      </c>
      <c r="I14" s="40" t="s">
        <v>1926</v>
      </c>
      <c r="J14" s="48" t="n">
        <f aca="false">IF(AND(I14="Bas",ISNUMBER(D14)),D14,IF(AND(I14="Haut",ISNUMBER(E14)),E14,C14))</f>
        <v>10</v>
      </c>
    </row>
    <row r="15" customFormat="false" ht="30" hidden="false" customHeight="true" outlineLevel="0" collapsed="false">
      <c r="A15" s="22" t="s">
        <v>1966</v>
      </c>
      <c r="B15" s="38" t="s">
        <v>1967</v>
      </c>
      <c r="C15" s="49" t="n">
        <f aca="false">Entrées!$C$10</f>
        <v>0.5</v>
      </c>
      <c r="D15" s="50" t="n">
        <v>0</v>
      </c>
      <c r="E15" s="49" t="n">
        <f aca="false">Entrées!$C$26</f>
        <v>1</v>
      </c>
      <c r="F15" s="5" t="s">
        <v>130</v>
      </c>
      <c r="G15" s="38" t="s">
        <v>1968</v>
      </c>
      <c r="H15" s="24" t="s">
        <v>1969</v>
      </c>
      <c r="I15" s="40" t="s">
        <v>1926</v>
      </c>
      <c r="J15" s="51" t="n">
        <f aca="false">IF(AND(I15="Bas",ISNUMBER(D15)),D15,IF(AND(I15="Haut",ISNUMBER(E15)),E15,C15))</f>
        <v>0.5</v>
      </c>
    </row>
    <row r="16" customFormat="false" ht="30" hidden="false" customHeight="true" outlineLevel="0" collapsed="false">
      <c r="A16" s="22" t="s">
        <v>1970</v>
      </c>
      <c r="B16" s="38" t="s">
        <v>1971</v>
      </c>
      <c r="C16" s="39" t="n">
        <f aca="false">Entrées!$C$249/Entrées!$C$8</f>
        <v>0.731914893617021</v>
      </c>
      <c r="D16" s="42" t="n">
        <f aca="false">C16*0.95</f>
        <v>0.69531914893617</v>
      </c>
      <c r="E16" s="42" t="n">
        <f aca="false">C16*1.03</f>
        <v>0.753872340425532</v>
      </c>
      <c r="F16" s="5" t="s">
        <v>299</v>
      </c>
      <c r="G16" s="38" t="s">
        <v>1972</v>
      </c>
      <c r="H16" s="24" t="s">
        <v>1973</v>
      </c>
      <c r="I16" s="40" t="s">
        <v>1926</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1974</v>
      </c>
      <c r="B18" s="2"/>
      <c r="C18" s="2"/>
      <c r="D18" s="2"/>
      <c r="E18" s="2"/>
      <c r="F18" s="2"/>
      <c r="G18" s="2"/>
      <c r="H18" s="2"/>
      <c r="I18" s="2"/>
      <c r="J18" s="2"/>
    </row>
    <row r="19" customFormat="false" ht="30" hidden="false" customHeight="true" outlineLevel="0" collapsed="false">
      <c r="A19" s="22" t="s">
        <v>1975</v>
      </c>
      <c r="B19" s="38" t="s">
        <v>1976</v>
      </c>
      <c r="C19" s="52" t="n">
        <f aca="false">Entrées!$C$45/Entrées!$C$46</f>
        <v>1.17584579071597</v>
      </c>
      <c r="D19" s="53" t="s">
        <v>1939</v>
      </c>
      <c r="E19" s="53" t="s">
        <v>1939</v>
      </c>
      <c r="F19" s="5" t="s">
        <v>1977</v>
      </c>
      <c r="G19" s="38" t="s">
        <v>1978</v>
      </c>
      <c r="H19" s="24" t="s">
        <v>1979</v>
      </c>
      <c r="I19" s="40" t="s">
        <v>1926</v>
      </c>
      <c r="J19" s="54" t="n">
        <f aca="false">IF(AND(I19="Bas",ISNUMBER(D19)),D19,IF(AND(I19="Haut",ISNUMBER(E19)),E19,C19))</f>
        <v>1.17584579071597</v>
      </c>
    </row>
    <row r="20" customFormat="false" ht="30" hidden="false" customHeight="true" outlineLevel="0" collapsed="false">
      <c r="A20" s="22" t="s">
        <v>1980</v>
      </c>
      <c r="B20" s="38" t="s">
        <v>1981</v>
      </c>
      <c r="C20" s="44" t="n">
        <f aca="false">-Entrées!$C$77-Entrées!$C$79</f>
        <v>295</v>
      </c>
      <c r="D20" s="53" t="s">
        <v>1939</v>
      </c>
      <c r="E20" s="53" t="s">
        <v>1939</v>
      </c>
      <c r="F20" s="5" t="s">
        <v>103</v>
      </c>
      <c r="G20" s="38" t="s">
        <v>1982</v>
      </c>
      <c r="H20" s="24" t="s">
        <v>1983</v>
      </c>
      <c r="I20" s="40" t="s">
        <v>1926</v>
      </c>
      <c r="J20" s="45" t="n">
        <f aca="false">IF(AND(I20="Bas",ISNUMBER(D20)),D20,IF(AND(I20="Haut",ISNUMBER(E20)),E20,C20))</f>
        <v>295</v>
      </c>
    </row>
    <row r="21" customFormat="false" ht="30" hidden="false" customHeight="true" outlineLevel="0" collapsed="false">
      <c r="A21" s="22" t="s">
        <v>1984</v>
      </c>
      <c r="B21" s="38" t="s">
        <v>1985</v>
      </c>
      <c r="C21" s="55" t="n">
        <f aca="false">Entrées!$C$53</f>
        <v>9.8</v>
      </c>
      <c r="D21" s="55" t="n">
        <f aca="false">Entrées!$C$450</f>
        <v>7.4</v>
      </c>
      <c r="E21" s="55" t="n">
        <f aca="false">Entrées!$C$478</f>
        <v>11</v>
      </c>
      <c r="F21" s="5" t="s">
        <v>133</v>
      </c>
      <c r="G21" s="38" t="s">
        <v>1986</v>
      </c>
      <c r="H21" s="24" t="s">
        <v>278</v>
      </c>
      <c r="I21" s="40" t="s">
        <v>1926</v>
      </c>
      <c r="J21" s="48" t="n">
        <f aca="false">IF(AND(I21="Bas",ISNUMBER(D21)),D21,IF(AND(I21="Haut",ISNUMBER(E21)),E21,C21))</f>
        <v>9.8</v>
      </c>
    </row>
    <row r="22" customFormat="false" ht="30" hidden="false" customHeight="true" outlineLevel="0" collapsed="false">
      <c r="A22" s="22" t="s">
        <v>1987</v>
      </c>
      <c r="B22" s="38" t="s">
        <v>1988</v>
      </c>
      <c r="C22" s="50" t="n">
        <v>0</v>
      </c>
      <c r="D22" s="53" t="s">
        <v>1939</v>
      </c>
      <c r="E22" s="53" t="s">
        <v>1939</v>
      </c>
      <c r="F22" s="5" t="s">
        <v>130</v>
      </c>
      <c r="G22" s="38" t="s">
        <v>1989</v>
      </c>
      <c r="H22" s="24" t="s">
        <v>1939</v>
      </c>
      <c r="I22" s="40" t="s">
        <v>1926</v>
      </c>
      <c r="J22" s="51" t="n">
        <f aca="false">IF(AND(I22="Bas",ISNUMBER(D22)),D22,IF(AND(I22="Haut",ISNUMBER(E22)),E22,C22))</f>
        <v>0</v>
      </c>
    </row>
    <row r="23" customFormat="false" ht="30" hidden="false" customHeight="true" outlineLevel="0" collapsed="false">
      <c r="A23" s="22" t="s">
        <v>1990</v>
      </c>
      <c r="B23" s="38" t="s">
        <v>1991</v>
      </c>
      <c r="C23" s="56" t="n">
        <v>0</v>
      </c>
      <c r="D23" s="53" t="s">
        <v>1939</v>
      </c>
      <c r="E23" s="53" t="s">
        <v>1939</v>
      </c>
      <c r="F23" s="5" t="s">
        <v>103</v>
      </c>
      <c r="G23" s="38" t="s">
        <v>1992</v>
      </c>
      <c r="H23" s="24" t="s">
        <v>1939</v>
      </c>
      <c r="I23" s="40" t="s">
        <v>1926</v>
      </c>
      <c r="J23" s="45" t="n">
        <f aca="false">IF(AND(I23="Bas",ISNUMBER(D23)),D23,IF(AND(I23="Haut",ISNUMBER(E23)),E23,C23))</f>
        <v>0</v>
      </c>
    </row>
    <row r="24" customFormat="false" ht="30" hidden="false" customHeight="true" outlineLevel="0" collapsed="false">
      <c r="A24" s="22" t="s">
        <v>1993</v>
      </c>
      <c r="B24" s="38" t="s">
        <v>1994</v>
      </c>
      <c r="C24" s="57" t="n">
        <v>7</v>
      </c>
      <c r="D24" s="53" t="s">
        <v>1939</v>
      </c>
      <c r="E24" s="53" t="s">
        <v>1939</v>
      </c>
      <c r="F24" s="5" t="s">
        <v>1995</v>
      </c>
      <c r="G24" s="38" t="s">
        <v>1996</v>
      </c>
      <c r="H24" s="24" t="s">
        <v>247</v>
      </c>
      <c r="I24" s="40" t="s">
        <v>1926</v>
      </c>
      <c r="J24" s="58" t="n">
        <f aca="false">IF(AND(I24="Bas",ISNUMBER(D24)),D24,IF(AND(I24="Haut",ISNUMBER(E24)),E24,C24))</f>
        <v>7</v>
      </c>
    </row>
    <row r="25" customFormat="false" ht="30" hidden="false" customHeight="true" outlineLevel="0" collapsed="false">
      <c r="A25" s="22" t="s">
        <v>1997</v>
      </c>
      <c r="B25" s="38" t="s">
        <v>1998</v>
      </c>
      <c r="C25" s="59" t="n">
        <f aca="false">Entrées!$C$55/4</f>
        <v>22.5</v>
      </c>
      <c r="D25" s="53" t="s">
        <v>1939</v>
      </c>
      <c r="E25" s="53" t="s">
        <v>1939</v>
      </c>
      <c r="F25" s="5" t="s">
        <v>249</v>
      </c>
      <c r="G25" s="38" t="s">
        <v>1999</v>
      </c>
      <c r="H25" s="24" t="s">
        <v>286</v>
      </c>
      <c r="I25" s="40" t="s">
        <v>1926</v>
      </c>
      <c r="J25" s="60" t="n">
        <f aca="false">IF(AND(I25="Bas",ISNUMBER(D25)),D25,IF(AND(I25="Haut",ISNUMBER(E25)),E25,C25))</f>
        <v>22.5</v>
      </c>
    </row>
    <row r="26" customFormat="false" ht="30" hidden="false" customHeight="true" outlineLevel="0" collapsed="false">
      <c r="A26" s="22" t="s">
        <v>2000</v>
      </c>
      <c r="B26" s="38" t="s">
        <v>2001</v>
      </c>
      <c r="C26" s="55" t="n">
        <f aca="false">Entrées!$C$61</f>
        <v>3</v>
      </c>
      <c r="D26" s="53" t="s">
        <v>1939</v>
      </c>
      <c r="E26" s="53" t="s">
        <v>1939</v>
      </c>
      <c r="F26" s="5" t="s">
        <v>133</v>
      </c>
      <c r="G26" s="38" t="s">
        <v>2002</v>
      </c>
      <c r="H26" s="24" t="s">
        <v>2003</v>
      </c>
      <c r="I26" s="40" t="s">
        <v>1926</v>
      </c>
      <c r="J26" s="48" t="n">
        <f aca="false">IF(AND(I26="Bas",ISNUMBER(D26)),D26,IF(AND(I26="Haut",ISNUMBER(E26)),E26,C26))</f>
        <v>3</v>
      </c>
    </row>
    <row r="27" customFormat="false" ht="30" hidden="false" customHeight="true" outlineLevel="0" collapsed="false">
      <c r="A27" s="22" t="s">
        <v>2004</v>
      </c>
      <c r="B27" s="38" t="s">
        <v>2005</v>
      </c>
      <c r="C27" s="43" t="n">
        <v>0.5</v>
      </c>
      <c r="D27" s="53" t="s">
        <v>1939</v>
      </c>
      <c r="E27" s="53" t="s">
        <v>1939</v>
      </c>
      <c r="F27" s="5" t="s">
        <v>299</v>
      </c>
      <c r="G27" s="38" t="s">
        <v>2006</v>
      </c>
      <c r="H27" s="24" t="s">
        <v>145</v>
      </c>
      <c r="I27" s="40" t="s">
        <v>1926</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2007</v>
      </c>
      <c r="B29" s="2"/>
      <c r="C29" s="2"/>
      <c r="D29" s="2"/>
      <c r="E29" s="2"/>
      <c r="F29" s="2"/>
      <c r="G29" s="2"/>
      <c r="H29" s="2"/>
      <c r="I29" s="3" t="s">
        <v>2008</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2009</v>
      </c>
      <c r="B1" s="2"/>
      <c r="C1" s="2"/>
      <c r="D1" s="2"/>
      <c r="E1" s="2"/>
      <c r="F1" s="2"/>
      <c r="G1" s="2"/>
      <c r="H1" s="2"/>
    </row>
    <row r="2" customFormat="false" ht="15" hidden="false" customHeight="false" outlineLevel="0" collapsed="false">
      <c r="A2" s="3" t="s">
        <v>2010</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2011</v>
      </c>
      <c r="F4" s="2"/>
      <c r="G4" s="2"/>
      <c r="H4" s="2"/>
    </row>
    <row r="5" customFormat="false" ht="15" hidden="false" customHeight="false" outlineLevel="0" collapsed="false">
      <c r="A5" s="22" t="s">
        <v>2012</v>
      </c>
      <c r="B5" s="22" t="s">
        <v>2013</v>
      </c>
      <c r="C5" s="2"/>
      <c r="D5" s="2"/>
      <c r="E5" s="2"/>
      <c r="F5" s="2"/>
      <c r="G5" s="2"/>
      <c r="H5" s="2"/>
    </row>
    <row r="6" customFormat="false" ht="15" hidden="false" customHeight="false" outlineLevel="0" collapsed="false">
      <c r="A6" s="2"/>
      <c r="B6" s="5" t="s">
        <v>2014</v>
      </c>
      <c r="C6" s="61" t="n">
        <f aca="false">Entrées!$C$28</f>
        <v>17819</v>
      </c>
      <c r="D6" s="24" t="s">
        <v>103</v>
      </c>
      <c r="E6" s="24" t="s">
        <v>192</v>
      </c>
      <c r="F6" s="2"/>
      <c r="G6" s="2"/>
      <c r="H6" s="2"/>
    </row>
    <row r="7" customFormat="false" ht="15" hidden="false" customHeight="false" outlineLevel="0" collapsed="false">
      <c r="A7" s="2"/>
      <c r="B7" s="5" t="s">
        <v>2015</v>
      </c>
      <c r="C7" s="61" t="n">
        <f aca="false">Entrées!$C$22</f>
        <v>6788</v>
      </c>
      <c r="D7" s="24" t="s">
        <v>103</v>
      </c>
      <c r="E7" s="24" t="s">
        <v>177</v>
      </c>
      <c r="F7" s="2"/>
      <c r="G7" s="2"/>
      <c r="H7" s="2"/>
    </row>
    <row r="8" customFormat="false" ht="15" hidden="false" customHeight="false" outlineLevel="0" collapsed="false">
      <c r="A8" s="2"/>
      <c r="B8" s="22" t="s">
        <v>2016</v>
      </c>
      <c r="C8" s="62" t="n">
        <f aca="false">C6/C7</f>
        <v>2.62507365939894</v>
      </c>
      <c r="D8" s="24" t="s">
        <v>133</v>
      </c>
      <c r="E8" s="24" t="s">
        <v>2017</v>
      </c>
      <c r="F8" s="2"/>
      <c r="G8" s="2"/>
      <c r="H8" s="2"/>
    </row>
    <row r="9" customFormat="false" ht="15" hidden="false" customHeight="false" outlineLevel="0" collapsed="false">
      <c r="A9" s="2"/>
      <c r="B9" s="5" t="s">
        <v>2018</v>
      </c>
      <c r="C9" s="63" t="n">
        <f aca="false">Entrées!$C$25</f>
        <v>2.63</v>
      </c>
      <c r="D9" s="24" t="s">
        <v>133</v>
      </c>
      <c r="E9" s="24" t="s">
        <v>184</v>
      </c>
      <c r="F9" s="2"/>
      <c r="G9" s="2"/>
      <c r="H9" s="2"/>
    </row>
    <row r="10" customFormat="false" ht="15" hidden="false" customHeight="false" outlineLevel="0" collapsed="false">
      <c r="A10" s="2"/>
      <c r="B10" s="5" t="s">
        <v>2019</v>
      </c>
      <c r="C10" s="61" t="n">
        <f aca="false">Entrées!$C$13</f>
        <v>19657</v>
      </c>
      <c r="D10" s="24" t="s">
        <v>103</v>
      </c>
      <c r="E10" s="24" t="s">
        <v>138</v>
      </c>
      <c r="F10" s="2"/>
      <c r="G10" s="2"/>
      <c r="H10" s="2"/>
    </row>
    <row r="11" customFormat="false" ht="15" hidden="false" customHeight="false" outlineLevel="0" collapsed="false">
      <c r="A11" s="2"/>
      <c r="B11" s="5" t="s">
        <v>2020</v>
      </c>
      <c r="C11" s="61" t="n">
        <f aca="false">Entrées!$C$8</f>
        <v>7050</v>
      </c>
      <c r="D11" s="24" t="s">
        <v>103</v>
      </c>
      <c r="E11" s="24" t="s">
        <v>119</v>
      </c>
      <c r="F11" s="2"/>
      <c r="G11" s="2"/>
      <c r="H11" s="2"/>
    </row>
    <row r="12" customFormat="false" ht="15" hidden="false" customHeight="false" outlineLevel="0" collapsed="false">
      <c r="A12" s="2"/>
      <c r="B12" s="22" t="s">
        <v>2021</v>
      </c>
      <c r="C12" s="62" t="n">
        <f aca="false">C10/C11</f>
        <v>2.78822695035461</v>
      </c>
      <c r="D12" s="24" t="s">
        <v>133</v>
      </c>
      <c r="E12" s="24" t="s">
        <v>2017</v>
      </c>
      <c r="F12" s="2"/>
      <c r="G12" s="2"/>
      <c r="H12" s="2"/>
    </row>
    <row r="13" customFormat="false" ht="15" hidden="false" customHeight="false" outlineLevel="0" collapsed="false">
      <c r="A13" s="2"/>
      <c r="B13" s="5" t="s">
        <v>2022</v>
      </c>
      <c r="C13" s="63" t="n">
        <f aca="false">Entrées!$C$21</f>
        <v>2.79</v>
      </c>
      <c r="D13" s="24" t="s">
        <v>133</v>
      </c>
      <c r="E13" s="24" t="s">
        <v>174</v>
      </c>
      <c r="F13" s="2"/>
      <c r="G13" s="2"/>
      <c r="H13" s="2"/>
    </row>
    <row r="14" customFormat="false" ht="15" hidden="false" customHeight="false" outlineLevel="0" collapsed="false">
      <c r="A14" s="2"/>
      <c r="B14" s="22" t="s">
        <v>2023</v>
      </c>
      <c r="C14" s="45" t="n">
        <f aca="false">Hypothèses!$J$26*C11-C10</f>
        <v>1493</v>
      </c>
      <c r="D14" s="24" t="s">
        <v>103</v>
      </c>
      <c r="E14" s="24" t="s">
        <v>2024</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2025</v>
      </c>
      <c r="B16" s="22" t="s">
        <v>2026</v>
      </c>
      <c r="C16" s="2"/>
      <c r="D16" s="2"/>
      <c r="E16" s="2"/>
      <c r="F16" s="2"/>
      <c r="G16" s="2"/>
      <c r="H16" s="2"/>
    </row>
    <row r="17" customFormat="false" ht="15" hidden="false" customHeight="false" outlineLevel="0" collapsed="false">
      <c r="A17" s="2"/>
      <c r="B17" s="5" t="s">
        <v>2027</v>
      </c>
      <c r="C17" s="61" t="n">
        <f aca="false">Entrées!$C$16</f>
        <v>24548</v>
      </c>
      <c r="D17" s="24" t="s">
        <v>103</v>
      </c>
      <c r="E17" s="24" t="s">
        <v>151</v>
      </c>
      <c r="F17" s="2"/>
      <c r="G17" s="2"/>
      <c r="H17" s="2"/>
    </row>
    <row r="18" customFormat="false" ht="15" hidden="false" customHeight="false" outlineLevel="0" collapsed="false">
      <c r="A18" s="2"/>
      <c r="B18" s="5" t="s">
        <v>2028</v>
      </c>
      <c r="C18" s="64" t="n">
        <f aca="false">Entrées!$C$8-Entrées!$C$24+Entrées!$C$6</f>
        <v>7235</v>
      </c>
      <c r="D18" s="24" t="s">
        <v>103</v>
      </c>
      <c r="E18" s="24" t="s">
        <v>2029</v>
      </c>
      <c r="F18" s="2"/>
      <c r="G18" s="2"/>
      <c r="H18" s="2"/>
    </row>
    <row r="19" customFormat="false" ht="15" hidden="false" customHeight="false" outlineLevel="0" collapsed="false">
      <c r="A19" s="2"/>
      <c r="B19" s="22" t="s">
        <v>2030</v>
      </c>
      <c r="C19" s="62" t="n">
        <f aca="false">C17/C18</f>
        <v>3.39295093296475</v>
      </c>
      <c r="D19" s="24" t="s">
        <v>133</v>
      </c>
      <c r="E19" s="24" t="s">
        <v>2031</v>
      </c>
      <c r="F19" s="2"/>
      <c r="G19" s="2"/>
      <c r="H19" s="2"/>
    </row>
    <row r="20" customFormat="false" ht="15" hidden="false" customHeight="false" outlineLevel="0" collapsed="false">
      <c r="A20" s="2"/>
      <c r="B20" s="5" t="s">
        <v>2032</v>
      </c>
      <c r="C20" s="64" t="n">
        <f aca="false">Hypothèses!$J$7*11/12/Hypothèses!$J$19</f>
        <v>155.916136946582</v>
      </c>
      <c r="D20" s="24" t="s">
        <v>103</v>
      </c>
      <c r="E20" s="24" t="s">
        <v>2033</v>
      </c>
      <c r="F20" s="2"/>
      <c r="G20" s="2"/>
      <c r="H20" s="2"/>
    </row>
    <row r="21" customFormat="false" ht="15" hidden="false" customHeight="false" outlineLevel="0" collapsed="false">
      <c r="A21" s="2"/>
      <c r="B21" s="22" t="s">
        <v>2034</v>
      </c>
      <c r="C21" s="62" t="n">
        <f aca="false">C17/(C18+C20)</f>
        <v>3.32137444738232</v>
      </c>
      <c r="D21" s="24" t="s">
        <v>133</v>
      </c>
      <c r="E21" s="24"/>
      <c r="F21" s="2"/>
      <c r="G21" s="2"/>
      <c r="H21" s="2"/>
    </row>
    <row r="22" customFormat="false" ht="15" hidden="false" customHeight="false" outlineLevel="0" collapsed="false">
      <c r="A22" s="2"/>
      <c r="B22" s="5" t="s">
        <v>2035</v>
      </c>
      <c r="C22" s="64" t="n">
        <f aca="false">Entrées!$C$76-Entrées!$C$13</f>
        <v>1107</v>
      </c>
      <c r="D22" s="24" t="s">
        <v>103</v>
      </c>
      <c r="E22" s="24" t="s">
        <v>2036</v>
      </c>
      <c r="F22" s="2"/>
      <c r="G22" s="2"/>
      <c r="H22" s="2"/>
    </row>
    <row r="23" customFormat="false" ht="15" hidden="false" customHeight="false" outlineLevel="0" collapsed="false">
      <c r="A23" s="2"/>
      <c r="B23" s="22" t="s">
        <v>2037</v>
      </c>
      <c r="C23" s="62" t="n">
        <f aca="false">(C17-C22)/(C18+C20)</f>
        <v>3.17159599238589</v>
      </c>
      <c r="D23" s="24" t="s">
        <v>133</v>
      </c>
      <c r="E23" s="24" t="s">
        <v>2038</v>
      </c>
      <c r="F23" s="2"/>
      <c r="G23" s="2"/>
      <c r="H23" s="2"/>
    </row>
    <row r="24" customFormat="false" ht="15" hidden="false" customHeight="false" outlineLevel="0" collapsed="false">
      <c r="A24" s="2"/>
      <c r="B24" s="5" t="s">
        <v>2039</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2040</v>
      </c>
      <c r="B26" s="22" t="s">
        <v>2041</v>
      </c>
      <c r="C26" s="2"/>
      <c r="D26" s="2"/>
      <c r="E26" s="2"/>
      <c r="F26" s="2"/>
      <c r="G26" s="2"/>
      <c r="H26" s="2"/>
    </row>
    <row r="27" customFormat="false" ht="15" hidden="false" customHeight="false" outlineLevel="0" collapsed="false">
      <c r="A27" s="2"/>
      <c r="B27" s="5" t="s">
        <v>2042</v>
      </c>
      <c r="C27" s="65" t="n">
        <f aca="false">Entrées!$C$132</f>
        <v>6.5</v>
      </c>
      <c r="D27" s="24" t="s">
        <v>512</v>
      </c>
      <c r="E27" s="24" t="s">
        <v>510</v>
      </c>
      <c r="F27" s="2"/>
      <c r="G27" s="2"/>
      <c r="H27" s="2"/>
    </row>
    <row r="28" customFormat="false" ht="15" hidden="false" customHeight="false" outlineLevel="0" collapsed="false">
      <c r="A28" s="2"/>
      <c r="B28" s="5" t="s">
        <v>2042</v>
      </c>
      <c r="C28" s="65" t="n">
        <f aca="false">Entrées!$C$133</f>
        <v>7.1</v>
      </c>
      <c r="D28" s="24" t="s">
        <v>512</v>
      </c>
      <c r="E28" s="24" t="s">
        <v>514</v>
      </c>
      <c r="F28" s="2"/>
      <c r="G28" s="2"/>
      <c r="H28" s="2"/>
    </row>
    <row r="29" customFormat="false" ht="15" hidden="false" customHeight="false" outlineLevel="0" collapsed="false">
      <c r="A29" s="2"/>
      <c r="B29" s="5" t="s">
        <v>2043</v>
      </c>
      <c r="C29" s="66" t="n">
        <f aca="false">Entrées!$C$134/100</f>
        <v>0.85</v>
      </c>
      <c r="D29" s="24" t="s">
        <v>299</v>
      </c>
      <c r="E29" s="24" t="s">
        <v>516</v>
      </c>
      <c r="F29" s="2"/>
      <c r="G29" s="2"/>
      <c r="H29" s="2"/>
    </row>
    <row r="30" customFormat="false" ht="15" hidden="false" customHeight="false" outlineLevel="0" collapsed="false">
      <c r="A30" s="2"/>
      <c r="B30" s="22" t="s">
        <v>2044</v>
      </c>
      <c r="C30" s="45" t="n">
        <f aca="false">Hypothèses!$J$26*Entrées!$C$17*1000</f>
        <v>24000</v>
      </c>
      <c r="D30" s="24" t="s">
        <v>103</v>
      </c>
      <c r="E30" s="24" t="s">
        <v>2045</v>
      </c>
      <c r="F30" s="2"/>
      <c r="G30" s="2"/>
      <c r="H30" s="2"/>
    </row>
    <row r="31" customFormat="false" ht="15" hidden="false" customHeight="false" outlineLevel="0" collapsed="false">
      <c r="A31" s="2"/>
      <c r="B31" s="22" t="s">
        <v>2046</v>
      </c>
      <c r="C31" s="45" t="n">
        <f aca="false">Hypothèses!$J$26*Trajectoire!$D$41</f>
        <v>23944.29152183</v>
      </c>
      <c r="D31" s="24" t="s">
        <v>103</v>
      </c>
      <c r="E31" s="24" t="s">
        <v>2047</v>
      </c>
      <c r="F31" s="2"/>
      <c r="G31" s="2"/>
      <c r="H31" s="2"/>
    </row>
    <row r="32" customFormat="false" ht="15" hidden="false" customHeight="false" outlineLevel="0" collapsed="false">
      <c r="A32" s="2"/>
      <c r="B32" s="5" t="s">
        <v>2048</v>
      </c>
      <c r="C32" s="64" t="n">
        <f aca="false">Hypothèses!$J$26*500</f>
        <v>1500</v>
      </c>
      <c r="D32" s="24" t="s">
        <v>103</v>
      </c>
      <c r="E32" s="24" t="s">
        <v>2049</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2050</v>
      </c>
      <c r="B34" s="22" t="s">
        <v>2051</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2052</v>
      </c>
      <c r="C37" s="66" t="n">
        <f aca="false">Entrées!$C$136/100</f>
        <v>0.18</v>
      </c>
      <c r="D37" s="24" t="s">
        <v>299</v>
      </c>
      <c r="E37" s="24" t="s">
        <v>525</v>
      </c>
      <c r="F37" s="2"/>
      <c r="G37" s="2"/>
      <c r="H37" s="2"/>
    </row>
    <row r="38" customFormat="false" ht="15" hidden="false" customHeight="false" outlineLevel="0" collapsed="false">
      <c r="A38" s="2"/>
      <c r="B38" s="5" t="s">
        <v>2053</v>
      </c>
      <c r="C38" s="66" t="n">
        <f aca="false">Entrées!$C$137/100</f>
        <v>0.19</v>
      </c>
      <c r="D38" s="24" t="s">
        <v>299</v>
      </c>
      <c r="E38" s="24" t="s">
        <v>529</v>
      </c>
      <c r="F38" s="2"/>
      <c r="G38" s="2"/>
      <c r="H38" s="2"/>
    </row>
    <row r="39" customFormat="false" ht="15" hidden="false" customHeight="false" outlineLevel="0" collapsed="false">
      <c r="A39" s="2"/>
      <c r="B39" s="5" t="s">
        <v>2054</v>
      </c>
      <c r="C39" s="67" t="str">
        <f aca="false">Entrées!$C$140</f>
        <v>high teens</v>
      </c>
      <c r="D39" s="24"/>
      <c r="E39" s="24" t="s">
        <v>2055</v>
      </c>
      <c r="F39" s="2"/>
      <c r="G39" s="2"/>
      <c r="H39" s="2"/>
    </row>
    <row r="40" customFormat="false" ht="15" hidden="false" customHeight="false" outlineLevel="0" collapsed="false">
      <c r="A40" s="2"/>
      <c r="B40" s="22" t="s">
        <v>2056</v>
      </c>
      <c r="C40" s="41" t="n">
        <f aca="false">Entrées!$C$151/100</f>
        <v>0.18</v>
      </c>
      <c r="D40" s="24" t="s">
        <v>299</v>
      </c>
      <c r="E40" s="24" t="s">
        <v>569</v>
      </c>
      <c r="F40" s="2"/>
      <c r="G40" s="2"/>
      <c r="H40" s="2"/>
    </row>
    <row r="41" customFormat="false" ht="15" hidden="false" customHeight="false" outlineLevel="0" collapsed="false">
      <c r="A41" s="2"/>
      <c r="B41" s="5" t="s">
        <v>2057</v>
      </c>
      <c r="C41" s="66" t="n">
        <f aca="false">Entrées!$C$152/100</f>
        <v>0.2</v>
      </c>
      <c r="D41" s="24" t="s">
        <v>299</v>
      </c>
      <c r="E41" s="24" t="s">
        <v>2058</v>
      </c>
      <c r="F41" s="2"/>
      <c r="G41" s="2"/>
      <c r="H41" s="2"/>
    </row>
    <row r="42" customFormat="false" ht="15" hidden="false" customHeight="false" outlineLevel="0" collapsed="false">
      <c r="A42" s="2"/>
      <c r="B42" s="5" t="s">
        <v>2059</v>
      </c>
      <c r="C42" s="64" t="n">
        <f aca="false">Entrées!$C$138*1000</f>
        <v>25400</v>
      </c>
      <c r="D42" s="24" t="s">
        <v>103</v>
      </c>
      <c r="E42" s="24" t="s">
        <v>532</v>
      </c>
      <c r="F42" s="2"/>
      <c r="G42" s="2"/>
      <c r="H42" s="2"/>
    </row>
    <row r="43" customFormat="false" ht="15" hidden="false" customHeight="false" outlineLevel="0" collapsed="false">
      <c r="A43" s="2"/>
      <c r="B43" s="5" t="s">
        <v>2060</v>
      </c>
      <c r="C43" s="64" t="n">
        <f aca="false">Entrées!$C$139*1000</f>
        <v>29000</v>
      </c>
      <c r="D43" s="24" t="s">
        <v>103</v>
      </c>
      <c r="E43" s="24" t="s">
        <v>535</v>
      </c>
      <c r="F43" s="2"/>
      <c r="G43" s="2"/>
      <c r="H43" s="2"/>
    </row>
    <row r="44" customFormat="false" ht="15" hidden="false" customHeight="false" outlineLevel="0" collapsed="false">
      <c r="A44" s="2"/>
      <c r="B44" s="22" t="s">
        <v>2061</v>
      </c>
      <c r="C44" s="45" t="n">
        <f aca="false">Levier!$C$36*Levier!$C$42</f>
        <v>5156.2</v>
      </c>
      <c r="D44" s="24" t="s">
        <v>103</v>
      </c>
      <c r="E44" s="24" t="s">
        <v>2062</v>
      </c>
      <c r="F44" s="2"/>
      <c r="G44" s="2"/>
      <c r="H44" s="2"/>
    </row>
    <row r="45" customFormat="false" ht="15" hidden="false" customHeight="false" outlineLevel="0" collapsed="false">
      <c r="A45" s="2"/>
      <c r="B45" s="22" t="s">
        <v>2063</v>
      </c>
      <c r="C45" s="45" t="n">
        <f aca="false">Levier!$C$40*Levier!$C$43</f>
        <v>5220</v>
      </c>
      <c r="D45" s="24" t="s">
        <v>103</v>
      </c>
      <c r="E45" s="24" t="s">
        <v>2064</v>
      </c>
      <c r="F45" s="2"/>
      <c r="G45" s="2"/>
      <c r="H45" s="2"/>
    </row>
    <row r="46" customFormat="false" ht="15" hidden="false" customHeight="false" outlineLevel="0" collapsed="false">
      <c r="A46" s="2"/>
      <c r="B46" s="22" t="s">
        <v>2065</v>
      </c>
      <c r="C46" s="45" t="n">
        <f aca="false">Levier!$C$44-Levier!$C$45</f>
        <v>-63.7999999999993</v>
      </c>
      <c r="D46" s="24" t="s">
        <v>103</v>
      </c>
      <c r="E46" s="24" t="s">
        <v>2066</v>
      </c>
      <c r="F46" s="2"/>
      <c r="G46" s="2"/>
      <c r="H46" s="2"/>
    </row>
    <row r="47" customFormat="false" ht="15" hidden="false" customHeight="false" outlineLevel="0" collapsed="false">
      <c r="A47" s="2"/>
      <c r="B47" s="5" t="s">
        <v>2067</v>
      </c>
      <c r="C47" s="64" t="n">
        <f aca="false">Levier!$C$44/Levier!$C$40</f>
        <v>28645.5555555556</v>
      </c>
      <c r="D47" s="24" t="s">
        <v>103</v>
      </c>
      <c r="E47" s="24" t="s">
        <v>2068</v>
      </c>
      <c r="F47" s="2"/>
      <c r="G47" s="2"/>
      <c r="H47" s="2"/>
    </row>
    <row r="48" customFormat="false" ht="15" hidden="false" customHeight="false" outlineLevel="0" collapsed="false">
      <c r="A48" s="2"/>
      <c r="B48" s="5" t="s">
        <v>2069</v>
      </c>
      <c r="C48" s="64" t="n">
        <f aca="false">Levier!$C$42-Entrées!$C$13</f>
        <v>5743</v>
      </c>
      <c r="D48" s="24" t="s">
        <v>103</v>
      </c>
      <c r="E48" s="24" t="s">
        <v>2070</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2071</v>
      </c>
      <c r="B50" s="22" t="s">
        <v>2072</v>
      </c>
      <c r="C50" s="2"/>
      <c r="D50" s="2"/>
      <c r="E50" s="2"/>
      <c r="F50" s="2"/>
      <c r="G50" s="2"/>
      <c r="H50" s="2"/>
    </row>
    <row r="51" customFormat="false" ht="15" hidden="false" customHeight="false" outlineLevel="0" collapsed="false">
      <c r="A51" s="2"/>
      <c r="B51" s="5" t="s">
        <v>2073</v>
      </c>
      <c r="C51" s="61" t="n">
        <f aca="false">Entrées!$C$237</f>
        <v>29518</v>
      </c>
      <c r="D51" s="24" t="s">
        <v>103</v>
      </c>
      <c r="E51" s="24" t="s">
        <v>2074</v>
      </c>
      <c r="F51" s="2"/>
      <c r="G51" s="2"/>
      <c r="H51" s="2"/>
    </row>
    <row r="52" customFormat="false" ht="15" hidden="false" customHeight="false" outlineLevel="0" collapsed="false">
      <c r="A52" s="2"/>
      <c r="B52" s="5" t="s">
        <v>2075</v>
      </c>
      <c r="C52" s="61" t="n">
        <f aca="false">Entrées!$C$238</f>
        <v>647</v>
      </c>
      <c r="D52" s="24" t="s">
        <v>103</v>
      </c>
      <c r="E52" s="24" t="s">
        <v>818</v>
      </c>
      <c r="F52" s="2"/>
      <c r="G52" s="2"/>
      <c r="H52" s="2"/>
    </row>
    <row r="53" customFormat="false" ht="15" hidden="false" customHeight="false" outlineLevel="0" collapsed="false">
      <c r="A53" s="2"/>
      <c r="B53" s="5" t="s">
        <v>2076</v>
      </c>
      <c r="C53" s="61" t="n">
        <f aca="false">Entrées!$C$239</f>
        <v>2050</v>
      </c>
      <c r="D53" s="24" t="s">
        <v>103</v>
      </c>
      <c r="E53" s="24" t="s">
        <v>2077</v>
      </c>
      <c r="F53" s="2"/>
      <c r="G53" s="2"/>
      <c r="H53" s="2"/>
    </row>
    <row r="54" customFormat="false" ht="15" hidden="false" customHeight="false" outlineLevel="0" collapsed="false">
      <c r="A54" s="2"/>
      <c r="B54" s="5" t="s">
        <v>2078</v>
      </c>
      <c r="C54" s="61" t="n">
        <f aca="false">Entrées!$C$240</f>
        <v>1014</v>
      </c>
      <c r="D54" s="24" t="s">
        <v>103</v>
      </c>
      <c r="E54" s="24" t="s">
        <v>824</v>
      </c>
      <c r="F54" s="2"/>
      <c r="G54" s="2"/>
      <c r="H54" s="2"/>
    </row>
    <row r="55" customFormat="false" ht="15" hidden="false" customHeight="false" outlineLevel="0" collapsed="false">
      <c r="A55" s="2"/>
      <c r="B55" s="5" t="s">
        <v>2079</v>
      </c>
      <c r="C55" s="61" t="n">
        <f aca="false">Entrées!$C$241</f>
        <v>1650</v>
      </c>
      <c r="D55" s="24" t="s">
        <v>103</v>
      </c>
      <c r="E55" s="24" t="s">
        <v>827</v>
      </c>
      <c r="F55" s="2"/>
      <c r="G55" s="2"/>
      <c r="H55" s="2"/>
    </row>
    <row r="56" customFormat="false" ht="15" hidden="false" customHeight="false" outlineLevel="0" collapsed="false">
      <c r="A56" s="2"/>
      <c r="B56" s="22" t="s">
        <v>2080</v>
      </c>
      <c r="C56" s="45" t="n">
        <f aca="false">SUM(C51:C55)</f>
        <v>34879</v>
      </c>
      <c r="D56" s="24" t="s">
        <v>103</v>
      </c>
      <c r="E56" s="24" t="s">
        <v>2081</v>
      </c>
      <c r="F56" s="2"/>
      <c r="G56" s="2"/>
      <c r="H56" s="2"/>
    </row>
    <row r="57" customFormat="false" ht="15" hidden="false" customHeight="false" outlineLevel="0" collapsed="false">
      <c r="A57" s="2"/>
      <c r="B57" s="5" t="s">
        <v>2082</v>
      </c>
      <c r="C57" s="61" t="n">
        <f aca="false">Entrées!$C$242</f>
        <v>34879</v>
      </c>
      <c r="D57" s="24" t="s">
        <v>103</v>
      </c>
      <c r="E57" s="24" t="s">
        <v>830</v>
      </c>
      <c r="F57" s="2"/>
      <c r="G57" s="2"/>
      <c r="H57" s="2"/>
    </row>
    <row r="58" customFormat="false" ht="15" hidden="false" customHeight="false" outlineLevel="0" collapsed="false">
      <c r="A58" s="2"/>
      <c r="B58" s="5" t="s">
        <v>2083</v>
      </c>
      <c r="C58" s="61" t="n">
        <f aca="false">Entrées!$C$243</f>
        <v>9475</v>
      </c>
      <c r="D58" s="24" t="s">
        <v>103</v>
      </c>
      <c r="E58" s="24" t="s">
        <v>2084</v>
      </c>
      <c r="F58" s="2"/>
      <c r="G58" s="2"/>
      <c r="H58" s="2"/>
    </row>
    <row r="59" customFormat="false" ht="15" hidden="false" customHeight="false" outlineLevel="0" collapsed="false">
      <c r="A59" s="2"/>
      <c r="B59" s="22" t="s">
        <v>2085</v>
      </c>
      <c r="C59" s="45" t="n">
        <f aca="false">C57-C58</f>
        <v>25404</v>
      </c>
      <c r="D59" s="24" t="s">
        <v>103</v>
      </c>
      <c r="E59" s="24"/>
      <c r="F59" s="2"/>
      <c r="G59" s="2"/>
      <c r="H59" s="2"/>
    </row>
    <row r="60" customFormat="false" ht="15" hidden="false" customHeight="false" outlineLevel="0" collapsed="false">
      <c r="A60" s="2"/>
      <c r="B60" s="5" t="s">
        <v>2086</v>
      </c>
      <c r="C60" s="61" t="n">
        <f aca="false">Entrées!$C$244</f>
        <v>25404</v>
      </c>
      <c r="D60" s="24" t="s">
        <v>103</v>
      </c>
      <c r="E60" s="24" t="s">
        <v>836</v>
      </c>
      <c r="F60" s="2"/>
      <c r="G60" s="2"/>
      <c r="H60" s="2"/>
    </row>
    <row r="61" customFormat="false" ht="15" hidden="false" customHeight="false" outlineLevel="0" collapsed="false">
      <c r="A61" s="2"/>
      <c r="B61" s="5" t="s">
        <v>2087</v>
      </c>
      <c r="C61" s="64" t="n">
        <f aca="false">Entrées!$C$259-Entrées!$C$260-Entrées!$C$261+Entrées!$C$262</f>
        <v>19821</v>
      </c>
      <c r="D61" s="24" t="s">
        <v>103</v>
      </c>
      <c r="E61" s="24" t="s">
        <v>2088</v>
      </c>
      <c r="F61" s="2"/>
      <c r="G61" s="2"/>
      <c r="H61" s="2"/>
    </row>
    <row r="62" customFormat="false" ht="15" hidden="false" customHeight="false" outlineLevel="0" collapsed="false">
      <c r="A62" s="2"/>
      <c r="B62" s="5" t="s">
        <v>2089</v>
      </c>
      <c r="C62" s="66" t="n">
        <f aca="false">Levier!$C$53/(Levier!$C$60-Entrées!$C$13)</f>
        <v>0.356707847572647</v>
      </c>
      <c r="D62" s="24" t="s">
        <v>299</v>
      </c>
      <c r="E62" s="24" t="s">
        <v>2090</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2091</v>
      </c>
      <c r="B64" s="22" t="s">
        <v>2092</v>
      </c>
      <c r="C64" s="2"/>
      <c r="D64" s="2"/>
      <c r="E64" s="2"/>
      <c r="F64" s="2"/>
      <c r="G64" s="2"/>
      <c r="H64" s="2"/>
    </row>
    <row r="65" customFormat="false" ht="15" hidden="false" customHeight="false" outlineLevel="0" collapsed="false">
      <c r="A65" s="2"/>
      <c r="B65" s="5" t="s">
        <v>2093</v>
      </c>
      <c r="C65" s="61" t="n">
        <f aca="false">Entrées!$C$251</f>
        <v>4655</v>
      </c>
      <c r="D65" s="24" t="s">
        <v>103</v>
      </c>
      <c r="E65" s="24" t="s">
        <v>854</v>
      </c>
      <c r="F65" s="2"/>
      <c r="G65" s="2"/>
      <c r="H65" s="2"/>
    </row>
    <row r="66" customFormat="false" ht="15" hidden="false" customHeight="false" outlineLevel="0" collapsed="false">
      <c r="A66" s="2"/>
      <c r="B66" s="5" t="s">
        <v>2094</v>
      </c>
      <c r="C66" s="61" t="n">
        <f aca="false">Entrées!$C$250</f>
        <v>4948</v>
      </c>
      <c r="D66" s="24" t="s">
        <v>103</v>
      </c>
      <c r="E66" s="24" t="s">
        <v>852</v>
      </c>
      <c r="F66" s="2"/>
      <c r="G66" s="2"/>
      <c r="H66" s="2"/>
    </row>
    <row r="67" customFormat="false" ht="15" hidden="false" customHeight="false" outlineLevel="0" collapsed="false">
      <c r="A67" s="2"/>
      <c r="B67" s="22" t="s">
        <v>2095</v>
      </c>
      <c r="C67" s="68" t="n">
        <f aca="false">Entrées!$C$249</f>
        <v>5160</v>
      </c>
      <c r="D67" s="24" t="s">
        <v>103</v>
      </c>
      <c r="E67" s="24" t="s">
        <v>849</v>
      </c>
      <c r="F67" s="2"/>
      <c r="G67" s="2"/>
      <c r="H67" s="2"/>
    </row>
    <row r="68" customFormat="false" ht="15" hidden="false" customHeight="false" outlineLevel="0" collapsed="false">
      <c r="A68" s="2"/>
      <c r="B68" s="5" t="s">
        <v>2096</v>
      </c>
      <c r="C68" s="66" t="n">
        <f aca="false">C67/Entrées!$C$8</f>
        <v>0.731914893617021</v>
      </c>
      <c r="D68" s="24" t="s">
        <v>299</v>
      </c>
      <c r="E68" s="24" t="s">
        <v>2097</v>
      </c>
      <c r="F68" s="2"/>
      <c r="G68" s="2"/>
      <c r="H68" s="2"/>
    </row>
    <row r="69" customFormat="false" ht="15" hidden="false" customHeight="false" outlineLevel="0" collapsed="false">
      <c r="A69" s="2"/>
      <c r="B69" s="5" t="s">
        <v>2098</v>
      </c>
      <c r="C69" s="66" t="n">
        <f aca="false">C67/Levier!$C$60</f>
        <v>0.203117619272556</v>
      </c>
      <c r="D69" s="24" t="s">
        <v>299</v>
      </c>
      <c r="E69" s="24"/>
      <c r="F69" s="2"/>
      <c r="G69" s="2"/>
      <c r="H69" s="2"/>
    </row>
    <row r="70" customFormat="false" ht="15" hidden="false" customHeight="false" outlineLevel="0" collapsed="false">
      <c r="A70" s="2"/>
      <c r="B70" s="5" t="s">
        <v>2099</v>
      </c>
      <c r="C70" s="61" t="n">
        <f aca="false">Entrées!$C$252</f>
        <v>1341</v>
      </c>
      <c r="D70" s="24" t="s">
        <v>103</v>
      </c>
      <c r="E70" s="24" t="s">
        <v>856</v>
      </c>
      <c r="F70" s="2"/>
      <c r="G70" s="2"/>
      <c r="H70" s="2"/>
    </row>
    <row r="71" customFormat="false" ht="15" hidden="false" customHeight="false" outlineLevel="0" collapsed="false">
      <c r="A71" s="2"/>
      <c r="B71" s="5" t="s">
        <v>2100</v>
      </c>
      <c r="C71" s="61" t="n">
        <f aca="false">Entrées!$C$253</f>
        <v>3819</v>
      </c>
      <c r="D71" s="24" t="s">
        <v>103</v>
      </c>
      <c r="E71" s="24" t="s">
        <v>859</v>
      </c>
      <c r="F71" s="2"/>
      <c r="G71" s="2"/>
      <c r="H71" s="2"/>
    </row>
    <row r="72" customFormat="false" ht="15" hidden="false" customHeight="false" outlineLevel="0" collapsed="false">
      <c r="A72" s="2"/>
      <c r="B72" s="5" t="s">
        <v>2101</v>
      </c>
      <c r="C72" s="61" t="n">
        <f aca="false">Entrées!$C$256</f>
        <v>1162</v>
      </c>
      <c r="D72" s="24" t="s">
        <v>103</v>
      </c>
      <c r="E72" s="24" t="s">
        <v>868</v>
      </c>
      <c r="F72" s="2"/>
      <c r="G72" s="2"/>
      <c r="H72" s="2"/>
    </row>
    <row r="73" customFormat="false" ht="15" hidden="false" customHeight="false" outlineLevel="0" collapsed="false">
      <c r="A73" s="2"/>
      <c r="B73" s="5" t="s">
        <v>2102</v>
      </c>
      <c r="C73" s="63" t="n">
        <f aca="false">Entrées!$C$257</f>
        <v>3.7</v>
      </c>
      <c r="D73" s="24" t="s">
        <v>133</v>
      </c>
      <c r="E73" s="24" t="s">
        <v>2103</v>
      </c>
      <c r="F73" s="2"/>
      <c r="G73" s="2"/>
      <c r="H73" s="2"/>
    </row>
    <row r="74" customFormat="false" ht="15" hidden="false" customHeight="false" outlineLevel="0" collapsed="false">
      <c r="A74" s="2"/>
      <c r="B74" s="5" t="s">
        <v>2104</v>
      </c>
      <c r="C74" s="66" t="n">
        <f aca="false">Entrées!$C$232/100</f>
        <v>0.185</v>
      </c>
      <c r="D74" s="24" t="s">
        <v>299</v>
      </c>
      <c r="E74" s="24" t="s">
        <v>801</v>
      </c>
      <c r="F74" s="2"/>
      <c r="G74" s="2"/>
      <c r="H74" s="2"/>
    </row>
    <row r="75" customFormat="false" ht="15" hidden="false" customHeight="false" outlineLevel="0" collapsed="false">
      <c r="A75" s="2"/>
      <c r="B75" s="5" t="s">
        <v>2105</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2106</v>
      </c>
      <c r="B79" s="22" t="s">
        <v>2107</v>
      </c>
      <c r="C79" s="2"/>
      <c r="D79" s="2"/>
      <c r="E79" s="2"/>
      <c r="F79" s="2"/>
      <c r="G79" s="2"/>
      <c r="H79" s="2"/>
    </row>
    <row r="80" customFormat="false" ht="15" hidden="false" customHeight="false" outlineLevel="0" collapsed="false">
      <c r="A80" s="21"/>
      <c r="B80" s="21" t="s">
        <v>2108</v>
      </c>
      <c r="C80" s="21" t="s">
        <v>170</v>
      </c>
      <c r="D80" s="21" t="s">
        <v>225</v>
      </c>
      <c r="E80" s="21" t="s">
        <v>1930</v>
      </c>
      <c r="F80" s="2"/>
      <c r="G80" s="2"/>
      <c r="H80" s="2"/>
    </row>
    <row r="81" customFormat="false" ht="15" hidden="false" customHeight="false" outlineLevel="0" collapsed="false">
      <c r="A81" s="2"/>
      <c r="B81" s="5" t="s">
        <v>2109</v>
      </c>
      <c r="C81" s="61" t="n">
        <f aca="false">Entrées!$C$313</f>
        <v>6144</v>
      </c>
      <c r="D81" s="61" t="n">
        <f aca="false">Entrées!$C$314</f>
        <v>5818</v>
      </c>
      <c r="E81" s="24" t="s">
        <v>2110</v>
      </c>
      <c r="F81" s="2"/>
      <c r="G81" s="2"/>
      <c r="H81" s="2"/>
    </row>
    <row r="82" customFormat="false" ht="15" hidden="false" customHeight="false" outlineLevel="0" collapsed="false">
      <c r="A82" s="2"/>
      <c r="B82" s="5" t="s">
        <v>2111</v>
      </c>
      <c r="C82" s="61" t="n">
        <f aca="false">Entrées!$C$319</f>
        <v>-596</v>
      </c>
      <c r="D82" s="61" t="n">
        <f aca="false">Entrées!$C$320</f>
        <v>-579</v>
      </c>
      <c r="E82" s="24" t="s">
        <v>2112</v>
      </c>
      <c r="F82" s="2"/>
      <c r="G82" s="2"/>
      <c r="H82" s="2"/>
    </row>
    <row r="83" customFormat="false" ht="15" hidden="false" customHeight="false" outlineLevel="0" collapsed="false">
      <c r="A83" s="2"/>
      <c r="B83" s="5" t="s">
        <v>2113</v>
      </c>
      <c r="C83" s="61" t="n">
        <f aca="false">Entrées!$C$333</f>
        <v>-619</v>
      </c>
      <c r="D83" s="61" t="n">
        <f aca="false">Entrées!$C$334</f>
        <v>-585</v>
      </c>
      <c r="E83" s="24" t="s">
        <v>2114</v>
      </c>
      <c r="F83" s="2"/>
      <c r="G83" s="2"/>
      <c r="H83" s="2"/>
    </row>
    <row r="84" customFormat="false" ht="15" hidden="false" customHeight="false" outlineLevel="0" collapsed="false">
      <c r="A84" s="2"/>
      <c r="B84" s="5" t="s">
        <v>2115</v>
      </c>
      <c r="C84" s="61" t="n">
        <f aca="false">Entrées!$C$335</f>
        <v>-78</v>
      </c>
      <c r="D84" s="61" t="n">
        <f aca="false">Entrées!$C$336</f>
        <v>-86</v>
      </c>
      <c r="E84" s="24" t="s">
        <v>2116</v>
      </c>
      <c r="F84" s="2"/>
      <c r="G84" s="2"/>
      <c r="H84" s="2"/>
    </row>
    <row r="85" customFormat="false" ht="15" hidden="false" customHeight="false" outlineLevel="0" collapsed="false">
      <c r="A85" s="2"/>
      <c r="B85" s="5" t="s">
        <v>2117</v>
      </c>
      <c r="C85" s="61" t="n">
        <f aca="false">Entrées!$C$337</f>
        <v>-67</v>
      </c>
      <c r="D85" s="61" t="n">
        <f aca="false">Entrées!$C$338</f>
        <v>-66</v>
      </c>
      <c r="E85" s="24" t="s">
        <v>2118</v>
      </c>
      <c r="F85" s="2"/>
      <c r="G85" s="2"/>
      <c r="H85" s="2"/>
    </row>
    <row r="86" customFormat="false" ht="15" hidden="false" customHeight="false" outlineLevel="0" collapsed="false">
      <c r="A86" s="2"/>
      <c r="B86" s="5" t="s">
        <v>2119</v>
      </c>
      <c r="C86" s="61" t="n">
        <f aca="false">Entrées!$C$401</f>
        <v>268</v>
      </c>
      <c r="D86" s="61" t="n">
        <f aca="false">Entrées!$C$324</f>
        <v>227</v>
      </c>
      <c r="E86" s="24" t="s">
        <v>2120</v>
      </c>
      <c r="F86" s="2"/>
      <c r="G86" s="2"/>
      <c r="H86" s="2"/>
    </row>
    <row r="87" customFormat="false" ht="15" hidden="false" customHeight="false" outlineLevel="0" collapsed="false">
      <c r="A87" s="2"/>
      <c r="B87" s="5" t="s">
        <v>2121</v>
      </c>
      <c r="C87" s="61" t="n">
        <f aca="false">Entrées!$C$325</f>
        <v>105</v>
      </c>
      <c r="D87" s="61" t="n">
        <f aca="false">Entrées!$C$326</f>
        <v>123</v>
      </c>
      <c r="E87" s="24" t="s">
        <v>2122</v>
      </c>
      <c r="F87" s="2"/>
      <c r="G87" s="2"/>
      <c r="H87" s="2"/>
    </row>
    <row r="88" customFormat="false" ht="15" hidden="false" customHeight="false" outlineLevel="0" collapsed="false">
      <c r="A88" s="2"/>
      <c r="B88" s="22" t="s">
        <v>2123</v>
      </c>
      <c r="C88" s="70" t="n">
        <f aca="false">SUM(C81:C87)</f>
        <v>5157</v>
      </c>
      <c r="D88" s="70" t="n">
        <f aca="false">SUM(D81:D87)</f>
        <v>4852</v>
      </c>
      <c r="E88" s="2"/>
      <c r="F88" s="2"/>
      <c r="G88" s="2"/>
      <c r="H88" s="2"/>
    </row>
    <row r="89" customFormat="false" ht="15" hidden="false" customHeight="false" outlineLevel="0" collapsed="false">
      <c r="A89" s="2"/>
      <c r="B89" s="5" t="s">
        <v>2124</v>
      </c>
      <c r="C89" s="61" t="n">
        <f aca="false">Entrées!$C$249</f>
        <v>5160</v>
      </c>
      <c r="D89" s="61" t="n">
        <f aca="false">Entrées!$C$250</f>
        <v>4948</v>
      </c>
      <c r="E89" s="24" t="s">
        <v>2125</v>
      </c>
      <c r="F89" s="2"/>
      <c r="G89" s="2"/>
      <c r="H89" s="2"/>
    </row>
    <row r="90" customFormat="false" ht="15" hidden="false" customHeight="false" outlineLevel="0" collapsed="false">
      <c r="A90" s="2"/>
      <c r="B90" s="5" t="s">
        <v>2126</v>
      </c>
      <c r="C90" s="64" t="n">
        <f aca="false">C88-C89</f>
        <v>-3</v>
      </c>
      <c r="D90" s="64" t="n">
        <f aca="false">D88-D89</f>
        <v>-96</v>
      </c>
      <c r="E90" s="2"/>
      <c r="F90" s="2"/>
      <c r="G90" s="2"/>
      <c r="H90" s="2"/>
    </row>
    <row r="91" customFormat="false" ht="15" hidden="false" customHeight="false" outlineLevel="0" collapsed="false">
      <c r="A91" s="2"/>
      <c r="B91" s="22" t="s">
        <v>2127</v>
      </c>
      <c r="C91" s="41" t="n">
        <f aca="false">C88/C89-1</f>
        <v>-0.000581395348837166</v>
      </c>
      <c r="D91" s="41" t="n">
        <f aca="false">D88/D89-1</f>
        <v>-0.0194017784963622</v>
      </c>
      <c r="E91" s="2"/>
      <c r="F91" s="2"/>
      <c r="G91" s="2"/>
      <c r="H91" s="2"/>
    </row>
    <row r="92" customFormat="false" ht="15" hidden="false" customHeight="false" outlineLevel="0" collapsed="false">
      <c r="A92" s="2"/>
      <c r="B92" s="5" t="s">
        <v>2128</v>
      </c>
      <c r="C92" s="66" t="n">
        <f aca="false">C88/Entrées!$C$8</f>
        <v>0.731489361702128</v>
      </c>
      <c r="D92" s="66" t="n">
        <f aca="false">D88/Entrées!$C$22</f>
        <v>0.714790807307012</v>
      </c>
      <c r="E92" s="24" t="s">
        <v>2129</v>
      </c>
      <c r="F92" s="2"/>
      <c r="G92" s="2"/>
      <c r="H92" s="2"/>
    </row>
    <row r="93" customFormat="false" ht="15" hidden="false" customHeight="false" outlineLevel="0" collapsed="false">
      <c r="A93" s="2"/>
      <c r="B93" s="5" t="s">
        <v>2130</v>
      </c>
      <c r="C93" s="66" t="n">
        <f aca="false">C88/Levier!$C$60</f>
        <v>0.202999527633444</v>
      </c>
      <c r="D93" s="66" t="n">
        <f aca="false">D88/Entrées!$C$245</f>
        <v>0.208481931852361</v>
      </c>
      <c r="E93" s="24" t="s">
        <v>2131</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2132</v>
      </c>
      <c r="B96" s="22" t="s">
        <v>2133</v>
      </c>
      <c r="C96" s="2"/>
      <c r="D96" s="2"/>
      <c r="E96" s="2"/>
      <c r="F96" s="2"/>
      <c r="G96" s="2"/>
      <c r="H96" s="2"/>
    </row>
    <row r="97" customFormat="false" ht="35.05" hidden="false" customHeight="false" outlineLevel="0" collapsed="false">
      <c r="A97" s="21"/>
      <c r="B97" s="21" t="s">
        <v>2134</v>
      </c>
      <c r="C97" s="21" t="s">
        <v>2135</v>
      </c>
      <c r="D97" s="21" t="s">
        <v>2136</v>
      </c>
      <c r="E97" s="21" t="s">
        <v>2137</v>
      </c>
      <c r="F97" s="21" t="s">
        <v>2138</v>
      </c>
      <c r="G97" s="21" t="s">
        <v>2139</v>
      </c>
      <c r="H97" s="21" t="s">
        <v>1930</v>
      </c>
    </row>
    <row r="98" customFormat="false" ht="15" hidden="false" customHeight="false" outlineLevel="0" collapsed="false">
      <c r="A98" s="2"/>
      <c r="B98" s="22" t="s">
        <v>2140</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2141</v>
      </c>
    </row>
    <row r="99" customFormat="false" ht="15" hidden="false" customHeight="false" outlineLevel="0" collapsed="false">
      <c r="A99" s="2"/>
      <c r="B99" s="5" t="s">
        <v>2142</v>
      </c>
      <c r="C99" s="71" t="str">
        <f aca="false">Entrées!$C$535</f>
        <v>Baa1 Stable</v>
      </c>
      <c r="D99" s="72" t="n">
        <f aca="false">Entrées!$C$537/100</f>
        <v>0.203</v>
      </c>
      <c r="E99" s="72" t="n">
        <f aca="false">Entrées!$C$538/100</f>
        <v>0.175</v>
      </c>
      <c r="F99" s="63" t="n">
        <f aca="false">Entrées!$C$539</f>
        <v>4.2</v>
      </c>
      <c r="G99" s="61" t="n">
        <f aca="false">Entrées!$C$536</f>
        <v>1415</v>
      </c>
      <c r="H99" s="24" t="s">
        <v>2143</v>
      </c>
    </row>
    <row r="100" customFormat="false" ht="15" hidden="false" customHeight="false" outlineLevel="0" collapsed="false">
      <c r="A100" s="2"/>
      <c r="B100" s="5" t="s">
        <v>2144</v>
      </c>
      <c r="C100" s="71" t="str">
        <f aca="false">Entrées!$C$540</f>
        <v>Baa1 Stable</v>
      </c>
      <c r="D100" s="72" t="n">
        <f aca="false">Entrées!$C$542/100</f>
        <v>0.233</v>
      </c>
      <c r="E100" s="72" t="n">
        <f aca="false">Entrées!$C$543/100</f>
        <v>0.169</v>
      </c>
      <c r="F100" s="63" t="n">
        <f aca="false">Entrées!$C$544</f>
        <v>3.8</v>
      </c>
      <c r="G100" s="61" t="n">
        <f aca="false">Entrées!$C$541</f>
        <v>1476</v>
      </c>
      <c r="H100" s="24" t="s">
        <v>2145</v>
      </c>
    </row>
    <row r="101" customFormat="false" ht="15" hidden="false" customHeight="false" outlineLevel="0" collapsed="false">
      <c r="A101" s="2"/>
      <c r="B101" s="5" t="s">
        <v>2146</v>
      </c>
      <c r="C101" s="71" t="str">
        <f aca="false">Entrées!$C$545</f>
        <v>Baa2 Negative</v>
      </c>
      <c r="D101" s="72" t="n">
        <f aca="false">Entrées!$C$547/100</f>
        <v>0.114</v>
      </c>
      <c r="E101" s="72" t="n">
        <f aca="false">Entrées!$C$548/100</f>
        <v>0.103</v>
      </c>
      <c r="F101" s="63" t="n">
        <f aca="false">Entrées!$C$549</f>
        <v>6.8</v>
      </c>
      <c r="G101" s="61" t="n">
        <f aca="false">Entrées!$C$546</f>
        <v>1088</v>
      </c>
      <c r="H101" s="24" t="s">
        <v>2147</v>
      </c>
    </row>
    <row r="102" customFormat="false" ht="15" hidden="false" customHeight="false" outlineLevel="0" collapsed="false">
      <c r="A102" s="2"/>
      <c r="B102" s="22" t="s">
        <v>2148</v>
      </c>
      <c r="C102" s="41" t="n">
        <f aca="false">D98-D101</f>
        <v>0.089</v>
      </c>
      <c r="D102" s="24" t="s">
        <v>2149</v>
      </c>
      <c r="E102" s="24" t="s">
        <v>2150</v>
      </c>
      <c r="F102" s="2"/>
      <c r="G102" s="2"/>
      <c r="H102" s="2"/>
    </row>
    <row r="103" customFormat="false" ht="15" hidden="false" customHeight="false" outlineLevel="0" collapsed="false">
      <c r="A103" s="2"/>
      <c r="B103" s="22" t="s">
        <v>2151</v>
      </c>
      <c r="C103" s="41" t="n">
        <f aca="false">D98-D100</f>
        <v>-0.03</v>
      </c>
      <c r="D103" s="24" t="s">
        <v>2149</v>
      </c>
      <c r="E103" s="24" t="s">
        <v>2152</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2153</v>
      </c>
      <c r="B106" s="22" t="s">
        <v>2154</v>
      </c>
      <c r="C106" s="2"/>
      <c r="D106" s="2"/>
      <c r="E106" s="2"/>
      <c r="F106" s="2"/>
      <c r="G106" s="2"/>
      <c r="H106" s="2"/>
    </row>
    <row r="107" customFormat="false" ht="35.05" hidden="false" customHeight="false" outlineLevel="0" collapsed="false">
      <c r="A107" s="21"/>
      <c r="B107" s="21" t="s">
        <v>2155</v>
      </c>
      <c r="C107" s="21" t="s">
        <v>2156</v>
      </c>
      <c r="D107" s="21" t="s">
        <v>2157</v>
      </c>
      <c r="E107" s="21" t="s">
        <v>2158</v>
      </c>
      <c r="F107" s="21" t="s">
        <v>2159</v>
      </c>
      <c r="G107" s="21" t="s">
        <v>1930</v>
      </c>
      <c r="H107" s="2"/>
    </row>
    <row r="108" customFormat="false" ht="15" hidden="false" customHeight="false" outlineLevel="0" collapsed="false">
      <c r="A108" s="2"/>
      <c r="B108" s="5" t="s">
        <v>2160</v>
      </c>
      <c r="C108" s="61" t="n">
        <f aca="false">Entrées!$C$570</f>
        <v>500</v>
      </c>
      <c r="D108" s="73" t="n">
        <f aca="false">Entrées!$C$571/100</f>
        <v>0.01625</v>
      </c>
      <c r="E108" s="25" t="s">
        <v>2161</v>
      </c>
      <c r="F108" s="64" t="n">
        <f aca="false">C108*D108</f>
        <v>8.125</v>
      </c>
      <c r="G108" s="24" t="s">
        <v>2162</v>
      </c>
      <c r="H108" s="2"/>
    </row>
    <row r="109" customFormat="false" ht="15" hidden="false" customHeight="false" outlineLevel="0" collapsed="false">
      <c r="A109" s="2"/>
      <c r="B109" s="5" t="s">
        <v>2163</v>
      </c>
      <c r="C109" s="61" t="n">
        <f aca="false">Entrées!$C$572</f>
        <v>500</v>
      </c>
      <c r="D109" s="73" t="n">
        <f aca="false">Entrées!$C$573/100</f>
        <v>0.02</v>
      </c>
      <c r="E109" s="25" t="s">
        <v>2164</v>
      </c>
      <c r="F109" s="64" t="n">
        <f aca="false">C109*D109</f>
        <v>10</v>
      </c>
      <c r="G109" s="24" t="s">
        <v>2165</v>
      </c>
      <c r="H109" s="2"/>
    </row>
    <row r="110" customFormat="false" ht="15" hidden="false" customHeight="false" outlineLevel="0" collapsed="false">
      <c r="A110" s="2"/>
      <c r="B110" s="5" t="s">
        <v>2166</v>
      </c>
      <c r="C110" s="61" t="n">
        <f aca="false">Entrées!$C$574</f>
        <v>600</v>
      </c>
      <c r="D110" s="73" t="n">
        <f aca="false">Entrées!$C$575/100</f>
        <v>0.06</v>
      </c>
      <c r="E110" s="25" t="s">
        <v>2167</v>
      </c>
      <c r="F110" s="64" t="n">
        <f aca="false">C110*D110</f>
        <v>36</v>
      </c>
      <c r="G110" s="24" t="s">
        <v>2168</v>
      </c>
      <c r="H110" s="2"/>
    </row>
    <row r="111" customFormat="false" ht="15" hidden="false" customHeight="false" outlineLevel="0" collapsed="false">
      <c r="A111" s="2"/>
      <c r="B111" s="5" t="s">
        <v>2169</v>
      </c>
      <c r="C111" s="61" t="n">
        <f aca="false">Entrées!$C$568</f>
        <v>1150</v>
      </c>
      <c r="D111" s="73" t="n">
        <f aca="false">Entrées!$C$569/100</f>
        <v>0.025</v>
      </c>
      <c r="E111" s="25" t="s">
        <v>2170</v>
      </c>
      <c r="F111" s="64" t="n">
        <f aca="false">C111*D111</f>
        <v>28.75</v>
      </c>
      <c r="G111" s="24" t="s">
        <v>2171</v>
      </c>
      <c r="H111" s="2"/>
    </row>
    <row r="112" customFormat="false" ht="15" hidden="false" customHeight="false" outlineLevel="0" collapsed="false">
      <c r="A112" s="2"/>
      <c r="B112" s="5" t="s">
        <v>2172</v>
      </c>
      <c r="C112" s="61" t="n">
        <f aca="false">Entrées!$C$576</f>
        <v>500</v>
      </c>
      <c r="D112" s="73" t="n">
        <f aca="false">Entrées!$C$577/100</f>
        <v>0.04371</v>
      </c>
      <c r="E112" s="25" t="s">
        <v>2173</v>
      </c>
      <c r="F112" s="64" t="n">
        <f aca="false">C112*D112</f>
        <v>21.855</v>
      </c>
      <c r="G112" s="24" t="s">
        <v>2174</v>
      </c>
      <c r="H112" s="2"/>
    </row>
    <row r="113" customFormat="false" ht="15" hidden="false" customHeight="false" outlineLevel="0" collapsed="false">
      <c r="A113" s="2"/>
      <c r="B113" s="5" t="s">
        <v>2175</v>
      </c>
      <c r="C113" s="61" t="n">
        <f aca="false">Entrées!$C$578</f>
        <v>850</v>
      </c>
      <c r="D113" s="73" t="n">
        <f aca="false">Entrées!$C$579/100</f>
        <v>0.04322</v>
      </c>
      <c r="E113" s="25" t="s">
        <v>2176</v>
      </c>
      <c r="F113" s="64" t="n">
        <f aca="false">C113*D113</f>
        <v>36.737</v>
      </c>
      <c r="G113" s="24" t="s">
        <v>2177</v>
      </c>
      <c r="H113" s="2"/>
    </row>
    <row r="114" customFormat="false" ht="15" hidden="false" customHeight="false" outlineLevel="0" collapsed="false">
      <c r="A114" s="2"/>
      <c r="B114" s="22" t="s">
        <v>2178</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2179</v>
      </c>
      <c r="C115" s="64" t="n">
        <f aca="false">Entrées!$C$567*1000</f>
        <v>4100</v>
      </c>
      <c r="D115" s="24" t="s">
        <v>103</v>
      </c>
      <c r="E115" s="24" t="s">
        <v>1743</v>
      </c>
      <c r="F115" s="2"/>
      <c r="G115" s="2"/>
      <c r="H115" s="2"/>
    </row>
    <row r="116" customFormat="false" ht="15" hidden="false" customHeight="false" outlineLevel="0" collapsed="false">
      <c r="A116" s="2"/>
      <c r="B116" s="5" t="s">
        <v>2180</v>
      </c>
      <c r="C116" s="74" t="n">
        <f aca="false">F114/C114</f>
        <v>0.0345041463414634</v>
      </c>
      <c r="D116" s="24" t="s">
        <v>299</v>
      </c>
      <c r="E116" s="24" t="s">
        <v>2181</v>
      </c>
      <c r="F116" s="2"/>
      <c r="G116" s="2"/>
      <c r="H116" s="2"/>
    </row>
    <row r="117" customFormat="false" ht="15" hidden="false" customHeight="false" outlineLevel="0" collapsed="false">
      <c r="A117" s="2"/>
      <c r="B117" s="22" t="s">
        <v>2182</v>
      </c>
      <c r="C117" s="45" t="n">
        <f aca="false">C108</f>
        <v>500</v>
      </c>
      <c r="D117" s="24" t="s">
        <v>103</v>
      </c>
      <c r="E117" s="24" t="s">
        <v>2183</v>
      </c>
      <c r="F117" s="2"/>
      <c r="G117" s="2"/>
      <c r="H117" s="2"/>
    </row>
    <row r="118" customFormat="false" ht="15" hidden="false" customHeight="false" outlineLevel="0" collapsed="false">
      <c r="A118" s="2"/>
      <c r="B118" s="22" t="s">
        <v>2184</v>
      </c>
      <c r="C118" s="45" t="n">
        <f aca="false">C108*(Entrées!$C$579-Entrées!$C$571)/100</f>
        <v>13.485</v>
      </c>
      <c r="D118" s="24" t="s">
        <v>103</v>
      </c>
      <c r="E118" s="24" t="s">
        <v>2185</v>
      </c>
      <c r="F118" s="2"/>
      <c r="G118" s="2"/>
      <c r="H118" s="2"/>
    </row>
    <row r="119" customFormat="false" ht="15" hidden="false" customHeight="false" outlineLevel="0" collapsed="false">
      <c r="A119" s="2"/>
      <c r="B119" s="22" t="s">
        <v>2186</v>
      </c>
      <c r="C119" s="62" t="n">
        <f aca="false">(Trajectoire!$D$44+C108)/Trajectoire!$D$41</f>
        <v>2.86585428910308</v>
      </c>
      <c r="D119" s="24" t="s">
        <v>133</v>
      </c>
      <c r="E119" s="24" t="s">
        <v>2187</v>
      </c>
      <c r="F119" s="2"/>
      <c r="G119" s="2"/>
      <c r="H119" s="2"/>
    </row>
    <row r="120" customFormat="false" ht="15" hidden="false" customHeight="false" outlineLevel="0" collapsed="false">
      <c r="A120" s="2"/>
      <c r="B120" s="5" t="s">
        <v>2188</v>
      </c>
      <c r="C120" s="64" t="n">
        <f aca="false">Trajectoire!$D$54+C108*(1-Hypothèses!$J$27)</f>
        <v>28370.6168524571</v>
      </c>
      <c r="D120" s="24" t="s">
        <v>103</v>
      </c>
      <c r="E120" s="24" t="s">
        <v>2189</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2190</v>
      </c>
      <c r="B123" s="22" t="s">
        <v>2191</v>
      </c>
      <c r="C123" s="2"/>
      <c r="D123" s="2"/>
      <c r="E123" s="2"/>
      <c r="F123" s="2"/>
      <c r="G123" s="2"/>
      <c r="H123" s="2"/>
    </row>
    <row r="124" customFormat="false" ht="15" hidden="false" customHeight="false" outlineLevel="0" collapsed="false">
      <c r="A124" s="21"/>
      <c r="B124" s="21" t="s">
        <v>2192</v>
      </c>
      <c r="C124" s="21" t="s">
        <v>2193</v>
      </c>
      <c r="D124" s="21" t="s">
        <v>2194</v>
      </c>
      <c r="E124" s="21" t="s">
        <v>2195</v>
      </c>
      <c r="F124" s="2"/>
      <c r="G124" s="2"/>
      <c r="H124" s="2"/>
    </row>
    <row r="125" customFormat="false" ht="15" hidden="false" customHeight="false" outlineLevel="0" collapsed="false">
      <c r="A125" s="2"/>
      <c r="B125" s="5" t="s">
        <v>2196</v>
      </c>
      <c r="C125" s="75" t="n">
        <f aca="false">(Trajectoire!$D$44+0)/Trajectoire!$D$41</f>
        <v>2.80320887741352</v>
      </c>
      <c r="D125" s="64" t="n">
        <f aca="false">Hypothèses!$J$26*Trajectoire!$D$41-(Trajectoire!$D$44+0)</f>
        <v>1570.67466937297</v>
      </c>
      <c r="E125" s="24" t="s">
        <v>2197</v>
      </c>
      <c r="F125" s="2"/>
      <c r="G125" s="2"/>
      <c r="H125" s="2"/>
    </row>
    <row r="126" customFormat="false" ht="15" hidden="false" customHeight="false" outlineLevel="0" collapsed="false">
      <c r="A126" s="2"/>
      <c r="B126" s="5" t="s">
        <v>2198</v>
      </c>
      <c r="C126" s="75" t="n">
        <f aca="false">(Trajectoire!$D$44+Hypothèses!$J$27*Entrées!$C$15*1000)/Trajectoire!$D$41</f>
        <v>3.06005506534074</v>
      </c>
      <c r="D126" s="64" t="n">
        <f aca="false">Hypothèses!$J$26*Trajectoire!$D$41-(Trajectoire!$D$44+Hypothèses!$J$27*Entrées!$C$15*1000)</f>
        <v>-479.325330627034</v>
      </c>
      <c r="E126" s="24" t="s">
        <v>2199</v>
      </c>
      <c r="F126" s="2"/>
      <c r="G126" s="2"/>
      <c r="H126" s="2"/>
    </row>
    <row r="127" customFormat="false" ht="15" hidden="false" customHeight="false" outlineLevel="0" collapsed="false">
      <c r="A127" s="2"/>
      <c r="B127" s="5" t="s">
        <v>2200</v>
      </c>
      <c r="C127" s="75" t="n">
        <f aca="false">(Trajectoire!$D$44+Entrées!$C$15*1000)/Trajectoire!$D$41</f>
        <v>3.31690125326795</v>
      </c>
      <c r="D127" s="64" t="n">
        <f aca="false">Hypothèses!$J$26*Trajectoire!$D$41-(Trajectoire!$D$44+Entrées!$C$15*1000)</f>
        <v>-2529.32533062703</v>
      </c>
      <c r="E127" s="24" t="s">
        <v>2201</v>
      </c>
      <c r="F127" s="2"/>
      <c r="G127" s="2"/>
      <c r="H127" s="2"/>
    </row>
    <row r="128" customFormat="false" ht="15" hidden="false" customHeight="false" outlineLevel="0" collapsed="false">
      <c r="A128" s="2"/>
      <c r="B128" s="5" t="s">
        <v>2202</v>
      </c>
      <c r="C128" s="75" t="n">
        <f aca="false">(Trajectoire!$D$44+Hypothèses!$J$27*Entrées!$C$15*1000+Entrées!$C$49)/Trajectoire!$D$41</f>
        <v>3.22168022749981</v>
      </c>
      <c r="D128" s="64" t="n">
        <f aca="false">Hypothèses!$J$26*Trajectoire!$D$41-(Trajectoire!$D$44+Hypothèses!$J$27*Entrées!$C$15*1000+Entrées!$C$49)</f>
        <v>-1769.32533062703</v>
      </c>
      <c r="E128" s="24" t="s">
        <v>2203</v>
      </c>
      <c r="F128" s="2"/>
      <c r="G128" s="2"/>
      <c r="H128" s="2"/>
    </row>
    <row r="129" customFormat="false" ht="27.75" hidden="false" customHeight="true" outlineLevel="0" collapsed="false">
      <c r="A129" s="2"/>
      <c r="B129" s="69" t="s">
        <v>2204</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2205</v>
      </c>
      <c r="B1" s="2"/>
      <c r="C1" s="2"/>
      <c r="D1" s="2"/>
      <c r="E1" s="2"/>
    </row>
    <row r="2" customFormat="false" ht="15" hidden="false" customHeight="false" outlineLevel="0" collapsed="false">
      <c r="A2" s="3" t="s">
        <v>2206</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2012</v>
      </c>
      <c r="B4" s="22" t="s">
        <v>2207</v>
      </c>
      <c r="C4" s="2"/>
      <c r="D4" s="2"/>
      <c r="E4" s="2"/>
    </row>
    <row r="5" customFormat="false" ht="15" hidden="false" customHeight="false" outlineLevel="0" collapsed="false">
      <c r="A5" s="21"/>
      <c r="B5" s="21" t="s">
        <v>2208</v>
      </c>
      <c r="C5" s="21" t="s">
        <v>103</v>
      </c>
      <c r="D5" s="21"/>
      <c r="E5" s="21" t="s">
        <v>1930</v>
      </c>
    </row>
    <row r="6" customFormat="false" ht="15" hidden="false" customHeight="false" outlineLevel="0" collapsed="false">
      <c r="A6" s="2"/>
      <c r="B6" s="5" t="s">
        <v>2019</v>
      </c>
      <c r="C6" s="61" t="n">
        <f aca="false">Entrées!$C$13</f>
        <v>19657</v>
      </c>
      <c r="D6" s="24"/>
      <c r="E6" s="24" t="s">
        <v>138</v>
      </c>
    </row>
    <row r="7" customFormat="false" ht="15" hidden="false" customHeight="false" outlineLevel="0" collapsed="false">
      <c r="A7" s="2"/>
      <c r="B7" s="5" t="s">
        <v>2209</v>
      </c>
      <c r="C7" s="61" t="n">
        <f aca="false">Entrées!$C$33</f>
        <v>-288</v>
      </c>
      <c r="D7" s="24"/>
      <c r="E7" s="24" t="s">
        <v>208</v>
      </c>
    </row>
    <row r="8" customFormat="false" ht="15" hidden="false" customHeight="false" outlineLevel="0" collapsed="false">
      <c r="A8" s="2"/>
      <c r="B8" s="5" t="s">
        <v>2210</v>
      </c>
      <c r="C8" s="61" t="n">
        <f aca="false">Entrées!$C$77</f>
        <v>-1394</v>
      </c>
      <c r="D8" s="24"/>
      <c r="E8" s="24" t="s">
        <v>353</v>
      </c>
    </row>
    <row r="9" customFormat="false" ht="15" hidden="false" customHeight="false" outlineLevel="0" collapsed="false">
      <c r="A9" s="2"/>
      <c r="B9" s="5" t="s">
        <v>2211</v>
      </c>
      <c r="C9" s="61" t="n">
        <f aca="false">Entrées!$C$80</f>
        <v>-2869</v>
      </c>
      <c r="D9" s="24"/>
      <c r="E9" s="24" t="s">
        <v>362</v>
      </c>
    </row>
    <row r="10" customFormat="false" ht="15" hidden="false" customHeight="false" outlineLevel="0" collapsed="false">
      <c r="A10" s="2"/>
      <c r="B10" s="5" t="s">
        <v>2212</v>
      </c>
      <c r="C10" s="61" t="n">
        <f aca="false">Entrées!$C$84</f>
        <v>-70</v>
      </c>
      <c r="D10" s="24"/>
      <c r="E10" s="24" t="s">
        <v>374</v>
      </c>
    </row>
    <row r="11" customFormat="false" ht="15" hidden="false" customHeight="false" outlineLevel="0" collapsed="false">
      <c r="A11" s="2"/>
      <c r="B11" s="5" t="s">
        <v>2213</v>
      </c>
      <c r="C11" s="61" t="n">
        <f aca="false">Entrées!$C$85</f>
        <v>10</v>
      </c>
      <c r="D11" s="24"/>
      <c r="E11" s="24" t="s">
        <v>377</v>
      </c>
    </row>
    <row r="12" customFormat="false" ht="15" hidden="false" customHeight="false" outlineLevel="0" collapsed="false">
      <c r="A12" s="2"/>
      <c r="B12" s="5" t="s">
        <v>2214</v>
      </c>
      <c r="C12" s="61" t="n">
        <f aca="false">Entrées!$C$83</f>
        <v>-260</v>
      </c>
      <c r="D12" s="24"/>
      <c r="E12" s="24" t="s">
        <v>371</v>
      </c>
    </row>
    <row r="13" customFormat="false" ht="15" hidden="false" customHeight="false" outlineLevel="0" collapsed="false">
      <c r="A13" s="2"/>
      <c r="B13" s="5" t="s">
        <v>2215</v>
      </c>
      <c r="C13" s="61" t="n">
        <f aca="false">Entrées!$C$86</f>
        <v>2</v>
      </c>
      <c r="D13" s="24"/>
      <c r="E13" s="24" t="s">
        <v>379</v>
      </c>
    </row>
    <row r="14" customFormat="false" ht="15" hidden="false" customHeight="false" outlineLevel="0" collapsed="false">
      <c r="A14" s="2"/>
      <c r="B14" s="22" t="s">
        <v>2216</v>
      </c>
      <c r="C14" s="45" t="n">
        <f aca="false">SUM(C7:C13)</f>
        <v>-4869</v>
      </c>
      <c r="D14" s="24"/>
      <c r="E14" s="24"/>
    </row>
    <row r="15" customFormat="false" ht="15" hidden="false" customHeight="false" outlineLevel="0" collapsed="false">
      <c r="A15" s="2"/>
      <c r="B15" s="5" t="s">
        <v>2217</v>
      </c>
      <c r="C15" s="61" t="n">
        <f aca="false">Entrées!$C$87</f>
        <v>-21</v>
      </c>
      <c r="D15" s="24"/>
      <c r="E15" s="24" t="s">
        <v>381</v>
      </c>
    </row>
    <row r="16" customFormat="false" ht="15" hidden="false" customHeight="false" outlineLevel="0" collapsed="false">
      <c r="A16" s="2"/>
      <c r="B16" s="22" t="s">
        <v>2218</v>
      </c>
      <c r="C16" s="45" t="n">
        <f aca="false">C6-C14-C15</f>
        <v>24547</v>
      </c>
      <c r="D16" s="24"/>
      <c r="E16" s="24" t="s">
        <v>2219</v>
      </c>
    </row>
    <row r="17" customFormat="false" ht="15" hidden="false" customHeight="false" outlineLevel="0" collapsed="false">
      <c r="A17" s="2"/>
      <c r="B17" s="5" t="s">
        <v>2220</v>
      </c>
      <c r="C17" s="61" t="n">
        <f aca="false">Entrées!$C$16</f>
        <v>24548</v>
      </c>
      <c r="D17" s="24"/>
      <c r="E17" s="24" t="s">
        <v>151</v>
      </c>
    </row>
    <row r="18" customFormat="false" ht="15" hidden="false" customHeight="false" outlineLevel="0" collapsed="false">
      <c r="A18" s="2"/>
      <c r="B18" s="5" t="s">
        <v>2221</v>
      </c>
      <c r="C18" s="61" t="n">
        <f aca="false">Entrées!$C$81</f>
        <v>-2778</v>
      </c>
      <c r="D18" s="24"/>
      <c r="E18" s="24" t="s">
        <v>365</v>
      </c>
    </row>
    <row r="19" customFormat="false" ht="15" hidden="false" customHeight="false" outlineLevel="0" collapsed="false">
      <c r="A19" s="2"/>
      <c r="B19" s="5" t="s">
        <v>2222</v>
      </c>
      <c r="C19" s="61" t="n">
        <f aca="false">Entrées!$C$82</f>
        <v>-137</v>
      </c>
      <c r="D19" s="24"/>
      <c r="E19" s="24" t="s">
        <v>368</v>
      </c>
    </row>
    <row r="20" customFormat="false" ht="15" hidden="false" customHeight="false" outlineLevel="0" collapsed="false">
      <c r="A20" s="2"/>
      <c r="B20" s="22" t="s">
        <v>2223</v>
      </c>
      <c r="C20" s="45" t="n">
        <f aca="false">-C18-Entrées!$C$46</f>
        <v>236</v>
      </c>
      <c r="D20" s="24"/>
      <c r="E20" s="24" t="s">
        <v>2224</v>
      </c>
    </row>
    <row r="21" customFormat="false" ht="15" hidden="false" customHeight="false" outlineLevel="0" collapsed="false">
      <c r="A21" s="2"/>
      <c r="B21" s="2"/>
      <c r="C21" s="2"/>
      <c r="D21" s="2"/>
      <c r="E21" s="2"/>
    </row>
    <row r="22" customFormat="false" ht="15" hidden="false" customHeight="false" outlineLevel="0" collapsed="false">
      <c r="A22" s="22" t="s">
        <v>2025</v>
      </c>
      <c r="B22" s="22" t="s">
        <v>2225</v>
      </c>
      <c r="C22" s="2"/>
      <c r="D22" s="2"/>
      <c r="E22" s="2"/>
    </row>
    <row r="23" customFormat="false" ht="15" hidden="false" customHeight="false" outlineLevel="0" collapsed="false">
      <c r="A23" s="21"/>
      <c r="B23" s="21" t="s">
        <v>2208</v>
      </c>
      <c r="C23" s="21" t="s">
        <v>103</v>
      </c>
      <c r="D23" s="21"/>
      <c r="E23" s="21" t="s">
        <v>1930</v>
      </c>
    </row>
    <row r="24" customFormat="false" ht="15" hidden="false" customHeight="false" outlineLevel="0" collapsed="false">
      <c r="A24" s="2"/>
      <c r="B24" s="5" t="s">
        <v>2014</v>
      </c>
      <c r="C24" s="61" t="n">
        <f aca="false">Entrées!$C$28</f>
        <v>17819</v>
      </c>
      <c r="D24" s="24"/>
      <c r="E24" s="24" t="s">
        <v>192</v>
      </c>
    </row>
    <row r="25" customFormat="false" ht="15" hidden="false" customHeight="false" outlineLevel="0" collapsed="false">
      <c r="A25" s="2"/>
      <c r="B25" s="5" t="s">
        <v>2209</v>
      </c>
      <c r="C25" s="61" t="n">
        <f aca="false">Entrées!$C$34</f>
        <v>1178</v>
      </c>
      <c r="D25" s="24"/>
      <c r="E25" s="24" t="s">
        <v>211</v>
      </c>
    </row>
    <row r="26" customFormat="false" ht="15" hidden="false" customHeight="false" outlineLevel="0" collapsed="false">
      <c r="A26" s="2"/>
      <c r="B26" s="5" t="s">
        <v>2211</v>
      </c>
      <c r="C26" s="61" t="n">
        <f aca="false">Entrées!$C$69</f>
        <v>-2301</v>
      </c>
      <c r="D26" s="24"/>
      <c r="E26" s="24" t="s">
        <v>330</v>
      </c>
    </row>
    <row r="27" customFormat="false" ht="15" hidden="false" customHeight="false" outlineLevel="0" collapsed="false">
      <c r="A27" s="2"/>
      <c r="B27" s="5" t="s">
        <v>2226</v>
      </c>
      <c r="C27" s="61" t="n">
        <f aca="false">Entrées!$C$70</f>
        <v>-1023</v>
      </c>
      <c r="D27" s="24"/>
      <c r="E27" s="24" t="s">
        <v>333</v>
      </c>
    </row>
    <row r="28" customFormat="false" ht="15" hidden="false" customHeight="false" outlineLevel="0" collapsed="false">
      <c r="A28" s="2"/>
      <c r="B28" s="5" t="s">
        <v>2227</v>
      </c>
      <c r="C28" s="61" t="n">
        <f aca="false">Entrées!$C$71</f>
        <v>497</v>
      </c>
      <c r="D28" s="24"/>
      <c r="E28" s="24" t="s">
        <v>336</v>
      </c>
    </row>
    <row r="29" customFormat="false" ht="15" hidden="false" customHeight="false" outlineLevel="0" collapsed="false">
      <c r="A29" s="2"/>
      <c r="B29" s="5" t="s">
        <v>2228</v>
      </c>
      <c r="C29" s="61" t="n">
        <f aca="false">Entrées!$C$72</f>
        <v>318</v>
      </c>
      <c r="D29" s="24"/>
      <c r="E29" s="24" t="s">
        <v>339</v>
      </c>
    </row>
    <row r="30" customFormat="false" ht="15" hidden="false" customHeight="false" outlineLevel="0" collapsed="false">
      <c r="A30" s="2"/>
      <c r="B30" s="5" t="s">
        <v>2229</v>
      </c>
      <c r="C30" s="61" t="n">
        <f aca="false">Entrées!$C$73</f>
        <v>-402</v>
      </c>
      <c r="D30" s="24"/>
      <c r="E30" s="24" t="s">
        <v>342</v>
      </c>
    </row>
    <row r="31" customFormat="false" ht="15" hidden="false" customHeight="false" outlineLevel="0" collapsed="false">
      <c r="A31" s="2"/>
      <c r="B31" s="5" t="s">
        <v>2230</v>
      </c>
      <c r="C31" s="61" t="n">
        <f aca="false">Entrées!$C$74</f>
        <v>293</v>
      </c>
      <c r="D31" s="24"/>
      <c r="E31" s="24" t="s">
        <v>345</v>
      </c>
    </row>
    <row r="32" customFormat="false" ht="15" hidden="false" customHeight="false" outlineLevel="0" collapsed="false">
      <c r="A32" s="2"/>
      <c r="B32" s="22" t="s">
        <v>2231</v>
      </c>
      <c r="C32" s="45" t="n">
        <f aca="false">SUM(C25:C31)</f>
        <v>-1440</v>
      </c>
      <c r="D32" s="24"/>
      <c r="E32" s="24"/>
    </row>
    <row r="33" customFormat="false" ht="15" hidden="false" customHeight="false" outlineLevel="0" collapsed="false">
      <c r="A33" s="2"/>
      <c r="B33" s="5" t="s">
        <v>2232</v>
      </c>
      <c r="C33" s="64" t="n">
        <f aca="false">C24-C32</f>
        <v>19259</v>
      </c>
      <c r="D33" s="24"/>
      <c r="E33" s="24"/>
    </row>
    <row r="34" customFormat="false" ht="15" hidden="false" customHeight="false" outlineLevel="0" collapsed="false">
      <c r="A34" s="2"/>
      <c r="B34" s="5" t="s">
        <v>2233</v>
      </c>
      <c r="C34" s="61" t="n">
        <f aca="false">Entrées!$C$13</f>
        <v>19657</v>
      </c>
      <c r="D34" s="24"/>
      <c r="E34" s="24" t="s">
        <v>138</v>
      </c>
    </row>
    <row r="35" customFormat="false" ht="15" hidden="false" customHeight="false" outlineLevel="0" collapsed="false">
      <c r="A35" s="2"/>
      <c r="B35" s="22" t="s">
        <v>2234</v>
      </c>
      <c r="C35" s="45" t="n">
        <f aca="false">C34-C33</f>
        <v>398</v>
      </c>
      <c r="D35" s="24"/>
      <c r="E35" s="24" t="s">
        <v>2235</v>
      </c>
    </row>
    <row r="36" customFormat="false" ht="15" hidden="false" customHeight="false" outlineLevel="0" collapsed="false">
      <c r="A36" s="2"/>
      <c r="B36" s="5" t="s">
        <v>2236</v>
      </c>
      <c r="C36" s="64" t="n">
        <f aca="false">-Entrées!$C$78+Entrées!$C$70</f>
        <v>244</v>
      </c>
      <c r="D36" s="24"/>
      <c r="E36" s="24" t="s">
        <v>2237</v>
      </c>
    </row>
    <row r="37" customFormat="false" ht="15" hidden="false" customHeight="false" outlineLevel="0" collapsed="false">
      <c r="A37" s="2"/>
      <c r="B37" s="2"/>
      <c r="C37" s="2"/>
      <c r="D37" s="2"/>
      <c r="E37" s="2"/>
    </row>
    <row r="38" customFormat="false" ht="15" hidden="false" customHeight="false" outlineLevel="0" collapsed="false">
      <c r="A38" s="22" t="s">
        <v>2190</v>
      </c>
      <c r="B38" s="22" t="s">
        <v>2238</v>
      </c>
      <c r="C38" s="2"/>
      <c r="D38" s="2"/>
      <c r="E38" s="2"/>
    </row>
    <row r="39" customFormat="false" ht="15" hidden="false" customHeight="false" outlineLevel="0" collapsed="false">
      <c r="A39" s="2"/>
      <c r="B39" s="5" t="s">
        <v>2239</v>
      </c>
      <c r="C39" s="61" t="n">
        <f aca="false">Entrées!$C$75</f>
        <v>-451</v>
      </c>
      <c r="D39" s="24"/>
      <c r="E39" s="24" t="s">
        <v>348</v>
      </c>
    </row>
    <row r="40" customFormat="false" ht="15" hidden="false" customHeight="false" outlineLevel="0" collapsed="false">
      <c r="A40" s="2"/>
      <c r="B40" s="22" t="s">
        <v>2240</v>
      </c>
      <c r="C40" s="45" t="n">
        <f aca="false">Entrées!$C$34-Entrées!$C$75</f>
        <v>1629</v>
      </c>
      <c r="D40" s="24"/>
      <c r="E40" s="24" t="s">
        <v>2241</v>
      </c>
    </row>
    <row r="41" customFormat="false" ht="15" hidden="false" customHeight="false" outlineLevel="0" collapsed="false">
      <c r="A41" s="2"/>
      <c r="B41" s="5" t="s">
        <v>2242</v>
      </c>
      <c r="C41" s="61" t="n">
        <f aca="false">Entrées!$C$89</f>
        <v>-1171</v>
      </c>
      <c r="D41" s="24"/>
      <c r="E41" s="24" t="s">
        <v>387</v>
      </c>
    </row>
    <row r="42" customFormat="false" ht="15" hidden="false" customHeight="false" outlineLevel="0" collapsed="false">
      <c r="A42" s="2"/>
      <c r="B42" s="5" t="s">
        <v>2243</v>
      </c>
      <c r="C42" s="61" t="n">
        <f aca="false">Entrées!$C$88</f>
        <v>-1238</v>
      </c>
      <c r="D42" s="24"/>
      <c r="E42" s="24" t="s">
        <v>384</v>
      </c>
    </row>
    <row r="43" customFormat="false" ht="15" hidden="false" customHeight="false" outlineLevel="0" collapsed="false">
      <c r="A43" s="2"/>
      <c r="B43" s="5" t="s">
        <v>2244</v>
      </c>
      <c r="C43" s="61" t="n">
        <f aca="false">Entrées!$C$76</f>
        <v>20764</v>
      </c>
      <c r="D43" s="24"/>
      <c r="E43" s="24" t="s">
        <v>350</v>
      </c>
    </row>
    <row r="44" customFormat="false" ht="15" hidden="false" customHeight="false" outlineLevel="0" collapsed="false">
      <c r="A44" s="2"/>
      <c r="B44" s="5" t="s">
        <v>2245</v>
      </c>
      <c r="C44" s="61" t="n">
        <f aca="false">Entrées!$C$13</f>
        <v>19657</v>
      </c>
      <c r="D44" s="24"/>
      <c r="E44" s="24" t="s">
        <v>138</v>
      </c>
    </row>
    <row r="45" customFormat="false" ht="15" hidden="false" customHeight="false" outlineLevel="0" collapsed="false">
      <c r="A45" s="2"/>
      <c r="B45" s="22" t="s">
        <v>2246</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2247</v>
      </c>
      <c r="B1" s="2"/>
      <c r="C1" s="2"/>
      <c r="D1" s="2"/>
      <c r="E1" s="2"/>
      <c r="F1" s="2"/>
      <c r="G1" s="2"/>
      <c r="H1" s="2"/>
      <c r="I1" s="2"/>
      <c r="J1" s="2"/>
      <c r="K1" s="2"/>
      <c r="L1" s="2"/>
    </row>
    <row r="2" customFormat="false" ht="15" hidden="false" customHeight="false" outlineLevel="0" collapsed="false">
      <c r="A2" s="3" t="s">
        <v>2248</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2012</v>
      </c>
      <c r="B4" s="22" t="s">
        <v>2249</v>
      </c>
      <c r="C4" s="2"/>
      <c r="D4" s="2"/>
      <c r="E4" s="2"/>
      <c r="F4" s="2"/>
      <c r="G4" s="2"/>
      <c r="H4" s="2"/>
      <c r="I4" s="2"/>
      <c r="J4" s="2"/>
      <c r="K4" s="2"/>
      <c r="L4" s="2"/>
    </row>
    <row r="5" customFormat="false" ht="15" hidden="false" customHeight="false" outlineLevel="0" collapsed="false">
      <c r="A5" s="21"/>
      <c r="B5" s="21" t="s">
        <v>2250</v>
      </c>
      <c r="C5" s="21" t="s">
        <v>191</v>
      </c>
      <c r="D5" s="21" t="s">
        <v>156</v>
      </c>
      <c r="E5" s="21" t="s">
        <v>2251</v>
      </c>
      <c r="F5" s="21" t="s">
        <v>2252</v>
      </c>
      <c r="G5" s="21" t="s">
        <v>1310</v>
      </c>
      <c r="H5" s="21" t="s">
        <v>2253</v>
      </c>
      <c r="I5" s="21" t="s">
        <v>2254</v>
      </c>
      <c r="J5" s="21" t="s">
        <v>2255</v>
      </c>
      <c r="K5" s="21" t="s">
        <v>2256</v>
      </c>
      <c r="L5" s="21" t="s">
        <v>1930</v>
      </c>
    </row>
    <row r="6" customFormat="false" ht="15" hidden="false" customHeight="false" outlineLevel="0" collapsed="false">
      <c r="A6" s="2"/>
      <c r="B6" s="5" t="s">
        <v>2257</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2258</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2259</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2260</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2261</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2262</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2263</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2264</v>
      </c>
      <c r="C13" s="61" t="n">
        <f aca="false">Entrées!$C$301</f>
        <v>4933</v>
      </c>
      <c r="D13" s="2"/>
      <c r="E13" s="2"/>
      <c r="F13" s="2"/>
      <c r="G13" s="2"/>
      <c r="H13" s="2"/>
      <c r="I13" s="2"/>
      <c r="J13" s="2"/>
      <c r="K13" s="2"/>
      <c r="L13" s="24" t="s">
        <v>995</v>
      </c>
    </row>
    <row r="14" customFormat="false" ht="15" hidden="false" customHeight="false" outlineLevel="0" collapsed="false">
      <c r="A14" s="2"/>
      <c r="B14" s="5" t="s">
        <v>2265</v>
      </c>
      <c r="C14" s="61" t="n">
        <f aca="false">Entrées!$C$302</f>
        <v>863</v>
      </c>
      <c r="D14" s="2"/>
      <c r="E14" s="2"/>
      <c r="F14" s="2"/>
      <c r="G14" s="2"/>
      <c r="H14" s="2"/>
      <c r="I14" s="2"/>
      <c r="J14" s="2"/>
      <c r="K14" s="2"/>
      <c r="L14" s="24" t="s">
        <v>998</v>
      </c>
    </row>
    <row r="15" customFormat="false" ht="15" hidden="false" customHeight="false" outlineLevel="0" collapsed="false">
      <c r="A15" s="2"/>
      <c r="B15" s="22" t="s">
        <v>2266</v>
      </c>
      <c r="C15" s="45" t="n">
        <f aca="false">C10-C13-C14</f>
        <v>3846</v>
      </c>
      <c r="D15" s="2"/>
      <c r="E15" s="2"/>
      <c r="F15" s="2"/>
      <c r="G15" s="2"/>
      <c r="H15" s="2"/>
      <c r="I15" s="2"/>
      <c r="J15" s="2"/>
      <c r="K15" s="2"/>
      <c r="L15" s="2"/>
    </row>
    <row r="16" customFormat="false" ht="15" hidden="false" customHeight="false" outlineLevel="0" collapsed="false">
      <c r="A16" s="2"/>
      <c r="B16" s="5" t="s">
        <v>2267</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2025</v>
      </c>
      <c r="B18" s="22" t="s">
        <v>2268</v>
      </c>
      <c r="C18" s="2"/>
      <c r="D18" s="2"/>
      <c r="E18" s="2"/>
      <c r="F18" s="2"/>
      <c r="G18" s="2"/>
      <c r="H18" s="2"/>
      <c r="I18" s="2"/>
      <c r="J18" s="2"/>
      <c r="K18" s="2"/>
      <c r="L18" s="2"/>
    </row>
    <row r="19" customFormat="false" ht="35.05" hidden="false" customHeight="false" outlineLevel="0" collapsed="false">
      <c r="A19" s="21"/>
      <c r="B19" s="21" t="s">
        <v>2269</v>
      </c>
      <c r="C19" s="21" t="s">
        <v>2270</v>
      </c>
      <c r="D19" s="21" t="s">
        <v>2271</v>
      </c>
      <c r="E19" s="21" t="s">
        <v>2272</v>
      </c>
      <c r="F19" s="21" t="s">
        <v>2273</v>
      </c>
      <c r="G19" s="21" t="s">
        <v>2274</v>
      </c>
      <c r="H19" s="2"/>
      <c r="I19" s="2"/>
      <c r="J19" s="2"/>
      <c r="K19" s="2"/>
      <c r="L19" s="2"/>
    </row>
    <row r="20" customFormat="false" ht="15" hidden="false" customHeight="false" outlineLevel="0" collapsed="false">
      <c r="A20" s="2"/>
      <c r="B20" s="25" t="s">
        <v>191</v>
      </c>
      <c r="C20" s="68" t="n">
        <f aca="false">Entrées!$C$276+Entrées!$C$277</f>
        <v>1400</v>
      </c>
      <c r="D20" s="53" t="s">
        <v>1939</v>
      </c>
      <c r="E20" s="53" t="s">
        <v>1939</v>
      </c>
      <c r="F20" s="53" t="s">
        <v>1939</v>
      </c>
      <c r="G20" s="24" t="s">
        <v>2275</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2276</v>
      </c>
      <c r="H21" s="2"/>
      <c r="I21" s="2"/>
      <c r="J21" s="2"/>
      <c r="K21" s="2"/>
      <c r="L21" s="2"/>
    </row>
    <row r="22" customFormat="false" ht="15" hidden="false" customHeight="false" outlineLevel="0" collapsed="false">
      <c r="A22" s="2"/>
      <c r="B22" s="25" t="s">
        <v>2251</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2277</v>
      </c>
      <c r="H22" s="2"/>
      <c r="I22" s="2"/>
      <c r="J22" s="2"/>
      <c r="K22" s="2"/>
      <c r="L22" s="2"/>
    </row>
    <row r="23" customFormat="false" ht="15" hidden="false" customHeight="false" outlineLevel="0" collapsed="false">
      <c r="A23" s="2"/>
      <c r="B23" s="25" t="s">
        <v>2252</v>
      </c>
      <c r="C23" s="68" t="n">
        <f aca="false">Entrées!$C$386+Entrées!$C$387+Entrées!$C$388</f>
        <v>1275</v>
      </c>
      <c r="D23" s="53" t="s">
        <v>1939</v>
      </c>
      <c r="E23" s="53" t="s">
        <v>1939</v>
      </c>
      <c r="F23" s="53" t="s">
        <v>1939</v>
      </c>
      <c r="G23" s="24" t="s">
        <v>2278</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1939</v>
      </c>
      <c r="E24" s="53" t="s">
        <v>1939</v>
      </c>
      <c r="F24" s="53" t="s">
        <v>1939</v>
      </c>
      <c r="G24" s="24" t="s">
        <v>2279</v>
      </c>
      <c r="H24" s="2"/>
      <c r="I24" s="2"/>
      <c r="J24" s="2"/>
      <c r="K24" s="2"/>
      <c r="L24" s="2"/>
    </row>
    <row r="25" customFormat="false" ht="15" hidden="false" customHeight="false" outlineLevel="0" collapsed="false">
      <c r="A25" s="2"/>
      <c r="B25" s="5" t="s">
        <v>2280</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2281</v>
      </c>
      <c r="C26" s="45" t="n">
        <f aca="false">F21+F22</f>
        <v>74.4695</v>
      </c>
      <c r="D26" s="2"/>
      <c r="E26" s="2"/>
      <c r="F26" s="2"/>
      <c r="G26" s="2"/>
      <c r="H26" s="2"/>
      <c r="I26" s="2"/>
      <c r="J26" s="2"/>
      <c r="K26" s="2"/>
      <c r="L26" s="2"/>
    </row>
    <row r="27" customFormat="false" ht="15" hidden="false" customHeight="false" outlineLevel="0" collapsed="false">
      <c r="A27" s="2"/>
      <c r="B27" s="24" t="s">
        <v>2282</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2190</v>
      </c>
      <c r="B30" s="22" t="s">
        <v>2283</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2011</v>
      </c>
      <c r="F31" s="2"/>
      <c r="G31" s="2"/>
      <c r="H31" s="2"/>
      <c r="I31" s="2"/>
      <c r="J31" s="2"/>
      <c r="K31" s="2"/>
      <c r="L31" s="2"/>
    </row>
    <row r="32" customFormat="false" ht="15" hidden="false" customHeight="false" outlineLevel="0" collapsed="false">
      <c r="A32" s="2"/>
      <c r="B32" s="5" t="s">
        <v>2284</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2285</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2286</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2287</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2288</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2289</v>
      </c>
      <c r="C37" s="45" t="n">
        <f aca="false">SUM(C32:C36)</f>
        <v>15911</v>
      </c>
      <c r="D37" s="24" t="s">
        <v>103</v>
      </c>
      <c r="E37" s="24" t="s">
        <v>2081</v>
      </c>
      <c r="F37" s="2"/>
      <c r="G37" s="2"/>
      <c r="H37" s="2"/>
      <c r="I37" s="2"/>
      <c r="J37" s="2"/>
      <c r="K37" s="2"/>
      <c r="L37" s="2"/>
    </row>
    <row r="38" customFormat="false" ht="15" hidden="false" customHeight="false" outlineLevel="0" collapsed="false">
      <c r="A38" s="2"/>
      <c r="B38" s="5" t="s">
        <v>2290</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2291</v>
      </c>
      <c r="C39" s="64" t="n">
        <f aca="false">C32+C33+C35</f>
        <v>5938</v>
      </c>
      <c r="D39" s="24" t="s">
        <v>103</v>
      </c>
      <c r="E39" s="24" t="s">
        <v>2292</v>
      </c>
      <c r="F39" s="2"/>
      <c r="G39" s="2"/>
      <c r="H39" s="2"/>
      <c r="I39" s="2"/>
      <c r="J39" s="2"/>
      <c r="K39" s="2"/>
      <c r="L39" s="2"/>
    </row>
    <row r="40" customFormat="false" ht="15" hidden="false" customHeight="false" outlineLevel="0" collapsed="false">
      <c r="A40" s="2"/>
      <c r="B40" s="5" t="s">
        <v>2293</v>
      </c>
      <c r="C40" s="64" t="n">
        <f aca="false">C34+C36</f>
        <v>9973</v>
      </c>
      <c r="D40" s="24" t="s">
        <v>103</v>
      </c>
      <c r="E40" s="24"/>
      <c r="F40" s="2"/>
      <c r="G40" s="2"/>
      <c r="H40" s="2"/>
      <c r="I40" s="2"/>
      <c r="J40" s="2"/>
      <c r="K40" s="2"/>
      <c r="L40" s="2"/>
    </row>
    <row r="41" customFormat="false" ht="15" hidden="false" customHeight="false" outlineLevel="0" collapsed="false">
      <c r="A41" s="2"/>
      <c r="B41" s="22" t="s">
        <v>2294</v>
      </c>
      <c r="C41" s="62" t="n">
        <f aca="false">C38/C10</f>
        <v>1.65017631196847</v>
      </c>
      <c r="D41" s="24" t="s">
        <v>133</v>
      </c>
      <c r="E41" s="24" t="s">
        <v>2295</v>
      </c>
      <c r="F41" s="2"/>
      <c r="G41" s="2"/>
      <c r="H41" s="2"/>
      <c r="I41" s="2"/>
      <c r="J41" s="2"/>
      <c r="K41" s="2"/>
      <c r="L41" s="2"/>
    </row>
    <row r="42" customFormat="false" ht="15" hidden="false" customHeight="false" outlineLevel="0" collapsed="false">
      <c r="A42" s="2"/>
      <c r="B42" s="22" t="s">
        <v>2296</v>
      </c>
      <c r="C42" s="62" t="n">
        <f aca="false">C38/C15</f>
        <v>4.13702548101924</v>
      </c>
      <c r="D42" s="24" t="s">
        <v>133</v>
      </c>
      <c r="E42" s="24"/>
      <c r="F42" s="2"/>
      <c r="G42" s="2"/>
      <c r="H42" s="2"/>
      <c r="I42" s="2"/>
      <c r="J42" s="2"/>
      <c r="K42" s="2"/>
      <c r="L42" s="2"/>
    </row>
    <row r="43" customFormat="false" ht="15" hidden="false" customHeight="false" outlineLevel="0" collapsed="false">
      <c r="A43" s="2"/>
      <c r="B43" s="5" t="s">
        <v>2297</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2298</v>
      </c>
      <c r="C44" s="75" t="n">
        <f aca="false">(C38+Trajectoire!$D$42)/(C10+D10)</f>
        <v>1.27379761675482</v>
      </c>
      <c r="D44" s="24" t="s">
        <v>133</v>
      </c>
      <c r="E44" s="24" t="s">
        <v>2299</v>
      </c>
      <c r="F44" s="2"/>
      <c r="G44" s="2"/>
      <c r="H44" s="2"/>
      <c r="I44" s="2"/>
      <c r="J44" s="2"/>
      <c r="K44" s="2"/>
      <c r="L44" s="2"/>
    </row>
    <row r="45" customFormat="false" ht="15" hidden="false" customHeight="false" outlineLevel="0" collapsed="false">
      <c r="A45" s="2"/>
      <c r="B45" s="5" t="s">
        <v>2042</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2300</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2301</v>
      </c>
      <c r="B1" s="2"/>
      <c r="C1" s="2"/>
      <c r="D1" s="2"/>
      <c r="E1" s="2"/>
    </row>
    <row r="2" customFormat="false" ht="15" hidden="false" customHeight="false" outlineLevel="0" collapsed="false">
      <c r="A2" s="3" t="s">
        <v>2302</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2012</v>
      </c>
      <c r="B4" s="22" t="s">
        <v>2303</v>
      </c>
      <c r="C4" s="2"/>
      <c r="D4" s="2"/>
      <c r="E4" s="2"/>
    </row>
    <row r="5" customFormat="false" ht="15" hidden="false" customHeight="false" outlineLevel="0" collapsed="false">
      <c r="A5" s="21"/>
      <c r="B5" s="21" t="s">
        <v>2304</v>
      </c>
      <c r="C5" s="21" t="s">
        <v>113</v>
      </c>
      <c r="D5" s="21"/>
      <c r="E5" s="21" t="s">
        <v>1930</v>
      </c>
    </row>
    <row r="6" customFormat="false" ht="15" hidden="false" customHeight="false" outlineLevel="0" collapsed="false">
      <c r="A6" s="2"/>
      <c r="B6" s="5" t="s">
        <v>2305</v>
      </c>
      <c r="C6" s="78" t="n">
        <f aca="false">Entrées!$C$95</f>
        <v>1.9</v>
      </c>
      <c r="D6" s="24"/>
      <c r="E6" s="24" t="s">
        <v>404</v>
      </c>
    </row>
    <row r="7" customFormat="false" ht="15" hidden="false" customHeight="false" outlineLevel="0" collapsed="false">
      <c r="A7" s="2"/>
      <c r="B7" s="5" t="s">
        <v>2306</v>
      </c>
      <c r="C7" s="78" t="n">
        <f aca="false">Entrées!$C$96</f>
        <v>1.5</v>
      </c>
      <c r="D7" s="24"/>
      <c r="E7" s="24" t="s">
        <v>407</v>
      </c>
    </row>
    <row r="8" customFormat="false" ht="15" hidden="false" customHeight="false" outlineLevel="0" collapsed="false">
      <c r="A8" s="2"/>
      <c r="B8" s="5" t="s">
        <v>2307</v>
      </c>
      <c r="C8" s="79" t="n">
        <f aca="false">-Entrées!$C$97</f>
        <v>-0.3</v>
      </c>
      <c r="D8" s="24"/>
      <c r="E8" s="24" t="s">
        <v>410</v>
      </c>
    </row>
    <row r="9" customFormat="false" ht="15" hidden="false" customHeight="false" outlineLevel="0" collapsed="false">
      <c r="A9" s="2"/>
      <c r="B9" s="22" t="s">
        <v>2308</v>
      </c>
      <c r="C9" s="51" t="n">
        <f aca="false">SUM(C6:C8)</f>
        <v>3.1</v>
      </c>
      <c r="D9" s="24"/>
      <c r="E9" s="24"/>
    </row>
    <row r="10" customFormat="false" ht="15" hidden="false" customHeight="false" outlineLevel="0" collapsed="false">
      <c r="A10" s="2"/>
      <c r="B10" s="5" t="s">
        <v>2309</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2310</v>
      </c>
      <c r="C12" s="78" t="n">
        <f aca="false">Entrées!$C$10</f>
        <v>0.5</v>
      </c>
      <c r="D12" s="24"/>
      <c r="E12" s="24" t="s">
        <v>128</v>
      </c>
    </row>
    <row r="13" customFormat="false" ht="15" hidden="false" customHeight="false" outlineLevel="0" collapsed="false">
      <c r="A13" s="2"/>
      <c r="B13" s="5" t="s">
        <v>2311</v>
      </c>
      <c r="C13" s="78" t="n">
        <f aca="false">Entrées!$C$26</f>
        <v>1</v>
      </c>
      <c r="D13" s="24"/>
      <c r="E13" s="24" t="s">
        <v>186</v>
      </c>
    </row>
    <row r="14" customFormat="false" ht="15" hidden="false" customHeight="false" outlineLevel="0" collapsed="false">
      <c r="A14" s="2"/>
      <c r="B14" s="5" t="s">
        <v>2312</v>
      </c>
      <c r="C14" s="78" t="n">
        <f aca="false">Entrées!$C$23</f>
        <v>0.5</v>
      </c>
      <c r="D14" s="24"/>
      <c r="E14" s="24" t="s">
        <v>179</v>
      </c>
    </row>
    <row r="15" customFormat="false" ht="15" hidden="false" customHeight="false" outlineLevel="0" collapsed="false">
      <c r="A15" s="2"/>
      <c r="B15" s="5" t="s">
        <v>2313</v>
      </c>
      <c r="C15" s="79" t="n">
        <f aca="false">C12-C14</f>
        <v>0</v>
      </c>
      <c r="D15" s="24"/>
      <c r="E15" s="24"/>
    </row>
    <row r="16" customFormat="false" ht="15" hidden="false" customHeight="false" outlineLevel="0" collapsed="false">
      <c r="A16" s="2"/>
      <c r="B16" s="22" t="s">
        <v>2314</v>
      </c>
      <c r="C16" s="51" t="n">
        <f aca="false">C13-C14</f>
        <v>0.5</v>
      </c>
      <c r="D16" s="24"/>
      <c r="E16" s="24"/>
    </row>
    <row r="17" customFormat="false" ht="15" hidden="false" customHeight="false" outlineLevel="0" collapsed="false">
      <c r="A17" s="2"/>
      <c r="B17" s="5" t="s">
        <v>2315</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2025</v>
      </c>
      <c r="B20" s="22" t="s">
        <v>2316</v>
      </c>
      <c r="C20" s="2"/>
      <c r="D20" s="2"/>
      <c r="E20" s="2"/>
    </row>
    <row r="21" customFormat="false" ht="15" hidden="false" customHeight="false" outlineLevel="0" collapsed="false">
      <c r="A21" s="2"/>
      <c r="B21" s="5" t="s">
        <v>2317</v>
      </c>
      <c r="C21" s="79" t="n">
        <f aca="false">-Entrées!$C$81/1000</f>
        <v>2.778</v>
      </c>
      <c r="D21" s="24" t="s">
        <v>130</v>
      </c>
      <c r="E21" s="24" t="s">
        <v>365</v>
      </c>
    </row>
    <row r="22" customFormat="false" ht="15" hidden="false" customHeight="false" outlineLevel="0" collapsed="false">
      <c r="A22" s="2"/>
      <c r="B22" s="5" t="s">
        <v>2318</v>
      </c>
      <c r="C22" s="79" t="n">
        <f aca="false">$C$17*4</f>
        <v>2</v>
      </c>
      <c r="D22" s="24" t="s">
        <v>130</v>
      </c>
      <c r="E22" s="24" t="s">
        <v>2319</v>
      </c>
    </row>
    <row r="23" customFormat="false" ht="15" hidden="false" customHeight="false" outlineLevel="0" collapsed="false">
      <c r="A23" s="2"/>
      <c r="B23" s="22" t="s">
        <v>2320</v>
      </c>
      <c r="C23" s="80" t="n">
        <f aca="false">C21/$C$17</f>
        <v>5.556</v>
      </c>
      <c r="D23" s="24" t="s">
        <v>2321</v>
      </c>
      <c r="E23" s="24"/>
    </row>
    <row r="24" customFormat="false" ht="15" hidden="false" customHeight="false" outlineLevel="0" collapsed="false">
      <c r="A24" s="2"/>
      <c r="B24" s="5" t="s">
        <v>2322</v>
      </c>
      <c r="C24" s="78" t="n">
        <f aca="false">Entrées!$C$30</f>
        <v>2</v>
      </c>
      <c r="D24" s="24" t="s">
        <v>130</v>
      </c>
      <c r="E24" s="24" t="s">
        <v>197</v>
      </c>
    </row>
    <row r="25" customFormat="false" ht="15" hidden="false" customHeight="false" outlineLevel="0" collapsed="false">
      <c r="A25" s="2"/>
      <c r="B25" s="22" t="s">
        <v>2323</v>
      </c>
      <c r="C25" s="51" t="n">
        <f aca="false">C21-C24</f>
        <v>0.778</v>
      </c>
      <c r="D25" s="24" t="s">
        <v>130</v>
      </c>
      <c r="E25" s="24"/>
    </row>
    <row r="26" customFormat="false" ht="15" hidden="false" customHeight="false" outlineLevel="0" collapsed="false">
      <c r="A26" s="2"/>
      <c r="B26" s="5" t="s">
        <v>2324</v>
      </c>
      <c r="C26" s="81" t="n">
        <f aca="false">C25/$C$17</f>
        <v>1.556</v>
      </c>
      <c r="D26" s="24" t="s">
        <v>2321</v>
      </c>
      <c r="E26" s="24"/>
    </row>
    <row r="27" customFormat="false" ht="15" hidden="false" customHeight="false" outlineLevel="0" collapsed="false">
      <c r="A27" s="2"/>
      <c r="B27" s="5" t="s">
        <v>2325</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2190</v>
      </c>
      <c r="B30" s="22" t="s">
        <v>2326</v>
      </c>
      <c r="C30" s="2"/>
      <c r="D30" s="2"/>
      <c r="E30" s="2"/>
    </row>
    <row r="31" customFormat="false" ht="15" hidden="false" customHeight="false" outlineLevel="0" collapsed="false">
      <c r="A31" s="21"/>
      <c r="B31" s="21" t="s">
        <v>94</v>
      </c>
      <c r="C31" s="21" t="s">
        <v>2327</v>
      </c>
      <c r="D31" s="21" t="s">
        <v>2328</v>
      </c>
      <c r="E31" s="21" t="s">
        <v>2329</v>
      </c>
    </row>
    <row r="32" customFormat="false" ht="15" hidden="false" customHeight="false" outlineLevel="0" collapsed="false">
      <c r="A32" s="2"/>
      <c r="B32" s="5" t="s">
        <v>2330</v>
      </c>
      <c r="C32" s="78" t="n">
        <f aca="false">Entrées!$C$35</f>
        <v>0.1</v>
      </c>
      <c r="D32" s="79" t="n">
        <f aca="false">C32</f>
        <v>0.1</v>
      </c>
      <c r="E32" s="24" t="s">
        <v>213</v>
      </c>
    </row>
    <row r="33" customFormat="false" ht="15" hidden="false" customHeight="false" outlineLevel="0" collapsed="false">
      <c r="A33" s="2"/>
      <c r="B33" s="5" t="s">
        <v>2331</v>
      </c>
      <c r="C33" s="79" t="n">
        <f aca="false">Entrées!$C$36*Hypothèses!$J$12</f>
        <v>0.25</v>
      </c>
      <c r="D33" s="79" t="n">
        <f aca="false">D32+C33</f>
        <v>0.35</v>
      </c>
      <c r="E33" s="24" t="s">
        <v>2332</v>
      </c>
    </row>
    <row r="34" customFormat="false" ht="15" hidden="false" customHeight="false" outlineLevel="0" collapsed="false">
      <c r="A34" s="2"/>
      <c r="B34" s="5" t="s">
        <v>2333</v>
      </c>
      <c r="C34" s="79" t="n">
        <f aca="false">Entrées!$C$36*(1-Hypothèses!$J$12)+MAX(0,Entrées!$C$30-Entrées!$C$35-Entrées!$C$36)*Hypothèses!$J$13</f>
        <v>0.95</v>
      </c>
      <c r="D34" s="79" t="n">
        <f aca="false">D33+C34</f>
        <v>1.3</v>
      </c>
      <c r="E34" s="24" t="s">
        <v>2334</v>
      </c>
    </row>
    <row r="35" customFormat="false" ht="15" hidden="false" customHeight="false" outlineLevel="0" collapsed="false">
      <c r="A35" s="2"/>
      <c r="B35" s="5" t="s">
        <v>2335</v>
      </c>
      <c r="C35" s="79" t="n">
        <f aca="false">MAX(0,Entrées!$C$30-D34)</f>
        <v>0.7</v>
      </c>
      <c r="D35" s="79" t="n">
        <f aca="false">D34+C35</f>
        <v>2</v>
      </c>
      <c r="E35" s="24" t="s">
        <v>2336</v>
      </c>
    </row>
    <row r="36" customFormat="false" ht="15" hidden="false" customHeight="false" outlineLevel="0" collapsed="false">
      <c r="A36" s="2"/>
      <c r="B36" s="22" t="s">
        <v>2337</v>
      </c>
      <c r="C36" s="45" t="n">
        <f aca="false">(C33+C34)*1000/Hypothèses!$J$14</f>
        <v>120</v>
      </c>
      <c r="D36" s="24" t="s">
        <v>103</v>
      </c>
      <c r="E36" s="24" t="s">
        <v>2338</v>
      </c>
    </row>
    <row r="37" customFormat="false" ht="15" hidden="false" customHeight="false" outlineLevel="0" collapsed="false">
      <c r="A37" s="2"/>
      <c r="B37" s="2"/>
      <c r="C37" s="2"/>
      <c r="D37" s="2"/>
      <c r="E37" s="2"/>
    </row>
    <row r="38" customFormat="false" ht="15" hidden="false" customHeight="false" outlineLevel="0" collapsed="false">
      <c r="A38" s="22" t="s">
        <v>2339</v>
      </c>
      <c r="B38" s="22" t="s">
        <v>2340</v>
      </c>
      <c r="C38" s="2"/>
      <c r="D38" s="2"/>
      <c r="E38" s="2"/>
    </row>
    <row r="39" customFormat="false" ht="15" hidden="false" customHeight="false" outlineLevel="0" collapsed="false">
      <c r="A39" s="21"/>
      <c r="B39" s="21" t="s">
        <v>2208</v>
      </c>
      <c r="C39" s="21" t="s">
        <v>130</v>
      </c>
      <c r="D39" s="21"/>
      <c r="E39" s="21" t="s">
        <v>1930</v>
      </c>
    </row>
    <row r="40" customFormat="false" ht="15" hidden="false" customHeight="false" outlineLevel="0" collapsed="false">
      <c r="A40" s="2"/>
      <c r="B40" s="5" t="s">
        <v>2341</v>
      </c>
      <c r="C40" s="78" t="n">
        <f aca="false">Entrées!$C$117</f>
        <v>4</v>
      </c>
      <c r="D40" s="24"/>
      <c r="E40" s="24" t="s">
        <v>465</v>
      </c>
    </row>
    <row r="41" customFormat="false" ht="15" hidden="false" customHeight="false" outlineLevel="0" collapsed="false">
      <c r="A41" s="2"/>
      <c r="B41" s="5" t="s">
        <v>2342</v>
      </c>
      <c r="C41" s="78" t="n">
        <f aca="false">Entrées!$C$118</f>
        <v>2</v>
      </c>
      <c r="D41" s="24"/>
      <c r="E41" s="24" t="s">
        <v>468</v>
      </c>
    </row>
    <row r="42" customFormat="false" ht="15" hidden="false" customHeight="false" outlineLevel="0" collapsed="false">
      <c r="A42" s="2"/>
      <c r="B42" s="5" t="s">
        <v>2343</v>
      </c>
      <c r="C42" s="79" t="n">
        <f aca="false">-Entrées!$C$126/1000</f>
        <v>-0.397</v>
      </c>
      <c r="D42" s="24"/>
      <c r="E42" s="24" t="s">
        <v>2344</v>
      </c>
    </row>
    <row r="43" customFormat="false" ht="15" hidden="false" customHeight="false" outlineLevel="0" collapsed="false">
      <c r="A43" s="2"/>
      <c r="B43" s="5" t="s">
        <v>2345</v>
      </c>
      <c r="C43" s="79" t="n">
        <f aca="false">-Entrées!$C$69/1000</f>
        <v>2.301</v>
      </c>
      <c r="D43" s="24"/>
      <c r="E43" s="24" t="s">
        <v>2346</v>
      </c>
    </row>
    <row r="44" customFormat="false" ht="15" hidden="false" customHeight="false" outlineLevel="0" collapsed="false">
      <c r="A44" s="2"/>
      <c r="B44" s="5" t="s">
        <v>2347</v>
      </c>
      <c r="C44" s="79" t="n">
        <f aca="false">-Entrées!$C$80/1000</f>
        <v>2.869</v>
      </c>
      <c r="D44" s="24"/>
      <c r="E44" s="24" t="s">
        <v>2348</v>
      </c>
    </row>
    <row r="45" customFormat="false" ht="15" hidden="false" customHeight="false" outlineLevel="0" collapsed="false">
      <c r="A45" s="2"/>
      <c r="B45" s="22" t="s">
        <v>2349</v>
      </c>
      <c r="C45" s="51" t="n">
        <f aca="false">SUM(C42:C44)</f>
        <v>4.773</v>
      </c>
      <c r="D45" s="24"/>
      <c r="E45" s="24" t="s">
        <v>2350</v>
      </c>
    </row>
    <row r="46" customFormat="false" ht="15" hidden="false" customHeight="false" outlineLevel="0" collapsed="false">
      <c r="A46" s="2"/>
      <c r="B46" s="22" t="s">
        <v>2351</v>
      </c>
      <c r="C46" s="51" t="n">
        <f aca="false">C45-C40</f>
        <v>0.773000000000001</v>
      </c>
      <c r="D46" s="24"/>
      <c r="E46" s="24" t="s">
        <v>2352</v>
      </c>
    </row>
    <row r="47" customFormat="false" ht="15" hidden="false" customHeight="false" outlineLevel="0" collapsed="false">
      <c r="A47" s="2"/>
      <c r="B47" s="5" t="s">
        <v>2353</v>
      </c>
      <c r="C47" s="78" t="n">
        <f aca="false">Entrées!$C$119</f>
        <v>4</v>
      </c>
      <c r="D47" s="24"/>
      <c r="E47" s="24" t="s">
        <v>470</v>
      </c>
    </row>
    <row r="48" customFormat="false" ht="15" hidden="false" customHeight="false" outlineLevel="0" collapsed="false">
      <c r="A48" s="2"/>
      <c r="B48" s="5" t="s">
        <v>2354</v>
      </c>
      <c r="C48" s="78" t="n">
        <f aca="false">Entrées!$C$121</f>
        <v>8.5</v>
      </c>
      <c r="D48" s="24"/>
      <c r="E48" s="24" t="s">
        <v>475</v>
      </c>
    </row>
    <row r="49" customFormat="false" ht="15" hidden="false" customHeight="false" outlineLevel="0" collapsed="false">
      <c r="A49" s="2"/>
      <c r="B49" s="5" t="s">
        <v>2355</v>
      </c>
      <c r="C49" s="66" t="n">
        <f aca="false">Entrées!$C$122/100</f>
        <v>0.9</v>
      </c>
      <c r="D49" s="24" t="s">
        <v>299</v>
      </c>
      <c r="E49" s="24" t="s">
        <v>479</v>
      </c>
    </row>
    <row r="50" customFormat="false" ht="15" hidden="false" customHeight="false" outlineLevel="0" collapsed="false">
      <c r="A50" s="2"/>
      <c r="B50" s="5" t="s">
        <v>2356</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2357</v>
      </c>
      <c r="B53" s="22" t="s">
        <v>2358</v>
      </c>
      <c r="C53" s="2"/>
      <c r="D53" s="2"/>
      <c r="E53" s="2"/>
    </row>
    <row r="54" customFormat="false" ht="42" hidden="false" customHeight="true" outlineLevel="0" collapsed="false">
      <c r="A54" s="2"/>
      <c r="B54" s="69" t="s">
        <v>2359</v>
      </c>
      <c r="C54" s="69"/>
      <c r="D54" s="69"/>
      <c r="E54" s="69"/>
    </row>
    <row r="55" customFormat="false" ht="15" hidden="false" customHeight="false" outlineLevel="0" collapsed="false">
      <c r="A55" s="21"/>
      <c r="B55" s="21" t="s">
        <v>2360</v>
      </c>
      <c r="C55" s="21" t="s">
        <v>2361</v>
      </c>
      <c r="D55" s="21" t="s">
        <v>2362</v>
      </c>
      <c r="E55" s="21" t="s">
        <v>1930</v>
      </c>
    </row>
    <row r="56" customFormat="false" ht="15" hidden="false" customHeight="false" outlineLevel="0" collapsed="false">
      <c r="A56" s="2"/>
      <c r="B56" s="5" t="s">
        <v>2363</v>
      </c>
      <c r="C56" s="61" t="n">
        <f aca="false">Entrées!$C$455</f>
        <v>8547</v>
      </c>
      <c r="D56" s="66" t="n">
        <f aca="false">C56/Entrées!$C$453</f>
        <v>0.192517343904856</v>
      </c>
      <c r="E56" s="24" t="s">
        <v>1412</v>
      </c>
    </row>
    <row r="57" customFormat="false" ht="15" hidden="false" customHeight="false" outlineLevel="0" collapsed="false">
      <c r="A57" s="2"/>
      <c r="B57" s="5" t="s">
        <v>2364</v>
      </c>
      <c r="C57" s="61" t="n">
        <f aca="false">Entrées!$C$456</f>
        <v>4683</v>
      </c>
      <c r="D57" s="66" t="n">
        <f aca="false">C57/Entrées!$C$453</f>
        <v>0.10548247589873</v>
      </c>
      <c r="E57" s="24" t="s">
        <v>1415</v>
      </c>
    </row>
    <row r="58" customFormat="false" ht="15" hidden="false" customHeight="false" outlineLevel="0" collapsed="false">
      <c r="A58" s="2"/>
      <c r="B58" s="5" t="s">
        <v>2365</v>
      </c>
      <c r="C58" s="61" t="n">
        <f aca="false">Entrées!$C$457</f>
        <v>3097</v>
      </c>
      <c r="D58" s="66" t="n">
        <f aca="false">C58/Entrées!$C$453</f>
        <v>0.0697585368051176</v>
      </c>
      <c r="E58" s="24" t="s">
        <v>1418</v>
      </c>
    </row>
    <row r="59" customFormat="false" ht="15" hidden="false" customHeight="false" outlineLevel="0" collapsed="false">
      <c r="A59" s="2"/>
      <c r="B59" s="5" t="s">
        <v>2366</v>
      </c>
      <c r="C59" s="61" t="n">
        <f aca="false">Entrées!$C$458</f>
        <v>3035</v>
      </c>
      <c r="D59" s="66" t="n">
        <f aca="false">C59/Entrées!$C$453</f>
        <v>0.0683620145959095</v>
      </c>
      <c r="E59" s="24" t="s">
        <v>1421</v>
      </c>
    </row>
    <row r="60" customFormat="false" ht="15" hidden="false" customHeight="false" outlineLevel="0" collapsed="false">
      <c r="A60" s="2"/>
      <c r="B60" s="5" t="s">
        <v>2367</v>
      </c>
      <c r="C60" s="61" t="n">
        <f aca="false">Entrées!$C$459</f>
        <v>3007</v>
      </c>
      <c r="D60" s="66" t="n">
        <f aca="false">C60/Entrées!$C$453</f>
        <v>0.0677313271465898</v>
      </c>
      <c r="E60" s="24" t="s">
        <v>1424</v>
      </c>
    </row>
    <row r="61" customFormat="false" ht="15" hidden="false" customHeight="false" outlineLevel="0" collapsed="false">
      <c r="A61" s="2"/>
      <c r="B61" s="5" t="s">
        <v>2368</v>
      </c>
      <c r="C61" s="61" t="n">
        <f aca="false">Entrées!$C$460</f>
        <v>2978</v>
      </c>
      <c r="D61" s="66" t="n">
        <f aca="false">C61/Entrées!$C$453</f>
        <v>0.0670781151455086</v>
      </c>
      <c r="E61" s="24" t="s">
        <v>1427</v>
      </c>
    </row>
    <row r="62" customFormat="false" ht="15" hidden="false" customHeight="false" outlineLevel="0" collapsed="false">
      <c r="A62" s="2"/>
      <c r="B62" s="5" t="s">
        <v>2369</v>
      </c>
      <c r="C62" s="61" t="n">
        <f aca="false">Entrées!$C$461</f>
        <v>2165</v>
      </c>
      <c r="D62" s="66" t="n">
        <f aca="false">C62/Entrées!$C$453</f>
        <v>0.0487656545634742</v>
      </c>
      <c r="E62" s="24" t="s">
        <v>1430</v>
      </c>
    </row>
    <row r="63" customFormat="false" ht="15" hidden="false" customHeight="false" outlineLevel="0" collapsed="false">
      <c r="A63" s="2"/>
      <c r="B63" s="5" t="s">
        <v>2370</v>
      </c>
      <c r="C63" s="61" t="n">
        <f aca="false">Entrées!$C$462</f>
        <v>2023</v>
      </c>
      <c r="D63" s="66" t="n">
        <f aca="false">C63/Entrées!$C$453</f>
        <v>0.0455671682133526</v>
      </c>
      <c r="E63" s="24" t="s">
        <v>1433</v>
      </c>
    </row>
    <row r="64" customFormat="false" ht="15" hidden="false" customHeight="false" outlineLevel="0" collapsed="false">
      <c r="A64" s="2"/>
      <c r="B64" s="5" t="s">
        <v>2371</v>
      </c>
      <c r="C64" s="61" t="n">
        <f aca="false">Entrées!$C$463</f>
        <v>1160</v>
      </c>
      <c r="D64" s="66" t="n">
        <f aca="false">C64/Entrées!$C$453</f>
        <v>0.0261284800432471</v>
      </c>
      <c r="E64" s="24" t="s">
        <v>1436</v>
      </c>
    </row>
    <row r="65" customFormat="false" ht="15" hidden="false" customHeight="false" outlineLevel="0" collapsed="false">
      <c r="A65" s="2"/>
      <c r="B65" s="5" t="s">
        <v>2372</v>
      </c>
      <c r="C65" s="61" t="n">
        <f aca="false">Entrées!$C$464</f>
        <v>1081</v>
      </c>
      <c r="D65" s="66" t="n">
        <f aca="false">C65/Entrées!$C$453</f>
        <v>0.024349040454095</v>
      </c>
      <c r="E65" s="24" t="s">
        <v>1439</v>
      </c>
    </row>
    <row r="66" customFormat="false" ht="15" hidden="false" customHeight="false" outlineLevel="0" collapsed="false">
      <c r="A66" s="2"/>
      <c r="B66" s="5" t="s">
        <v>2373</v>
      </c>
      <c r="C66" s="61" t="n">
        <f aca="false">Entrées!$C$466</f>
        <v>1070</v>
      </c>
      <c r="D66" s="66" t="n">
        <f aca="false">C66/Entrées!$C$453</f>
        <v>0.0241012703847193</v>
      </c>
      <c r="E66" s="24" t="s">
        <v>1444</v>
      </c>
    </row>
    <row r="67" customFormat="false" ht="15" hidden="false" customHeight="false" outlineLevel="0" collapsed="false">
      <c r="A67" s="2"/>
      <c r="B67" s="5" t="s">
        <v>2374</v>
      </c>
      <c r="C67" s="61" t="n">
        <f aca="false">Entrées!$C$468</f>
        <v>932</v>
      </c>
      <c r="D67" s="66" t="n">
        <f aca="false">C67/Entrées!$C$453</f>
        <v>0.0209928822416434</v>
      </c>
      <c r="E67" s="24" t="s">
        <v>1449</v>
      </c>
    </row>
    <row r="68" customFormat="false" ht="15" hidden="false" customHeight="false" outlineLevel="0" collapsed="false">
      <c r="A68" s="2"/>
      <c r="B68" s="5" t="s">
        <v>2375</v>
      </c>
      <c r="C68" s="61" t="n">
        <f aca="false">Entrées!$C$470</f>
        <v>908</v>
      </c>
      <c r="D68" s="66" t="n">
        <f aca="false">C68/Entrées!$C$453</f>
        <v>0.0204522929993693</v>
      </c>
      <c r="E68" s="24" t="s">
        <v>1454</v>
      </c>
    </row>
    <row r="69" customFormat="false" ht="15" hidden="false" customHeight="false" outlineLevel="0" collapsed="false">
      <c r="A69" s="2"/>
      <c r="B69" s="5" t="s">
        <v>2376</v>
      </c>
      <c r="C69" s="61" t="n">
        <f aca="false">Entrées!$C$471</f>
        <v>807</v>
      </c>
      <c r="D69" s="66" t="n">
        <f aca="false">C69/Entrées!$C$453</f>
        <v>0.0181773132714659</v>
      </c>
      <c r="E69" s="24" t="s">
        <v>1457</v>
      </c>
    </row>
    <row r="70" customFormat="false" ht="15" hidden="false" customHeight="false" outlineLevel="0" collapsed="false">
      <c r="A70" s="2"/>
      <c r="B70" s="5" t="s">
        <v>2377</v>
      </c>
      <c r="C70" s="61" t="n">
        <f aca="false">Entrées!$C$472</f>
        <v>609</v>
      </c>
      <c r="D70" s="66" t="n">
        <f aca="false">C70/Entrées!$C$453</f>
        <v>0.0137174520227047</v>
      </c>
      <c r="E70" s="24" t="s">
        <v>1460</v>
      </c>
    </row>
    <row r="71" customFormat="false" ht="15" hidden="false" customHeight="false" outlineLevel="0" collapsed="false">
      <c r="A71" s="2"/>
      <c r="B71" s="5" t="s">
        <v>2378</v>
      </c>
      <c r="C71" s="61" t="n">
        <f aca="false">Entrées!$C$473</f>
        <v>581</v>
      </c>
      <c r="D71" s="66" t="n">
        <f aca="false">C71/Entrées!$C$453</f>
        <v>0.013086764573385</v>
      </c>
      <c r="E71" s="24" t="s">
        <v>1463</v>
      </c>
    </row>
    <row r="72" customFormat="false" ht="15" hidden="false" customHeight="false" outlineLevel="0" collapsed="false">
      <c r="A72" s="2"/>
      <c r="B72" s="5" t="s">
        <v>2379</v>
      </c>
      <c r="C72" s="61" t="n">
        <f aca="false">Entrées!$C$474</f>
        <v>504</v>
      </c>
      <c r="D72" s="66" t="n">
        <f aca="false">C72/Entrées!$C$453</f>
        <v>0.0113523740877557</v>
      </c>
      <c r="E72" s="24" t="s">
        <v>1466</v>
      </c>
    </row>
    <row r="73" customFormat="false" ht="15" hidden="false" customHeight="false" outlineLevel="0" collapsed="false">
      <c r="A73" s="2"/>
      <c r="B73" s="5" t="s">
        <v>2380</v>
      </c>
      <c r="C73" s="61" t="n">
        <f aca="false">Entrées!$C$475</f>
        <v>7207</v>
      </c>
      <c r="D73" s="66" t="n">
        <f aca="false">C73/Entrées!$C$453</f>
        <v>0.162334444544554</v>
      </c>
      <c r="E73" s="24" t="s">
        <v>1469</v>
      </c>
    </row>
    <row r="74" customFormat="false" ht="15" hidden="false" customHeight="false" outlineLevel="0" collapsed="false">
      <c r="A74" s="2"/>
      <c r="B74" s="22" t="s">
        <v>2381</v>
      </c>
      <c r="C74" s="45" t="n">
        <f aca="false">SUM(C56:C73)</f>
        <v>44394</v>
      </c>
      <c r="D74" s="24" t="s">
        <v>103</v>
      </c>
      <c r="E74" s="24"/>
    </row>
    <row r="75" customFormat="false" ht="15" hidden="false" customHeight="false" outlineLevel="0" collapsed="false">
      <c r="A75" s="2"/>
      <c r="B75" s="5" t="s">
        <v>2382</v>
      </c>
      <c r="C75" s="61" t="n">
        <f aca="false">Entrées!$C$453</f>
        <v>44396</v>
      </c>
      <c r="D75" s="24" t="s">
        <v>103</v>
      </c>
      <c r="E75" s="24" t="s">
        <v>1407</v>
      </c>
    </row>
    <row r="76" customFormat="false" ht="15" hidden="false" customHeight="false" outlineLevel="0" collapsed="false">
      <c r="A76" s="2"/>
      <c r="B76" s="5" t="s">
        <v>2383</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2384</v>
      </c>
      <c r="C78" s="21" t="s">
        <v>92</v>
      </c>
      <c r="D78" s="21" t="s">
        <v>93</v>
      </c>
      <c r="E78" s="21" t="s">
        <v>2011</v>
      </c>
    </row>
    <row r="79" customFormat="false" ht="15" hidden="false" customHeight="false" outlineLevel="0" collapsed="false">
      <c r="A79" s="2"/>
      <c r="B79" s="5" t="s">
        <v>2385</v>
      </c>
      <c r="C79" s="64" t="n">
        <f aca="false">Entrées!$C$30*1000</f>
        <v>2000</v>
      </c>
      <c r="D79" s="24" t="s">
        <v>103</v>
      </c>
      <c r="E79" s="24" t="s">
        <v>197</v>
      </c>
    </row>
    <row r="80" customFormat="false" ht="15" hidden="false" customHeight="false" outlineLevel="0" collapsed="false">
      <c r="A80" s="2"/>
      <c r="B80" s="22" t="s">
        <v>2386</v>
      </c>
      <c r="C80" s="45" t="n">
        <f aca="false">Cessions!$C$79/Hypothèses!$J$14</f>
        <v>200</v>
      </c>
      <c r="D80" s="24" t="s">
        <v>103</v>
      </c>
      <c r="E80" s="24" t="s">
        <v>2387</v>
      </c>
    </row>
    <row r="81" customFormat="false" ht="15" hidden="false" customHeight="false" outlineLevel="0" collapsed="false">
      <c r="A81" s="2"/>
      <c r="B81" s="5" t="s">
        <v>2388</v>
      </c>
      <c r="C81" s="64" t="n">
        <f aca="false">Cessions!$C$80/(Entrées!$C$431/100)</f>
        <v>1257.86163522013</v>
      </c>
      <c r="D81" s="24" t="s">
        <v>103</v>
      </c>
      <c r="E81" s="24" t="s">
        <v>2389</v>
      </c>
    </row>
    <row r="82" customFormat="false" ht="15" hidden="false" customHeight="false" outlineLevel="0" collapsed="false">
      <c r="A82" s="2"/>
      <c r="B82" s="22" t="s">
        <v>2390</v>
      </c>
      <c r="C82" s="41" t="n">
        <f aca="false">Cessions!$C$81/Entrées!$C$453</f>
        <v>0.0283327695112201</v>
      </c>
      <c r="D82" s="24" t="s">
        <v>299</v>
      </c>
      <c r="E82" s="24"/>
    </row>
    <row r="83" customFormat="false" ht="15" hidden="false" customHeight="false" outlineLevel="0" collapsed="false">
      <c r="A83" s="2"/>
      <c r="B83" s="5" t="s">
        <v>2391</v>
      </c>
      <c r="C83" s="61" t="n">
        <f aca="false">Entrées!$C$436</f>
        <v>5383</v>
      </c>
      <c r="D83" s="24" t="s">
        <v>103</v>
      </c>
      <c r="E83" s="24" t="s">
        <v>1356</v>
      </c>
    </row>
    <row r="84" customFormat="false" ht="15" hidden="false" customHeight="false" outlineLevel="0" collapsed="false">
      <c r="A84" s="2"/>
      <c r="B84" s="5" t="s">
        <v>2392</v>
      </c>
      <c r="C84" s="61" t="n">
        <f aca="false">Entrées!$C$446</f>
        <v>1566</v>
      </c>
      <c r="D84" s="24" t="s">
        <v>103</v>
      </c>
      <c r="E84" s="24" t="s">
        <v>1386</v>
      </c>
    </row>
    <row r="85" customFormat="false" ht="15" hidden="false" customHeight="false" outlineLevel="0" collapsed="false">
      <c r="A85" s="2"/>
      <c r="B85" s="5" t="s">
        <v>2393</v>
      </c>
      <c r="C85" s="61" t="n">
        <f aca="false">Entrées!$C$440</f>
        <v>2729</v>
      </c>
      <c r="D85" s="24" t="s">
        <v>103</v>
      </c>
      <c r="E85" s="24" t="s">
        <v>1368</v>
      </c>
    </row>
    <row r="86" customFormat="false" ht="15" hidden="false" customHeight="false" outlineLevel="0" collapsed="false">
      <c r="A86" s="2"/>
      <c r="B86" s="5" t="s">
        <v>2394</v>
      </c>
      <c r="C86" s="61" t="n">
        <f aca="false">Entrées!$C$443</f>
        <v>1087</v>
      </c>
      <c r="D86" s="24" t="s">
        <v>103</v>
      </c>
      <c r="E86" s="24" t="s">
        <v>1377</v>
      </c>
    </row>
    <row r="87" customFormat="false" ht="15" hidden="false" customHeight="false" outlineLevel="0" collapsed="false">
      <c r="A87" s="2"/>
      <c r="B87" s="22" t="s">
        <v>2395</v>
      </c>
      <c r="C87" s="41" t="n">
        <f aca="false">Cessions!$C$80/Cessions!$C$83</f>
        <v>0.0371540033438603</v>
      </c>
      <c r="D87" s="24" t="s">
        <v>299</v>
      </c>
      <c r="E87" s="24"/>
    </row>
    <row r="88" customFormat="false" ht="15" hidden="false" customHeight="false" outlineLevel="0" collapsed="false">
      <c r="A88" s="2"/>
      <c r="B88" s="22" t="s">
        <v>2396</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2397</v>
      </c>
      <c r="C90" s="21" t="s">
        <v>2398</v>
      </c>
      <c r="D90" s="21" t="s">
        <v>2269</v>
      </c>
      <c r="E90" s="21" t="s">
        <v>2399</v>
      </c>
    </row>
    <row r="91" customFormat="false" ht="15" hidden="false" customHeight="false" outlineLevel="0" collapsed="false">
      <c r="A91" s="2"/>
      <c r="B91" s="5" t="s">
        <v>2400</v>
      </c>
      <c r="C91" s="82" t="n">
        <v>32</v>
      </c>
      <c r="D91" s="53" t="s">
        <v>2401</v>
      </c>
      <c r="E91" s="24" t="s">
        <v>2402</v>
      </c>
    </row>
    <row r="92" customFormat="false" ht="15" hidden="false" customHeight="false" outlineLevel="0" collapsed="false">
      <c r="A92" s="2"/>
      <c r="B92" s="5" t="s">
        <v>2403</v>
      </c>
      <c r="C92" s="82" t="n">
        <v>102</v>
      </c>
      <c r="D92" s="25" t="n">
        <v>2022</v>
      </c>
      <c r="E92" s="24" t="s">
        <v>2404</v>
      </c>
    </row>
    <row r="93" customFormat="false" ht="15" hidden="false" customHeight="false" outlineLevel="0" collapsed="false">
      <c r="A93" s="2"/>
      <c r="B93" s="5" t="s">
        <v>2405</v>
      </c>
      <c r="C93" s="82" t="n">
        <v>141</v>
      </c>
      <c r="D93" s="25" t="n">
        <v>2022</v>
      </c>
      <c r="E93" s="24" t="s">
        <v>2406</v>
      </c>
    </row>
    <row r="94" customFormat="false" ht="15" hidden="false" customHeight="false" outlineLevel="0" collapsed="false">
      <c r="A94" s="2"/>
      <c r="B94" s="5" t="s">
        <v>2407</v>
      </c>
      <c r="C94" s="82" t="n">
        <v>27</v>
      </c>
      <c r="D94" s="25" t="n">
        <v>2022</v>
      </c>
      <c r="E94" s="24" t="s">
        <v>2408</v>
      </c>
    </row>
    <row r="95" customFormat="false" ht="15" hidden="false" customHeight="false" outlineLevel="0" collapsed="false">
      <c r="A95" s="2"/>
      <c r="B95" s="5" t="s">
        <v>2409</v>
      </c>
      <c r="C95" s="82" t="n">
        <v>49</v>
      </c>
      <c r="D95" s="25" t="n">
        <v>2023</v>
      </c>
      <c r="E95" s="24" t="s">
        <v>2410</v>
      </c>
    </row>
    <row r="96" customFormat="false" ht="15" hidden="false" customHeight="false" outlineLevel="0" collapsed="false">
      <c r="A96" s="2"/>
      <c r="B96" s="5" t="s">
        <v>2411</v>
      </c>
      <c r="C96" s="82" t="n">
        <v>15</v>
      </c>
      <c r="D96" s="25" t="n">
        <v>2023</v>
      </c>
      <c r="E96" s="24" t="s">
        <v>2412</v>
      </c>
    </row>
    <row r="97" customFormat="false" ht="15" hidden="false" customHeight="false" outlineLevel="0" collapsed="false">
      <c r="A97" s="2"/>
      <c r="B97" s="5" t="s">
        <v>2413</v>
      </c>
      <c r="C97" s="82" t="n">
        <v>84</v>
      </c>
      <c r="D97" s="25" t="n">
        <v>2023</v>
      </c>
      <c r="E97" s="24" t="s">
        <v>2414</v>
      </c>
    </row>
    <row r="98" customFormat="false" ht="15" hidden="false" customHeight="false" outlineLevel="0" collapsed="false">
      <c r="A98" s="2"/>
      <c r="B98" s="5" t="s">
        <v>2415</v>
      </c>
      <c r="C98" s="82" t="n">
        <v>74</v>
      </c>
      <c r="D98" s="25" t="n">
        <v>2023</v>
      </c>
      <c r="E98" s="24" t="s">
        <v>2416</v>
      </c>
    </row>
    <row r="99" customFormat="false" ht="15" hidden="false" customHeight="false" outlineLevel="0" collapsed="false">
      <c r="A99" s="2"/>
      <c r="B99" s="5" t="s">
        <v>2417</v>
      </c>
      <c r="C99" s="82" t="n">
        <v>149</v>
      </c>
      <c r="D99" s="25" t="n">
        <v>2024</v>
      </c>
      <c r="E99" s="24" t="s">
        <v>2418</v>
      </c>
    </row>
    <row r="100" customFormat="false" ht="15" hidden="false" customHeight="false" outlineLevel="0" collapsed="false">
      <c r="A100" s="2"/>
      <c r="B100" s="5" t="s">
        <v>2419</v>
      </c>
      <c r="C100" s="82" t="n">
        <v>580</v>
      </c>
      <c r="D100" s="25" t="n">
        <v>2024</v>
      </c>
      <c r="E100" s="24" t="s">
        <v>2420</v>
      </c>
    </row>
    <row r="101" customFormat="false" ht="15" hidden="false" customHeight="false" outlineLevel="0" collapsed="false">
      <c r="A101" s="2"/>
      <c r="B101" s="5" t="s">
        <v>2421</v>
      </c>
      <c r="C101" s="82" t="n">
        <v>198</v>
      </c>
      <c r="D101" s="25" t="n">
        <v>2024</v>
      </c>
      <c r="E101" s="24" t="s">
        <v>2422</v>
      </c>
    </row>
    <row r="102" customFormat="false" ht="15" hidden="false" customHeight="false" outlineLevel="0" collapsed="false">
      <c r="A102" s="2"/>
      <c r="B102" s="5" t="s">
        <v>2423</v>
      </c>
      <c r="C102" s="82" t="n">
        <v>79</v>
      </c>
      <c r="D102" s="25" t="n">
        <v>2024</v>
      </c>
      <c r="E102" s="24" t="s">
        <v>2424</v>
      </c>
    </row>
    <row r="103" customFormat="false" ht="15" hidden="false" customHeight="false" outlineLevel="0" collapsed="false">
      <c r="A103" s="2"/>
      <c r="B103" s="5" t="s">
        <v>2425</v>
      </c>
      <c r="C103" s="82" t="n">
        <v>14</v>
      </c>
      <c r="D103" s="25" t="n">
        <v>2026</v>
      </c>
      <c r="E103" s="24" t="s">
        <v>2426</v>
      </c>
    </row>
    <row r="104" customFormat="false" ht="15" hidden="false" customHeight="false" outlineLevel="0" collapsed="false">
      <c r="A104" s="2"/>
      <c r="B104" s="5" t="s">
        <v>2427</v>
      </c>
      <c r="C104" s="82" t="n">
        <v>41</v>
      </c>
      <c r="D104" s="25" t="n">
        <v>2026</v>
      </c>
      <c r="E104" s="24" t="s">
        <v>2428</v>
      </c>
    </row>
    <row r="105" customFormat="false" ht="15" hidden="false" customHeight="false" outlineLevel="0" collapsed="false">
      <c r="A105" s="2"/>
      <c r="B105" s="22" t="s">
        <v>2429</v>
      </c>
      <c r="C105" s="45" t="n">
        <f aca="false">SUM(C91:C104)</f>
        <v>1585</v>
      </c>
      <c r="D105" s="24" t="s">
        <v>103</v>
      </c>
      <c r="E105" s="24" t="s">
        <v>2430</v>
      </c>
    </row>
    <row r="106" customFormat="false" ht="15" hidden="false" customHeight="false" outlineLevel="0" collapsed="false">
      <c r="A106" s="2"/>
      <c r="B106" s="5" t="s">
        <v>2431</v>
      </c>
      <c r="C106" s="83" t="n">
        <f aca="false">COUNT(C91:C104)</f>
        <v>14</v>
      </c>
      <c r="D106" s="24"/>
      <c r="E106" s="24"/>
    </row>
    <row r="107" customFormat="false" ht="15" hidden="false" customHeight="false" outlineLevel="0" collapsed="false">
      <c r="A107" s="2"/>
      <c r="B107" s="5" t="s">
        <v>2432</v>
      </c>
      <c r="C107" s="64" t="n">
        <f aca="false">AVERAGE(C91:C104)</f>
        <v>113.214285714286</v>
      </c>
      <c r="D107" s="24" t="s">
        <v>103</v>
      </c>
      <c r="E107" s="24"/>
    </row>
    <row r="108" customFormat="false" ht="15" hidden="false" customHeight="false" outlineLevel="0" collapsed="false">
      <c r="A108" s="2"/>
      <c r="B108" s="5" t="s">
        <v>2433</v>
      </c>
      <c r="C108" s="64" t="n">
        <f aca="false">MAX(C91:C104)</f>
        <v>580</v>
      </c>
      <c r="D108" s="24" t="s">
        <v>103</v>
      </c>
      <c r="E108" s="24"/>
    </row>
    <row r="109" customFormat="false" ht="15" hidden="false" customHeight="false" outlineLevel="0" collapsed="false">
      <c r="A109" s="2"/>
      <c r="B109" s="22" t="s">
        <v>2434</v>
      </c>
      <c r="C109" s="45" t="n">
        <f aca="false">SUMIFS(C91:C104,D91:D104,"&lt;2026")/4</f>
        <v>374.5</v>
      </c>
      <c r="D109" s="24" t="s">
        <v>103</v>
      </c>
      <c r="E109" s="24" t="s">
        <v>2435</v>
      </c>
    </row>
    <row r="110" customFormat="false" ht="15" hidden="false" customHeight="false" outlineLevel="0" collapsed="false">
      <c r="A110" s="2"/>
      <c r="B110" s="22" t="s">
        <v>2436</v>
      </c>
      <c r="C110" s="51" t="n">
        <f aca="false">Cessions!$C$79/Cessions!$C$107</f>
        <v>17.6656151419558</v>
      </c>
      <c r="D110" s="24"/>
      <c r="E110" s="24" t="s">
        <v>2437</v>
      </c>
    </row>
    <row r="111" customFormat="false" ht="15" hidden="false" customHeight="false" outlineLevel="0" collapsed="false">
      <c r="A111" s="2"/>
      <c r="B111" s="5" t="s">
        <v>2438</v>
      </c>
      <c r="C111" s="79" t="n">
        <f aca="false">Cessions!$C$79/Cessions!$C$108</f>
        <v>3.44827586206897</v>
      </c>
      <c r="D111" s="24"/>
      <c r="E111" s="24"/>
    </row>
    <row r="112" customFormat="false" ht="15" hidden="false" customHeight="false" outlineLevel="0" collapsed="false">
      <c r="A112" s="2"/>
      <c r="B112" s="22" t="s">
        <v>2439</v>
      </c>
      <c r="C112" s="51" t="n">
        <f aca="false">Cessions!$C$79/Cessions!$C$109</f>
        <v>5.34045393858478</v>
      </c>
      <c r="D112" s="24" t="s">
        <v>512</v>
      </c>
      <c r="E112" s="24" t="s">
        <v>2440</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2441</v>
      </c>
      <c r="C114" s="21" t="s">
        <v>2442</v>
      </c>
      <c r="D114" s="21" t="s">
        <v>2443</v>
      </c>
      <c r="E114" s="21" t="s">
        <v>2444</v>
      </c>
    </row>
    <row r="115" customFormat="false" ht="15" hidden="false" customHeight="false" outlineLevel="0" collapsed="false">
      <c r="A115" s="2"/>
      <c r="B115" s="5" t="s">
        <v>2445</v>
      </c>
      <c r="C115" s="64" t="n">
        <f aca="false">1000/8</f>
        <v>125</v>
      </c>
      <c r="D115" s="64" t="n">
        <f aca="false">Hypothèses!$J$26*C115</f>
        <v>375</v>
      </c>
      <c r="E115" s="45" t="n">
        <f aca="false">1000-D115</f>
        <v>625</v>
      </c>
    </row>
    <row r="116" customFormat="false" ht="15" hidden="false" customHeight="false" outlineLevel="0" collapsed="false">
      <c r="A116" s="2"/>
      <c r="B116" s="5" t="s">
        <v>2446</v>
      </c>
      <c r="C116" s="64" t="n">
        <f aca="false">1000/10</f>
        <v>100</v>
      </c>
      <c r="D116" s="64" t="n">
        <f aca="false">Hypothèses!$J$26*C116</f>
        <v>300</v>
      </c>
      <c r="E116" s="45" t="n">
        <f aca="false">1000-D116</f>
        <v>700</v>
      </c>
    </row>
    <row r="117" customFormat="false" ht="15" hidden="false" customHeight="false" outlineLevel="0" collapsed="false">
      <c r="A117" s="2"/>
      <c r="B117" s="5" t="s">
        <v>2447</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2448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2449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2450</v>
      </c>
      <c r="E4" s="84" t="s">
        <v>2451</v>
      </c>
      <c r="F4" s="84" t="s">
        <v>2452</v>
      </c>
      <c r="G4" s="84" t="s">
        <v>2453</v>
      </c>
      <c r="H4" s="84" t="s">
        <v>2454</v>
      </c>
      <c r="I4" s="84" t="s">
        <v>2455</v>
      </c>
      <c r="J4" s="84" t="s">
        <v>2456</v>
      </c>
      <c r="K4" s="84" t="s">
        <v>2457</v>
      </c>
      <c r="L4" s="84" t="s">
        <v>2458</v>
      </c>
      <c r="M4" s="84" t="s">
        <v>2459</v>
      </c>
      <c r="N4" s="84" t="s">
        <v>2460</v>
      </c>
      <c r="O4" s="84" t="s">
        <v>2461</v>
      </c>
      <c r="P4" s="84" t="s">
        <v>2462</v>
      </c>
      <c r="Q4" s="84" t="s">
        <v>2463</v>
      </c>
      <c r="R4" s="84" t="s">
        <v>2464</v>
      </c>
      <c r="S4" s="84" t="s">
        <v>2465</v>
      </c>
      <c r="T4" s="84" t="s">
        <v>2466</v>
      </c>
      <c r="U4" s="84" t="s">
        <v>2467</v>
      </c>
      <c r="V4" s="84" t="s">
        <v>2468</v>
      </c>
      <c r="W4" s="84" t="s">
        <v>2469</v>
      </c>
      <c r="X4" s="84" t="s">
        <v>2470</v>
      </c>
      <c r="Y4" s="84" t="s">
        <v>2471</v>
      </c>
      <c r="Z4" s="84" t="s">
        <v>2472</v>
      </c>
      <c r="AA4" s="84" t="s">
        <v>2473</v>
      </c>
      <c r="AB4" s="84" t="s">
        <v>2474</v>
      </c>
      <c r="AC4" s="84" t="s">
        <v>2475</v>
      </c>
      <c r="AD4" s="84" t="s">
        <v>2476</v>
      </c>
      <c r="AE4" s="84" t="s">
        <v>2477</v>
      </c>
      <c r="AF4" s="84" t="s">
        <v>2478</v>
      </c>
    </row>
    <row r="5" customFormat="false" ht="15" hidden="false" customHeight="false" outlineLevel="0" collapsed="false">
      <c r="A5" s="2"/>
      <c r="B5" s="22" t="s">
        <v>2479</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1932</v>
      </c>
      <c r="B6" s="5" t="s">
        <v>1933</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1936</v>
      </c>
      <c r="B7" s="5" t="s">
        <v>1937</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1940</v>
      </c>
      <c r="B8" s="5" t="s">
        <v>1941</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1943</v>
      </c>
      <c r="B9" s="5" t="s">
        <v>1944</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1946</v>
      </c>
      <c r="B10" s="5" t="s">
        <v>1947</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1950</v>
      </c>
      <c r="B11" s="5" t="s">
        <v>1951</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1954</v>
      </c>
      <c r="B12" s="5" t="s">
        <v>1955</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1957</v>
      </c>
      <c r="B13" s="5" t="s">
        <v>1958</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1960</v>
      </c>
      <c r="B14" s="5" t="s">
        <v>1961</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1963</v>
      </c>
      <c r="B15" s="5" t="s">
        <v>1964</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1966</v>
      </c>
      <c r="B16" s="5" t="s">
        <v>1967</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1970</v>
      </c>
      <c r="B17" s="5" t="s">
        <v>1971</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1984</v>
      </c>
      <c r="B18" s="5" t="s">
        <v>1985</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1975</v>
      </c>
      <c r="B19" s="5" t="s">
        <v>1976</v>
      </c>
      <c r="C19" s="24" t="s">
        <v>1977</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1980</v>
      </c>
      <c r="B20" s="5" t="s">
        <v>1981</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1987</v>
      </c>
      <c r="B21" s="5" t="s">
        <v>1988</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1990</v>
      </c>
      <c r="B22" s="5" t="s">
        <v>1991</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1993</v>
      </c>
      <c r="B23" s="5" t="s">
        <v>1994</v>
      </c>
      <c r="C23" s="24" t="s">
        <v>1995</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1997</v>
      </c>
      <c r="B24" s="5" t="s">
        <v>1998</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2000</v>
      </c>
      <c r="B25" s="5" t="s">
        <v>2001</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2480</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2481</v>
      </c>
      <c r="B27" s="5" t="s">
        <v>2482</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2483</v>
      </c>
      <c r="B28" s="5" t="s">
        <v>2484</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2485</v>
      </c>
      <c r="B29" s="5" t="s">
        <v>2486</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2487</v>
      </c>
      <c r="B30" s="5" t="s">
        <v>2488</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2489</v>
      </c>
      <c r="B31" s="22" t="s">
        <v>2490</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2491</v>
      </c>
      <c r="B32" s="22" t="s">
        <v>2492</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2493</v>
      </c>
      <c r="B33" s="22" t="s">
        <v>2494</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2495</v>
      </c>
      <c r="B34" s="5" t="s">
        <v>2496</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2497</v>
      </c>
      <c r="B36" s="5" t="s">
        <v>2498</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2499</v>
      </c>
      <c r="B37" s="5" t="s">
        <v>2500</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2501</v>
      </c>
      <c r="B38" s="5" t="s">
        <v>2502</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2503</v>
      </c>
      <c r="B39" s="5" t="s">
        <v>2504</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2505</v>
      </c>
      <c r="B40" s="5" t="s">
        <v>2506</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2507</v>
      </c>
      <c r="B41" s="22" t="s">
        <v>2508</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2509</v>
      </c>
      <c r="B42" s="5" t="s">
        <v>2510</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2511</v>
      </c>
      <c r="B43" s="5" t="s">
        <v>2512</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2513</v>
      </c>
      <c r="B44" s="22" t="s">
        <v>2514</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2515</v>
      </c>
      <c r="B45" s="22" t="s">
        <v>2516</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2517</v>
      </c>
      <c r="B46" s="22" t="s">
        <v>2518</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2519</v>
      </c>
      <c r="B47" s="22" t="s">
        <v>2520</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2521</v>
      </c>
      <c r="B48" s="5" t="s">
        <v>2522</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2523</v>
      </c>
      <c r="B50" s="5" t="s">
        <v>2524</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2525</v>
      </c>
      <c r="B51" s="5" t="s">
        <v>2526</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2527</v>
      </c>
      <c r="B52" s="22" t="s">
        <v>2528</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2529</v>
      </c>
      <c r="B53" s="22" t="s">
        <v>2530</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2531</v>
      </c>
      <c r="B54" s="5" t="s">
        <v>2532</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2533</v>
      </c>
      <c r="B55" s="5" t="s">
        <v>2534</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2535</v>
      </c>
      <c r="B56" s="22" t="s">
        <v>2536</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2537</v>
      </c>
      <c r="B57" s="22" t="s">
        <v>2538</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2539</v>
      </c>
      <c r="B58" s="22" t="s">
        <v>2540</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2541</v>
      </c>
      <c r="B59" s="22" t="s">
        <v>2542</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2543</v>
      </c>
      <c r="B60" s="22" t="s">
        <v>2544</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2545</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2269</v>
      </c>
      <c r="C63" s="21" t="s">
        <v>2450</v>
      </c>
      <c r="D63" s="21" t="s">
        <v>2477</v>
      </c>
      <c r="E63" s="21" t="s">
        <v>2478</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2546</v>
      </c>
      <c r="B1" s="2"/>
      <c r="C1" s="2"/>
      <c r="D1" s="2"/>
      <c r="E1" s="2"/>
      <c r="F1" s="2"/>
      <c r="G1" s="2"/>
      <c r="H1" s="2"/>
      <c r="I1" s="2"/>
      <c r="J1" s="2"/>
      <c r="K1" s="2"/>
      <c r="L1" s="2"/>
      <c r="M1" s="2"/>
      <c r="N1" s="2"/>
      <c r="O1" s="2"/>
    </row>
    <row r="2" customFormat="false" ht="15" hidden="false" customHeight="false" outlineLevel="0" collapsed="false">
      <c r="A2" s="3" t="s">
        <v>2547</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1924</v>
      </c>
      <c r="B4" s="21" t="s">
        <v>1925</v>
      </c>
      <c r="C4" s="21" t="s">
        <v>2548</v>
      </c>
      <c r="D4" s="21" t="s">
        <v>2549</v>
      </c>
      <c r="E4" s="21" t="s">
        <v>2550</v>
      </c>
      <c r="F4" s="21" t="s">
        <v>2551</v>
      </c>
      <c r="G4" s="21" t="s">
        <v>2552</v>
      </c>
      <c r="H4" s="21" t="s">
        <v>2553</v>
      </c>
      <c r="I4" s="21" t="s">
        <v>2554</v>
      </c>
      <c r="J4" s="21" t="s">
        <v>2555</v>
      </c>
      <c r="K4" s="21" t="s">
        <v>2556</v>
      </c>
      <c r="L4" s="21" t="s">
        <v>2557</v>
      </c>
      <c r="M4" s="21" t="s">
        <v>2558</v>
      </c>
      <c r="N4" s="21" t="s">
        <v>2559</v>
      </c>
      <c r="O4" s="21" t="s">
        <v>2560</v>
      </c>
    </row>
    <row r="5" customFormat="false" ht="15" hidden="false" customHeight="false" outlineLevel="0" collapsed="false">
      <c r="A5" s="24" t="s">
        <v>1932</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1936</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1940</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1943</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1946</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1950</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1954</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1957</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1960</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1963</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1966</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1970</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1984</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2561</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2562</v>
      </c>
      <c r="B21" s="2"/>
      <c r="C21" s="2"/>
      <c r="D21" s="2"/>
      <c r="E21" s="2"/>
      <c r="F21" s="2"/>
      <c r="G21" s="2"/>
      <c r="H21" s="2"/>
      <c r="I21" s="2"/>
      <c r="J21" s="2"/>
      <c r="K21" s="2"/>
      <c r="L21" s="2"/>
      <c r="M21" s="2"/>
      <c r="N21" s="2"/>
      <c r="O21" s="2"/>
    </row>
    <row r="22" customFormat="false" ht="15" hidden="false" customHeight="false" outlineLevel="0" collapsed="false">
      <c r="A22" s="21" t="s">
        <v>2563</v>
      </c>
      <c r="B22" s="21" t="s">
        <v>1925</v>
      </c>
      <c r="C22" s="21" t="s">
        <v>2552</v>
      </c>
      <c r="D22" s="21" t="s">
        <v>2553</v>
      </c>
      <c r="E22" s="21" t="s">
        <v>2554</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2564</v>
      </c>
      <c r="B37" s="2"/>
      <c r="C37" s="2"/>
      <c r="D37" s="2"/>
      <c r="E37" s="2"/>
      <c r="F37" s="2"/>
      <c r="G37" s="2"/>
      <c r="H37" s="2"/>
      <c r="I37" s="2"/>
      <c r="J37" s="2"/>
      <c r="K37" s="2"/>
      <c r="L37" s="2"/>
      <c r="M37" s="2"/>
      <c r="N37" s="2"/>
      <c r="O37" s="2"/>
    </row>
    <row r="38" customFormat="false" ht="15" hidden="false" customHeight="false" outlineLevel="0" collapsed="false">
      <c r="A38" s="21"/>
      <c r="B38" s="21" t="s">
        <v>2565</v>
      </c>
      <c r="C38" s="21" t="s">
        <v>2566</v>
      </c>
      <c r="D38" s="21"/>
      <c r="E38" s="21" t="s">
        <v>2567</v>
      </c>
      <c r="F38" s="2"/>
      <c r="G38" s="2"/>
      <c r="H38" s="2"/>
      <c r="I38" s="2"/>
      <c r="J38" s="2"/>
      <c r="K38" s="2"/>
      <c r="L38" s="2"/>
      <c r="M38" s="2"/>
      <c r="N38" s="2"/>
      <c r="O38" s="2"/>
    </row>
    <row r="39" customFormat="false" ht="15" hidden="false" customHeight="false" outlineLevel="0" collapsed="false">
      <c r="A39" s="2"/>
      <c r="B39" s="5" t="s">
        <v>2508</v>
      </c>
      <c r="C39" s="64" t="n">
        <f aca="false">100*(Hypothèses!$J$26+Hypothèses!$J$10)</f>
        <v>316.869636446462</v>
      </c>
      <c r="D39" s="2"/>
      <c r="E39" s="24" t="s">
        <v>2568</v>
      </c>
      <c r="F39" s="2"/>
      <c r="G39" s="2"/>
      <c r="H39" s="2"/>
      <c r="I39" s="2"/>
      <c r="J39" s="2"/>
      <c r="K39" s="2"/>
      <c r="L39" s="2"/>
      <c r="M39" s="2"/>
      <c r="N39" s="2"/>
      <c r="O39" s="2"/>
    </row>
    <row r="40" customFormat="false" ht="15" hidden="false" customHeight="false" outlineLevel="0" collapsed="false">
      <c r="A40" s="2"/>
      <c r="B40" s="5" t="s">
        <v>2569</v>
      </c>
      <c r="C40" s="64" t="n">
        <f aca="false">100</f>
        <v>100</v>
      </c>
      <c r="D40" s="2"/>
      <c r="E40" s="24" t="s">
        <v>2570</v>
      </c>
      <c r="F40" s="2"/>
      <c r="G40" s="2"/>
      <c r="H40" s="2"/>
      <c r="I40" s="2"/>
      <c r="J40" s="2"/>
      <c r="K40" s="2"/>
      <c r="L40" s="2"/>
      <c r="M40" s="2"/>
      <c r="N40" s="2"/>
      <c r="O40" s="2"/>
    </row>
    <row r="41" customFormat="false" ht="15" hidden="false" customHeight="false" outlineLevel="0" collapsed="false">
      <c r="A41" s="2"/>
      <c r="B41" s="5" t="s">
        <v>2571</v>
      </c>
      <c r="C41" s="64" t="n">
        <f aca="false">100*(1-Hypothèses!$J$26/Hypothèses!$J$14)</f>
        <v>70</v>
      </c>
      <c r="D41" s="2"/>
      <c r="E41" s="24" t="s">
        <v>2572</v>
      </c>
      <c r="F41" s="2"/>
      <c r="G41" s="2"/>
      <c r="H41" s="2"/>
      <c r="I41" s="2"/>
      <c r="J41" s="2"/>
      <c r="K41" s="2"/>
      <c r="L41" s="2"/>
      <c r="M41" s="2"/>
      <c r="N41" s="2"/>
      <c r="O41" s="2"/>
    </row>
    <row r="42" customFormat="false" ht="15" hidden="false" customHeight="false" outlineLevel="0" collapsed="false">
      <c r="A42" s="2"/>
      <c r="B42" s="5" t="s">
        <v>2573</v>
      </c>
      <c r="C42" s="64" t="n">
        <f aca="false">-100*(1-Hypothèses!$J$26/Hypothèses!$J$21)</f>
        <v>-69.3877551020408</v>
      </c>
      <c r="D42" s="2"/>
      <c r="E42" s="24" t="s">
        <v>2574</v>
      </c>
      <c r="F42" s="2"/>
      <c r="G42" s="2"/>
      <c r="H42" s="2"/>
      <c r="I42" s="2"/>
      <c r="J42" s="2"/>
      <c r="K42" s="2"/>
      <c r="L42" s="2"/>
      <c r="M42" s="2"/>
      <c r="N42" s="2"/>
      <c r="O42" s="2"/>
    </row>
    <row r="43" customFormat="false" ht="15" hidden="false" customHeight="false" outlineLevel="0" collapsed="false">
      <c r="A43" s="2"/>
      <c r="B43" s="5" t="s">
        <v>2575</v>
      </c>
      <c r="C43" s="64" t="n">
        <f aca="false">-100</f>
        <v>-100</v>
      </c>
      <c r="D43" s="2"/>
      <c r="E43" s="24" t="s">
        <v>2570</v>
      </c>
      <c r="F43" s="2"/>
      <c r="G43" s="2"/>
      <c r="H43" s="2"/>
      <c r="I43" s="2"/>
      <c r="J43" s="2"/>
      <c r="K43" s="2"/>
      <c r="L43" s="2"/>
      <c r="M43" s="2"/>
      <c r="N43" s="2"/>
      <c r="O43" s="2"/>
    </row>
    <row r="44" customFormat="false" ht="15" hidden="false" customHeight="false" outlineLevel="0" collapsed="false">
      <c r="A44" s="2"/>
      <c r="B44" s="5" t="s">
        <v>2576</v>
      </c>
      <c r="C44" s="64" t="n">
        <f aca="false">-100</f>
        <v>-100</v>
      </c>
      <c r="D44" s="2"/>
      <c r="E44" s="24" t="s">
        <v>2577</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2578</v>
      </c>
      <c r="B46" s="2"/>
      <c r="C46" s="2"/>
      <c r="D46" s="2"/>
      <c r="E46" s="2"/>
      <c r="F46" s="2"/>
      <c r="G46" s="2"/>
      <c r="H46" s="2"/>
      <c r="I46" s="2"/>
      <c r="J46" s="2"/>
      <c r="K46" s="2"/>
      <c r="L46" s="2"/>
      <c r="M46" s="2"/>
      <c r="N46" s="2"/>
      <c r="O46" s="2"/>
    </row>
    <row r="47" customFormat="false" ht="35.05" hidden="false" customHeight="false" outlineLevel="0" collapsed="false">
      <c r="A47" s="21"/>
      <c r="B47" s="21" t="s">
        <v>2579</v>
      </c>
      <c r="C47" s="21" t="s">
        <v>2580</v>
      </c>
      <c r="D47" s="21" t="s">
        <v>93</v>
      </c>
      <c r="E47" s="21" t="s">
        <v>2581</v>
      </c>
      <c r="F47" s="21" t="s">
        <v>2582</v>
      </c>
      <c r="G47" s="2"/>
      <c r="H47" s="2"/>
      <c r="I47" s="2"/>
      <c r="J47" s="2"/>
      <c r="K47" s="2"/>
      <c r="L47" s="2"/>
      <c r="M47" s="2"/>
      <c r="N47" s="2"/>
      <c r="O47" s="2"/>
    </row>
    <row r="48" customFormat="false" ht="15" hidden="false" customHeight="false" outlineLevel="0" collapsed="false">
      <c r="A48" s="24" t="s">
        <v>2583</v>
      </c>
      <c r="B48" s="5" t="s">
        <v>2584</v>
      </c>
      <c r="C48" s="61" t="n">
        <f aca="false">Entrées!$C$565</f>
        <v>-30</v>
      </c>
      <c r="D48" s="24" t="s">
        <v>103</v>
      </c>
      <c r="E48" s="45" t="n">
        <f aca="false">C48*Hypothèses!$J$26</f>
        <v>-90</v>
      </c>
      <c r="F48" s="24" t="s">
        <v>2585</v>
      </c>
      <c r="G48" s="2"/>
      <c r="H48" s="2"/>
      <c r="I48" s="2"/>
      <c r="J48" s="2"/>
      <c r="K48" s="2"/>
      <c r="L48" s="2"/>
      <c r="M48" s="2"/>
      <c r="N48" s="2"/>
      <c r="O48" s="2"/>
    </row>
    <row r="49" customFormat="false" ht="15" hidden="false" customHeight="false" outlineLevel="0" collapsed="false">
      <c r="A49" s="24" t="s">
        <v>2586</v>
      </c>
      <c r="B49" s="5" t="s">
        <v>2587</v>
      </c>
      <c r="C49" s="61" t="n">
        <f aca="false">Entrées!$C$566</f>
        <v>-60</v>
      </c>
      <c r="D49" s="24" t="s">
        <v>103</v>
      </c>
      <c r="E49" s="45" t="n">
        <f aca="false">C49*2*Hypothèses!$J$26</f>
        <v>-360</v>
      </c>
      <c r="F49" s="24" t="s">
        <v>2588</v>
      </c>
      <c r="G49" s="2"/>
      <c r="H49" s="2"/>
      <c r="I49" s="2"/>
      <c r="J49" s="2"/>
      <c r="K49" s="2"/>
      <c r="L49" s="2"/>
      <c r="M49" s="2"/>
      <c r="N49" s="2"/>
      <c r="O49" s="2"/>
    </row>
    <row r="50" customFormat="false" ht="15" hidden="false" customHeight="false" outlineLevel="0" collapsed="false">
      <c r="A50" s="24" t="s">
        <v>2589</v>
      </c>
      <c r="B50" s="5" t="s">
        <v>2590</v>
      </c>
      <c r="C50" s="61" t="n">
        <f aca="false">Entrées!$C$562</f>
        <v>2455</v>
      </c>
      <c r="D50" s="24" t="s">
        <v>2591</v>
      </c>
      <c r="E50" s="45" t="n">
        <f aca="false">-C50*0.1</f>
        <v>-245.5</v>
      </c>
      <c r="F50" s="24" t="s">
        <v>2592</v>
      </c>
      <c r="G50" s="2"/>
      <c r="H50" s="2"/>
      <c r="I50" s="2"/>
      <c r="J50" s="2"/>
      <c r="K50" s="2"/>
      <c r="L50" s="2"/>
      <c r="M50" s="2"/>
      <c r="N50" s="2"/>
      <c r="O50" s="2"/>
    </row>
    <row r="51" customFormat="false" ht="15" hidden="false" customHeight="false" outlineLevel="0" collapsed="false">
      <c r="A51" s="24" t="s">
        <v>2593</v>
      </c>
      <c r="B51" s="5" t="s">
        <v>2594</v>
      </c>
      <c r="C51" s="61" t="n">
        <f aca="false">Entrées!$C$564</f>
        <v>-190</v>
      </c>
      <c r="D51" s="24" t="s">
        <v>103</v>
      </c>
      <c r="E51" s="45" t="n">
        <f aca="false">-C51</f>
        <v>190</v>
      </c>
      <c r="F51" s="24" t="s">
        <v>2595</v>
      </c>
      <c r="G51" s="2"/>
      <c r="H51" s="2"/>
      <c r="I51" s="2"/>
      <c r="J51" s="2"/>
      <c r="K51" s="2"/>
      <c r="L51" s="2"/>
      <c r="M51" s="2"/>
      <c r="N51" s="2"/>
      <c r="O51" s="2"/>
    </row>
    <row r="52" customFormat="false" ht="15" hidden="false" customHeight="false" outlineLevel="0" collapsed="false">
      <c r="A52" s="24" t="s">
        <v>2596</v>
      </c>
      <c r="B52" s="5" t="s">
        <v>2597</v>
      </c>
      <c r="C52" s="61" t="n">
        <f aca="false">Entrées!$C$554</f>
        <v>-223</v>
      </c>
      <c r="D52" s="24" t="s">
        <v>103</v>
      </c>
      <c r="E52" s="45" t="n">
        <f aca="false">C52*Hypothèses!$J$26</f>
        <v>-669</v>
      </c>
      <c r="F52" s="24" t="s">
        <v>2598</v>
      </c>
      <c r="G52" s="2"/>
      <c r="H52" s="2"/>
      <c r="I52" s="2"/>
      <c r="J52" s="2"/>
      <c r="K52" s="2"/>
      <c r="L52" s="2"/>
      <c r="M52" s="2"/>
      <c r="N52" s="2"/>
      <c r="O52" s="2"/>
    </row>
    <row r="53" customFormat="false" ht="15" hidden="false" customHeight="false" outlineLevel="0" collapsed="false">
      <c r="A53" s="24" t="s">
        <v>2599</v>
      </c>
      <c r="B53" s="5" t="s">
        <v>2600</v>
      </c>
      <c r="C53" s="61" t="n">
        <f aca="false">Entrées!$C$561</f>
        <v>-2992</v>
      </c>
      <c r="D53" s="24" t="s">
        <v>103</v>
      </c>
      <c r="E53" s="45" t="n">
        <f aca="false">C53*0.01</f>
        <v>-29.92</v>
      </c>
      <c r="F53" s="24" t="s">
        <v>2601</v>
      </c>
      <c r="G53" s="2"/>
      <c r="H53" s="2"/>
      <c r="I53" s="2"/>
      <c r="J53" s="2"/>
      <c r="K53" s="2"/>
      <c r="L53" s="2"/>
      <c r="M53" s="2"/>
      <c r="N53" s="2"/>
      <c r="O53" s="2"/>
    </row>
    <row r="54" customFormat="false" ht="15" hidden="false" customHeight="false" outlineLevel="0" collapsed="false">
      <c r="A54" s="24" t="s">
        <v>2602</v>
      </c>
      <c r="B54" s="5" t="s">
        <v>2603</v>
      </c>
      <c r="C54" s="72" t="n">
        <f aca="false">Entrées!$C$559/100</f>
        <v>0.561</v>
      </c>
      <c r="D54" s="24" t="s">
        <v>299</v>
      </c>
      <c r="E54" s="2"/>
      <c r="F54" s="24" t="s">
        <v>2604</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2605</v>
      </c>
      <c r="B1" s="2"/>
      <c r="C1" s="2"/>
      <c r="D1" s="2"/>
      <c r="E1" s="2"/>
      <c r="F1" s="2"/>
      <c r="G1" s="2"/>
      <c r="H1" s="2"/>
      <c r="I1" s="2"/>
      <c r="J1" s="2"/>
    </row>
    <row r="2" customFormat="false" ht="15" hidden="false" customHeight="false" outlineLevel="0" collapsed="false">
      <c r="A2" s="3" t="s">
        <v>2606</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2012</v>
      </c>
      <c r="B4" s="22" t="s">
        <v>2607</v>
      </c>
      <c r="C4" s="2"/>
      <c r="D4" s="2"/>
      <c r="E4" s="2"/>
      <c r="F4" s="2"/>
      <c r="G4" s="2"/>
      <c r="H4" s="2"/>
      <c r="I4" s="2"/>
      <c r="J4" s="2"/>
    </row>
    <row r="5" customFormat="false" ht="15" hidden="false" customHeight="false" outlineLevel="0" collapsed="false">
      <c r="A5" s="21"/>
      <c r="B5" s="21" t="s">
        <v>2608</v>
      </c>
      <c r="C5" s="21" t="s">
        <v>2609</v>
      </c>
      <c r="D5" s="21" t="s">
        <v>2610</v>
      </c>
      <c r="E5" s="21" t="s">
        <v>2611</v>
      </c>
      <c r="F5" s="21" t="s">
        <v>2612</v>
      </c>
      <c r="G5" s="21" t="s">
        <v>2613</v>
      </c>
      <c r="H5" s="21" t="s">
        <v>2614</v>
      </c>
      <c r="I5" s="21" t="s">
        <v>2615</v>
      </c>
      <c r="J5" s="21" t="s">
        <v>2616</v>
      </c>
    </row>
    <row r="6" customFormat="false" ht="15" hidden="false" customHeight="false" outlineLevel="0" collapsed="false">
      <c r="A6" s="24" t="s">
        <v>2493</v>
      </c>
      <c r="B6" s="5" t="s">
        <v>2494</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2515</v>
      </c>
      <c r="B7" s="5" t="s">
        <v>2516</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2517</v>
      </c>
      <c r="B8" s="5" t="s">
        <v>2617</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2527</v>
      </c>
      <c r="B9" s="5" t="s">
        <v>2528</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2529</v>
      </c>
      <c r="B10" s="5" t="s">
        <v>2618</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2537</v>
      </c>
      <c r="B11" s="5" t="s">
        <v>2619</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2539</v>
      </c>
      <c r="B12" s="5" t="s">
        <v>2620</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2543</v>
      </c>
      <c r="B13" s="5" t="s">
        <v>2621</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2507</v>
      </c>
      <c r="B14" s="5" t="s">
        <v>2508</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2513</v>
      </c>
      <c r="B15" s="5" t="s">
        <v>2622</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2025</v>
      </c>
      <c r="B17" s="22" t="s">
        <v>2623</v>
      </c>
      <c r="C17" s="2"/>
      <c r="D17" s="2"/>
      <c r="E17" s="2"/>
      <c r="F17" s="2"/>
      <c r="G17" s="2"/>
      <c r="H17" s="2"/>
      <c r="I17" s="2"/>
      <c r="J17" s="2"/>
    </row>
    <row r="18" customFormat="false" ht="23.85" hidden="false" customHeight="false" outlineLevel="0" collapsed="false">
      <c r="A18" s="21"/>
      <c r="B18" s="21" t="s">
        <v>2624</v>
      </c>
      <c r="C18" s="21" t="s">
        <v>2625</v>
      </c>
      <c r="D18" s="21"/>
      <c r="E18" s="21" t="s">
        <v>2626</v>
      </c>
      <c r="F18" s="2"/>
      <c r="G18" s="2"/>
      <c r="H18" s="2"/>
      <c r="I18" s="2"/>
      <c r="J18" s="2"/>
    </row>
    <row r="19" customFormat="false" ht="15" hidden="false" customHeight="false" outlineLevel="0" collapsed="false">
      <c r="A19" s="2"/>
      <c r="B19" s="22" t="s">
        <v>2627</v>
      </c>
      <c r="C19" s="106" t="n">
        <f aca="false">COUNTIF(Simulation!$BG$16:$BG$1015,"&gt;0")/1000</f>
        <v>1</v>
      </c>
      <c r="D19" s="2"/>
      <c r="E19" s="24" t="s">
        <v>2628</v>
      </c>
      <c r="F19" s="2"/>
      <c r="G19" s="2"/>
      <c r="H19" s="2"/>
      <c r="I19" s="2"/>
      <c r="J19" s="2"/>
    </row>
    <row r="20" customFormat="false" ht="15" hidden="false" customHeight="false" outlineLevel="0" collapsed="false">
      <c r="A20" s="2"/>
      <c r="B20" s="5" t="s">
        <v>2629</v>
      </c>
      <c r="C20" s="106" t="n">
        <f aca="false">COUNTIF(Simulation!$AV$16:$AV$1015,"&gt;0")/1000</f>
        <v>1</v>
      </c>
      <c r="D20" s="2"/>
      <c r="E20" s="24"/>
      <c r="F20" s="2"/>
      <c r="G20" s="2"/>
      <c r="H20" s="2"/>
      <c r="I20" s="2"/>
      <c r="J20" s="2"/>
    </row>
    <row r="21" customFormat="false" ht="15" hidden="false" customHeight="false" outlineLevel="0" collapsed="false">
      <c r="A21" s="2"/>
      <c r="B21" s="5" t="s">
        <v>2630</v>
      </c>
      <c r="C21" s="106" t="n">
        <f aca="false">COUNTIF(Simulation!$BF$16:$BF$1015,"&gt;0")/1000</f>
        <v>1</v>
      </c>
      <c r="D21" s="2"/>
      <c r="E21" s="24"/>
      <c r="F21" s="2"/>
      <c r="G21" s="2"/>
      <c r="H21" s="2"/>
      <c r="I21" s="2"/>
      <c r="J21" s="2"/>
    </row>
    <row r="22" customFormat="false" ht="15" hidden="false" customHeight="false" outlineLevel="0" collapsed="false">
      <c r="A22" s="2"/>
      <c r="B22" s="5" t="s">
        <v>2631</v>
      </c>
      <c r="C22" s="106" t="n">
        <f aca="false">COUNTIF(Simulation!$BA$16:$BA$1015,"&lt;"&amp;Entrées!$C$151/100)/1000</f>
        <v>0</v>
      </c>
      <c r="D22" s="2"/>
      <c r="E22" s="24" t="s">
        <v>2632</v>
      </c>
      <c r="F22" s="2"/>
      <c r="G22" s="2"/>
      <c r="H22" s="2"/>
      <c r="I22" s="2"/>
      <c r="J22" s="2"/>
    </row>
    <row r="23" customFormat="false" ht="15" hidden="false" customHeight="false" outlineLevel="0" collapsed="false">
      <c r="A23" s="2"/>
      <c r="B23" s="5" t="s">
        <v>2633</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2634</v>
      </c>
      <c r="C24" s="106" t="n">
        <f aca="false">COUNTIF(Simulation!$AJ$16:$AJ$1015,"&gt;3.1")/1000</f>
        <v>0</v>
      </c>
      <c r="D24" s="2"/>
      <c r="E24" s="24" t="s">
        <v>2635</v>
      </c>
      <c r="F24" s="2"/>
      <c r="G24" s="2"/>
      <c r="H24" s="2"/>
      <c r="I24" s="2"/>
      <c r="J24" s="2"/>
    </row>
    <row r="25" customFormat="false" ht="15" hidden="false" customHeight="false" outlineLevel="0" collapsed="false">
      <c r="A25" s="2"/>
      <c r="B25" s="22" t="s">
        <v>2636</v>
      </c>
      <c r="C25" s="106" t="n">
        <f aca="false">COUNTIF(Simulation!$BH$16:$BH$1015,"&gt;=1000")/1000</f>
        <v>0.968</v>
      </c>
      <c r="D25" s="2"/>
      <c r="E25" s="24" t="s">
        <v>2637</v>
      </c>
      <c r="F25" s="2"/>
      <c r="G25" s="2"/>
      <c r="H25" s="2"/>
      <c r="I25" s="2"/>
      <c r="J25" s="2"/>
    </row>
    <row r="26" customFormat="false" ht="15" hidden="false" customHeight="false" outlineLevel="0" collapsed="false">
      <c r="A26" s="2"/>
      <c r="B26" s="5" t="s">
        <v>2638</v>
      </c>
      <c r="C26" s="106" t="n">
        <f aca="false">COUNTIF(Simulation!$BH$16:$BH$1015,"&gt;=2000")/1000</f>
        <v>0.604</v>
      </c>
      <c r="D26" s="2"/>
      <c r="E26" s="24"/>
      <c r="F26" s="2"/>
      <c r="G26" s="2"/>
      <c r="H26" s="2"/>
      <c r="I26" s="2"/>
      <c r="J26" s="2"/>
    </row>
    <row r="27" customFormat="false" ht="15" hidden="false" customHeight="false" outlineLevel="0" collapsed="false">
      <c r="A27" s="2"/>
      <c r="B27" s="5" t="s">
        <v>2639</v>
      </c>
      <c r="C27" s="106" t="n">
        <f aca="false">COUNTIF(Simulation!$BH$16:$BH$1015,"&gt;=3000")/1000</f>
        <v>0.118</v>
      </c>
      <c r="D27" s="2"/>
      <c r="E27" s="24"/>
      <c r="F27" s="2"/>
      <c r="G27" s="2"/>
      <c r="H27" s="2"/>
      <c r="I27" s="2"/>
      <c r="J27" s="2"/>
    </row>
    <row r="28" customFormat="false" ht="15" hidden="false" customHeight="false" outlineLevel="0" collapsed="false">
      <c r="A28" s="2"/>
      <c r="B28" s="5" t="s">
        <v>2640</v>
      </c>
      <c r="C28" s="106" t="n">
        <f aca="false">COUNTIF(Simulation!$AX$16:$AX$1015,"&gt;=0")/1000</f>
        <v>0.402</v>
      </c>
      <c r="D28" s="2"/>
      <c r="E28" s="24"/>
      <c r="F28" s="2"/>
      <c r="G28" s="2"/>
      <c r="H28" s="2"/>
      <c r="I28" s="2"/>
      <c r="J28" s="2"/>
    </row>
    <row r="29" customFormat="false" ht="15" hidden="false" customHeight="false" outlineLevel="0" collapsed="false">
      <c r="A29" s="2"/>
      <c r="B29" s="5" t="s">
        <v>2641</v>
      </c>
      <c r="C29" s="58" t="n">
        <f aca="false">COUNTIF(Simulation!$BG$16:$BG$1015,"&lt;0")</f>
        <v>0</v>
      </c>
      <c r="D29" s="2"/>
      <c r="E29" s="24" t="s">
        <v>2642</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2190</v>
      </c>
      <c r="B31" s="22" t="s">
        <v>2643</v>
      </c>
      <c r="C31" s="2"/>
      <c r="D31" s="2"/>
      <c r="E31" s="2"/>
      <c r="F31" s="2"/>
      <c r="G31" s="2"/>
      <c r="H31" s="2"/>
      <c r="I31" s="2"/>
      <c r="J31" s="2"/>
    </row>
    <row r="32" customFormat="false" ht="15" hidden="false" customHeight="false" outlineLevel="0" collapsed="false">
      <c r="A32" s="21"/>
      <c r="B32" s="21" t="s">
        <v>2644</v>
      </c>
      <c r="C32" s="21" t="s">
        <v>2645</v>
      </c>
      <c r="D32" s="21" t="s">
        <v>2646</v>
      </c>
      <c r="E32" s="21" t="s">
        <v>2647</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2339</v>
      </c>
      <c r="B48" s="22" t="s">
        <v>2648</v>
      </c>
      <c r="C48" s="2"/>
      <c r="D48" s="2"/>
      <c r="E48" s="2"/>
      <c r="F48" s="2"/>
      <c r="G48" s="2"/>
      <c r="H48" s="2"/>
      <c r="I48" s="2"/>
      <c r="J48" s="2"/>
    </row>
    <row r="49" customFormat="false" ht="15" hidden="false" customHeight="false" outlineLevel="0" collapsed="false">
      <c r="A49" s="21"/>
      <c r="B49" s="21" t="s">
        <v>2269</v>
      </c>
      <c r="C49" s="21" t="s">
        <v>2611</v>
      </c>
      <c r="D49" s="21" t="s">
        <v>2612</v>
      </c>
      <c r="E49" s="21" t="s">
        <v>2613</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2649</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2650</v>
      </c>
      <c r="B1" s="2"/>
      <c r="C1" s="2"/>
      <c r="D1" s="2"/>
      <c r="E1" s="2"/>
      <c r="F1" s="2"/>
      <c r="G1" s="2"/>
      <c r="H1" s="2"/>
      <c r="I1" s="2"/>
      <c r="J1" s="2"/>
      <c r="K1" s="2"/>
      <c r="L1" s="2"/>
    </row>
    <row r="2" customFormat="false" ht="15" hidden="false" customHeight="false" outlineLevel="0" collapsed="false">
      <c r="A2" s="3" t="s">
        <v>2651</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2012</v>
      </c>
      <c r="B4" s="22" t="s">
        <v>2652</v>
      </c>
      <c r="C4" s="2"/>
      <c r="D4" s="2"/>
      <c r="E4" s="2"/>
      <c r="F4" s="2"/>
      <c r="G4" s="2"/>
      <c r="H4" s="2"/>
      <c r="I4" s="2"/>
      <c r="J4" s="2"/>
      <c r="K4" s="2"/>
      <c r="L4" s="2"/>
    </row>
    <row r="5" customFormat="false" ht="23.85" hidden="false" customHeight="false" outlineLevel="0" collapsed="false">
      <c r="A5" s="21"/>
      <c r="B5" s="21" t="s">
        <v>2653</v>
      </c>
      <c r="C5" s="21" t="s">
        <v>2654</v>
      </c>
      <c r="D5" s="21" t="s">
        <v>2361</v>
      </c>
      <c r="E5" s="21" t="s">
        <v>2015</v>
      </c>
      <c r="F5" s="21" t="s">
        <v>2020</v>
      </c>
      <c r="G5" s="21" t="s">
        <v>2655</v>
      </c>
      <c r="H5" s="21" t="s">
        <v>2656</v>
      </c>
      <c r="I5" s="21" t="s">
        <v>2657</v>
      </c>
      <c r="J5" s="21" t="s">
        <v>2658</v>
      </c>
      <c r="K5" s="21" t="s">
        <v>2659</v>
      </c>
      <c r="L5" s="21" t="s">
        <v>1930</v>
      </c>
    </row>
    <row r="6" customFormat="false" ht="15" hidden="false" customHeight="false" outlineLevel="0" collapsed="false">
      <c r="A6" s="2"/>
      <c r="B6" s="5" t="s">
        <v>2660</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2661</v>
      </c>
    </row>
    <row r="7" customFormat="false" ht="15" hidden="false" customHeight="false" outlineLevel="0" collapsed="false">
      <c r="A7" s="2"/>
      <c r="B7" s="5" t="s">
        <v>2662</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2663</v>
      </c>
    </row>
    <row r="8" customFormat="false" ht="15" hidden="false" customHeight="false" outlineLevel="0" collapsed="false">
      <c r="A8" s="2"/>
      <c r="B8" s="5" t="s">
        <v>2664</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2665</v>
      </c>
    </row>
    <row r="9" customFormat="false" ht="15" hidden="false" customHeight="false" outlineLevel="0" collapsed="false">
      <c r="A9" s="2"/>
      <c r="B9" s="5" t="s">
        <v>2666</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2667</v>
      </c>
    </row>
    <row r="10" customFormat="false" ht="15" hidden="false" customHeight="false" outlineLevel="0" collapsed="false">
      <c r="A10" s="2"/>
      <c r="B10" s="22" t="s">
        <v>2668</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2669</v>
      </c>
      <c r="C11" s="2"/>
      <c r="D11" s="2"/>
      <c r="E11" s="61" t="n">
        <f aca="false">Entrées!$C$22</f>
        <v>6788</v>
      </c>
      <c r="F11" s="61" t="n">
        <f aca="false">Entrées!$C$8</f>
        <v>7050</v>
      </c>
      <c r="G11" s="2"/>
      <c r="H11" s="2"/>
      <c r="I11" s="2"/>
      <c r="J11" s="2"/>
      <c r="K11" s="2"/>
      <c r="L11" s="24" t="s">
        <v>2670</v>
      </c>
    </row>
    <row r="12" customFormat="false" ht="15" hidden="false" customHeight="false" outlineLevel="0" collapsed="false">
      <c r="A12" s="2"/>
      <c r="B12" s="5" t="s">
        <v>2671</v>
      </c>
      <c r="C12" s="2"/>
      <c r="D12" s="2"/>
      <c r="E12" s="107" t="s">
        <v>2401</v>
      </c>
      <c r="F12" s="64" t="n">
        <f aca="false">F11-F10</f>
        <v>139</v>
      </c>
      <c r="G12" s="2"/>
      <c r="H12" s="2"/>
      <c r="I12" s="2"/>
      <c r="J12" s="2"/>
      <c r="K12" s="2"/>
      <c r="L12" s="24" t="s">
        <v>2672</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2025</v>
      </c>
      <c r="B14" s="22" t="s">
        <v>2673</v>
      </c>
      <c r="C14" s="2"/>
      <c r="D14" s="2"/>
      <c r="E14" s="2"/>
      <c r="F14" s="2"/>
      <c r="G14" s="2"/>
      <c r="H14" s="2"/>
      <c r="I14" s="2"/>
      <c r="J14" s="2"/>
      <c r="K14" s="2"/>
      <c r="L14" s="2"/>
    </row>
    <row r="15" customFormat="false" ht="35.05" hidden="false" customHeight="false" outlineLevel="0" collapsed="false">
      <c r="A15" s="21"/>
      <c r="B15" s="21" t="s">
        <v>2674</v>
      </c>
      <c r="C15" s="21" t="s">
        <v>2654</v>
      </c>
      <c r="D15" s="21" t="s">
        <v>2361</v>
      </c>
      <c r="E15" s="21" t="s">
        <v>2015</v>
      </c>
      <c r="F15" s="21" t="s">
        <v>2020</v>
      </c>
      <c r="G15" s="21" t="s">
        <v>2655</v>
      </c>
      <c r="H15" s="21" t="s">
        <v>2675</v>
      </c>
      <c r="I15" s="21" t="s">
        <v>2657</v>
      </c>
      <c r="J15" s="21" t="s">
        <v>2658</v>
      </c>
      <c r="K15" s="21" t="s">
        <v>2659</v>
      </c>
      <c r="L15" s="21" t="s">
        <v>1930</v>
      </c>
    </row>
    <row r="16" customFormat="false" ht="15" hidden="false" customHeight="false" outlineLevel="0" collapsed="false">
      <c r="A16" s="2"/>
      <c r="B16" s="5" t="s">
        <v>2676</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2677</v>
      </c>
    </row>
    <row r="17" customFormat="false" ht="15" hidden="false" customHeight="false" outlineLevel="0" collapsed="false">
      <c r="A17" s="2"/>
      <c r="B17" s="5" t="s">
        <v>2678</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2679</v>
      </c>
    </row>
    <row r="18" customFormat="false" ht="15" hidden="false" customHeight="false" outlineLevel="0" collapsed="false">
      <c r="A18" s="2"/>
      <c r="B18" s="5" t="s">
        <v>2680</v>
      </c>
      <c r="C18" s="2"/>
      <c r="D18" s="61" t="n">
        <f aca="false">Entrées!$C$64*1000</f>
        <v>5200</v>
      </c>
      <c r="E18" s="2"/>
      <c r="F18" s="61" t="n">
        <f aca="false">Entrées!$C$65*1000</f>
        <v>900</v>
      </c>
      <c r="G18" s="66" t="n">
        <f aca="false">F18/D18</f>
        <v>0.173076923076923</v>
      </c>
      <c r="H18" s="2"/>
      <c r="I18" s="2"/>
      <c r="J18" s="2"/>
      <c r="K18" s="2"/>
      <c r="L18" s="24" t="s">
        <v>2681</v>
      </c>
    </row>
    <row r="19" customFormat="false" ht="15" hidden="false" customHeight="false" outlineLevel="0" collapsed="false">
      <c r="A19" s="2"/>
      <c r="B19" s="5" t="s">
        <v>2682</v>
      </c>
      <c r="C19" s="2"/>
      <c r="D19" s="2"/>
      <c r="E19" s="2"/>
      <c r="F19" s="2"/>
      <c r="G19" s="72" t="n">
        <f aca="false">Entrées!$C$177/100</f>
        <v>0.126</v>
      </c>
      <c r="H19" s="2"/>
      <c r="I19" s="2"/>
      <c r="J19" s="2"/>
      <c r="K19" s="2"/>
      <c r="L19" s="24" t="s">
        <v>644</v>
      </c>
    </row>
    <row r="20" customFormat="false" ht="15" hidden="false" customHeight="false" outlineLevel="0" collapsed="false">
      <c r="A20" s="2"/>
      <c r="B20" s="5" t="s">
        <v>2683</v>
      </c>
      <c r="C20" s="78" t="n">
        <f aca="false">Entrées!$C$223</f>
        <v>3</v>
      </c>
      <c r="D20" s="78" t="n">
        <f aca="false">Entrées!$C$224</f>
        <v>4.9</v>
      </c>
      <c r="E20" s="2"/>
      <c r="F20" s="2"/>
      <c r="G20" s="2"/>
      <c r="H20" s="66" t="n">
        <f aca="false">(D20/C20)^(1/4)-1</f>
        <v>0.1304951573737</v>
      </c>
      <c r="I20" s="2"/>
      <c r="J20" s="2"/>
      <c r="K20" s="2"/>
      <c r="L20" s="24" t="s">
        <v>2684</v>
      </c>
    </row>
    <row r="21" customFormat="false" ht="15" hidden="false" customHeight="false" outlineLevel="0" collapsed="false">
      <c r="A21" s="2"/>
      <c r="B21" s="5" t="s">
        <v>2685</v>
      </c>
      <c r="C21" s="2"/>
      <c r="D21" s="2"/>
      <c r="E21" s="2"/>
      <c r="F21" s="2"/>
      <c r="G21" s="2"/>
      <c r="H21" s="66" t="n">
        <f aca="false">(D17/1000/C20)^(1/2)-1</f>
        <v>0.157727659397206</v>
      </c>
      <c r="I21" s="2"/>
      <c r="J21" s="2"/>
      <c r="K21" s="2"/>
      <c r="L21" s="24" t="s">
        <v>2686</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2190</v>
      </c>
      <c r="B23" s="22" t="s">
        <v>2687</v>
      </c>
      <c r="C23" s="2"/>
      <c r="D23" s="2"/>
      <c r="E23" s="2"/>
      <c r="F23" s="2"/>
      <c r="G23" s="2"/>
      <c r="H23" s="2"/>
      <c r="I23" s="2"/>
      <c r="J23" s="2"/>
      <c r="K23" s="2"/>
      <c r="L23" s="2"/>
    </row>
    <row r="24" customFormat="false" ht="35.05" hidden="false" customHeight="false" outlineLevel="0" collapsed="false">
      <c r="A24" s="21"/>
      <c r="B24" s="21" t="s">
        <v>2653</v>
      </c>
      <c r="C24" s="21" t="s">
        <v>2020</v>
      </c>
      <c r="D24" s="21" t="s">
        <v>2688</v>
      </c>
      <c r="E24" s="21" t="s">
        <v>2689</v>
      </c>
      <c r="F24" s="21"/>
      <c r="G24" s="21"/>
      <c r="H24" s="21"/>
      <c r="I24" s="21"/>
      <c r="J24" s="21"/>
      <c r="K24" s="21"/>
      <c r="L24" s="21" t="s">
        <v>2690</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2691</v>
      </c>
    </row>
    <row r="29" customFormat="false" ht="15" hidden="false" customHeight="false" outlineLevel="0" collapsed="false">
      <c r="A29" s="2"/>
      <c r="B29" s="5" t="s">
        <v>2692</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2693</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2694</v>
      </c>
      <c r="C31" s="2"/>
      <c r="D31" s="2"/>
      <c r="E31" s="45" t="n">
        <f aca="false">SUM(E25:E30)</f>
        <v>8094.42222686603</v>
      </c>
      <c r="F31" s="2"/>
      <c r="G31" s="2"/>
      <c r="H31" s="2"/>
      <c r="I31" s="2"/>
      <c r="J31" s="2"/>
      <c r="K31" s="2"/>
      <c r="L31" s="2"/>
    </row>
    <row r="32" customFormat="false" ht="15" hidden="false" customHeight="false" outlineLevel="0" collapsed="false">
      <c r="A32" s="2"/>
      <c r="B32" s="5" t="s">
        <v>2695</v>
      </c>
      <c r="C32" s="2"/>
      <c r="D32" s="2"/>
      <c r="E32" s="61" t="n">
        <f aca="false">Entrées!$C$17*1000</f>
        <v>8000</v>
      </c>
      <c r="F32" s="2"/>
      <c r="G32" s="2"/>
      <c r="H32" s="2"/>
      <c r="I32" s="2"/>
      <c r="J32" s="2"/>
      <c r="K32" s="2"/>
      <c r="L32" s="2"/>
    </row>
    <row r="33" customFormat="false" ht="15" hidden="false" customHeight="false" outlineLevel="0" collapsed="false">
      <c r="A33" s="2"/>
      <c r="B33" s="5" t="s">
        <v>2696</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2339</v>
      </c>
      <c r="B36" s="22" t="s">
        <v>2697</v>
      </c>
      <c r="C36" s="2"/>
      <c r="D36" s="2"/>
      <c r="E36" s="2"/>
      <c r="F36" s="2"/>
      <c r="G36" s="2"/>
      <c r="H36" s="2"/>
      <c r="I36" s="2"/>
      <c r="J36" s="2"/>
      <c r="K36" s="2"/>
      <c r="L36" s="2"/>
    </row>
    <row r="37" customFormat="false" ht="23.85" hidden="false" customHeight="false" outlineLevel="0" collapsed="false">
      <c r="A37" s="21"/>
      <c r="B37" s="21" t="s">
        <v>2698</v>
      </c>
      <c r="C37" s="21" t="s">
        <v>2699</v>
      </c>
      <c r="D37" s="21" t="s">
        <v>225</v>
      </c>
      <c r="E37" s="21" t="s">
        <v>170</v>
      </c>
      <c r="F37" s="21" t="s">
        <v>2700</v>
      </c>
      <c r="G37" s="21" t="s">
        <v>2701</v>
      </c>
      <c r="H37" s="21"/>
      <c r="I37" s="21"/>
      <c r="J37" s="21"/>
      <c r="K37" s="21"/>
      <c r="L37" s="21" t="s">
        <v>1930</v>
      </c>
    </row>
    <row r="38" customFormat="false" ht="15" hidden="false" customHeight="false" outlineLevel="0" collapsed="false">
      <c r="A38" s="2"/>
      <c r="B38" s="5" t="s">
        <v>2702</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2703</v>
      </c>
    </row>
    <row r="39" customFormat="false" ht="15" hidden="false" customHeight="false" outlineLevel="0" collapsed="false">
      <c r="A39" s="2"/>
      <c r="B39" s="5" t="s">
        <v>2704</v>
      </c>
      <c r="C39" s="2"/>
      <c r="D39" s="2"/>
      <c r="E39" s="2"/>
      <c r="F39" s="78" t="n">
        <f aca="false">Entrées!$C$192</f>
        <v>18</v>
      </c>
      <c r="G39" s="2"/>
      <c r="H39" s="2"/>
      <c r="I39" s="2"/>
      <c r="J39" s="2"/>
      <c r="K39" s="2"/>
      <c r="L39" s="24" t="s">
        <v>2705</v>
      </c>
    </row>
    <row r="40" customFormat="false" ht="15" hidden="false" customHeight="false" outlineLevel="0" collapsed="false">
      <c r="A40" s="2"/>
      <c r="B40" s="5" t="s">
        <v>2706</v>
      </c>
      <c r="C40" s="2"/>
      <c r="D40" s="108" t="n">
        <f aca="false">Entrées!$C$189</f>
        <v>1.45</v>
      </c>
      <c r="E40" s="108" t="n">
        <f aca="false">Entrées!$C$190</f>
        <v>1.574</v>
      </c>
      <c r="F40" s="108" t="n">
        <f aca="false">Entrées!$C$191</f>
        <v>1.5</v>
      </c>
      <c r="G40" s="109" t="n">
        <f aca="false">F40-E40</f>
        <v>-0.0740000000000001</v>
      </c>
      <c r="H40" s="2"/>
      <c r="I40" s="2"/>
      <c r="J40" s="2"/>
      <c r="K40" s="2"/>
      <c r="L40" s="24" t="s">
        <v>2707</v>
      </c>
    </row>
    <row r="41" customFormat="false" ht="15" hidden="false" customHeight="false" outlineLevel="0" collapsed="false">
      <c r="A41" s="2"/>
      <c r="B41" s="5" t="s">
        <v>2708</v>
      </c>
      <c r="C41" s="2"/>
      <c r="D41" s="61" t="n">
        <f aca="false">Entrées!$C$38</f>
        <v>9196</v>
      </c>
      <c r="E41" s="61" t="n">
        <f aca="false">Entrées!$C$39</f>
        <v>9181</v>
      </c>
      <c r="F41" s="61" t="n">
        <f aca="false">Entrées!$C$40*1000</f>
        <v>9000</v>
      </c>
      <c r="G41" s="64" t="n">
        <f aca="false">F41-E41</f>
        <v>-181</v>
      </c>
      <c r="H41" s="2"/>
      <c r="I41" s="2"/>
      <c r="J41" s="2"/>
      <c r="K41" s="2"/>
      <c r="L41" s="24" t="s">
        <v>2709</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2710</v>
      </c>
      <c r="B1" s="2"/>
      <c r="C1" s="2"/>
      <c r="D1" s="2"/>
      <c r="E1" s="2"/>
      <c r="F1" s="2"/>
    </row>
    <row r="2" customFormat="false" ht="15" hidden="false" customHeight="false" outlineLevel="0" collapsed="false">
      <c r="A2" s="3" t="s">
        <v>2711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2012</v>
      </c>
      <c r="B4" s="22" t="s">
        <v>2712</v>
      </c>
      <c r="C4" s="2"/>
      <c r="D4" s="2"/>
      <c r="E4" s="2"/>
      <c r="F4" s="2"/>
    </row>
    <row r="5" customFormat="false" ht="15" hidden="false" customHeight="false" outlineLevel="0" collapsed="false">
      <c r="A5" s="21"/>
      <c r="B5" s="21" t="s">
        <v>91</v>
      </c>
      <c r="C5" s="21" t="s">
        <v>92</v>
      </c>
      <c r="D5" s="21" t="s">
        <v>93</v>
      </c>
      <c r="E5" s="21" t="s">
        <v>2011</v>
      </c>
      <c r="F5" s="2"/>
    </row>
    <row r="6" customFormat="false" ht="15" hidden="false" customHeight="false" outlineLevel="0" collapsed="false">
      <c r="A6" s="2"/>
      <c r="B6" s="5" t="s">
        <v>2713</v>
      </c>
      <c r="C6" s="64" t="n">
        <f aca="false">Entrées!$C$423*1000</f>
        <v>6500</v>
      </c>
      <c r="D6" s="24" t="s">
        <v>103</v>
      </c>
      <c r="E6" s="24" t="s">
        <v>1319</v>
      </c>
      <c r="F6" s="2"/>
    </row>
    <row r="7" customFormat="false" ht="15" hidden="false" customHeight="false" outlineLevel="0" collapsed="false">
      <c r="A7" s="2"/>
      <c r="B7" s="5" t="s">
        <v>2714</v>
      </c>
      <c r="C7" s="64" t="n">
        <f aca="false">Entrées!$C$17*1000</f>
        <v>8000</v>
      </c>
      <c r="D7" s="24" t="s">
        <v>103</v>
      </c>
      <c r="E7" s="24" t="s">
        <v>154</v>
      </c>
      <c r="F7" s="2"/>
    </row>
    <row r="8" customFormat="false" ht="15" hidden="false" customHeight="false" outlineLevel="0" collapsed="false">
      <c r="A8" s="2"/>
      <c r="B8" s="22" t="s">
        <v>2715</v>
      </c>
      <c r="C8" s="45" t="n">
        <f aca="false">C7-C6</f>
        <v>1500</v>
      </c>
      <c r="D8" s="24" t="s">
        <v>103</v>
      </c>
      <c r="E8" s="24" t="s">
        <v>2716</v>
      </c>
      <c r="F8" s="2"/>
    </row>
    <row r="9" customFormat="false" ht="15" hidden="false" customHeight="false" outlineLevel="0" collapsed="false">
      <c r="A9" s="2"/>
      <c r="B9" s="5" t="s">
        <v>2717</v>
      </c>
      <c r="C9" s="66" t="n">
        <f aca="false">(C7/C6)^(1/4)-1</f>
        <v>0.0532807756958533</v>
      </c>
      <c r="D9" s="24" t="s">
        <v>299</v>
      </c>
      <c r="E9" s="24" t="s">
        <v>2718</v>
      </c>
      <c r="F9" s="2"/>
    </row>
    <row r="10" customFormat="false" ht="15" hidden="false" customHeight="false" outlineLevel="0" collapsed="false">
      <c r="A10" s="2"/>
      <c r="B10" s="5" t="s">
        <v>2719</v>
      </c>
      <c r="C10" s="66" t="n">
        <f aca="false">Entrées!$C$424/100</f>
        <v>0.05</v>
      </c>
      <c r="D10" s="24" t="s">
        <v>299</v>
      </c>
      <c r="E10" s="24" t="s">
        <v>1321</v>
      </c>
      <c r="F10" s="2"/>
    </row>
    <row r="11" customFormat="false" ht="15" hidden="false" customHeight="false" outlineLevel="0" collapsed="false">
      <c r="A11" s="2"/>
      <c r="B11" s="5" t="s">
        <v>2720</v>
      </c>
      <c r="C11" s="61" t="n">
        <f aca="false">Entrées!$C$425</f>
        <v>350</v>
      </c>
      <c r="D11" s="24" t="s">
        <v>103</v>
      </c>
      <c r="E11" s="24" t="s">
        <v>1324</v>
      </c>
      <c r="F11" s="2"/>
    </row>
    <row r="12" customFormat="false" ht="15" hidden="false" customHeight="false" outlineLevel="0" collapsed="false">
      <c r="A12" s="2"/>
      <c r="B12" s="22" t="s">
        <v>2721</v>
      </c>
      <c r="C12" s="45" t="n">
        <f aca="false">4*C11</f>
        <v>1400</v>
      </c>
      <c r="D12" s="24" t="s">
        <v>103</v>
      </c>
      <c r="E12" s="24" t="s">
        <v>2722</v>
      </c>
      <c r="F12" s="2"/>
    </row>
    <row r="13" customFormat="false" ht="15" hidden="false" customHeight="false" outlineLevel="0" collapsed="false">
      <c r="A13" s="2"/>
      <c r="B13" s="22" t="s">
        <v>2723</v>
      </c>
      <c r="C13" s="41" t="n">
        <f aca="false">C12/'Pont EBITDA'!$C$8</f>
        <v>0.933333333333333</v>
      </c>
      <c r="D13" s="24" t="s">
        <v>299</v>
      </c>
      <c r="E13" s="24" t="s">
        <v>2724</v>
      </c>
      <c r="F13" s="2"/>
    </row>
    <row r="14" customFormat="false" ht="15" hidden="false" customHeight="false" outlineLevel="0" collapsed="false">
      <c r="A14" s="2"/>
      <c r="B14" s="5" t="s">
        <v>2725</v>
      </c>
      <c r="C14" s="61" t="n">
        <f aca="false">Entrées!$C$426</f>
        <v>200</v>
      </c>
      <c r="D14" s="24" t="s">
        <v>103</v>
      </c>
      <c r="E14" s="24" t="s">
        <v>1327</v>
      </c>
      <c r="F14" s="2"/>
    </row>
    <row r="15" customFormat="false" ht="15" hidden="false" customHeight="false" outlineLevel="0" collapsed="false">
      <c r="A15" s="2"/>
      <c r="B15" s="5" t="s">
        <v>2726</v>
      </c>
      <c r="C15" s="61" t="n">
        <f aca="false">Entrées!$C$427</f>
        <v>500</v>
      </c>
      <c r="D15" s="24" t="s">
        <v>103</v>
      </c>
      <c r="E15" s="24" t="s">
        <v>2727</v>
      </c>
      <c r="F15" s="2"/>
    </row>
    <row r="16" customFormat="false" ht="15" hidden="false" customHeight="false" outlineLevel="0" collapsed="false">
      <c r="A16" s="2"/>
      <c r="B16" s="22" t="s">
        <v>2728</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2025</v>
      </c>
      <c r="B19" s="22" t="s">
        <v>2729</v>
      </c>
      <c r="C19" s="2"/>
      <c r="D19" s="2"/>
      <c r="E19" s="2"/>
      <c r="F19" s="2"/>
    </row>
    <row r="20" customFormat="false" ht="15" hidden="false" customHeight="false" outlineLevel="0" collapsed="false">
      <c r="A20" s="21"/>
      <c r="B20" s="21" t="s">
        <v>91</v>
      </c>
      <c r="C20" s="21" t="s">
        <v>170</v>
      </c>
      <c r="D20" s="21" t="s">
        <v>225</v>
      </c>
      <c r="E20" s="21" t="s">
        <v>2011</v>
      </c>
      <c r="F20" s="2"/>
    </row>
    <row r="21" customFormat="false" ht="15" hidden="false" customHeight="false" outlineLevel="0" collapsed="false">
      <c r="A21" s="2"/>
      <c r="B21" s="5" t="s">
        <v>2730</v>
      </c>
      <c r="C21" s="61" t="n">
        <f aca="false">Entrées!$C$8</f>
        <v>7050</v>
      </c>
      <c r="D21" s="61" t="n">
        <f aca="false">Entrées!$C$22</f>
        <v>6788</v>
      </c>
      <c r="E21" s="24" t="s">
        <v>2129</v>
      </c>
      <c r="F21" s="2"/>
    </row>
    <row r="22" customFormat="false" ht="15" hidden="false" customHeight="false" outlineLevel="0" collapsed="false">
      <c r="A22" s="2"/>
      <c r="B22" s="5" t="s">
        <v>2731</v>
      </c>
      <c r="C22" s="61" t="n">
        <f aca="false">Entrées!$C$22</f>
        <v>6788</v>
      </c>
      <c r="D22" s="61" t="n">
        <f aca="false">'Pont EBITDA'!$C$6</f>
        <v>6500</v>
      </c>
      <c r="E22" s="24" t="s">
        <v>2732</v>
      </c>
      <c r="F22" s="2"/>
    </row>
    <row r="23" customFormat="false" ht="15" hidden="false" customHeight="false" outlineLevel="0" collapsed="false">
      <c r="A23" s="2"/>
      <c r="B23" s="5" t="s">
        <v>2733</v>
      </c>
      <c r="C23" s="72" t="n">
        <f aca="false">Entrées!$C$430/100</f>
        <v>0.063</v>
      </c>
      <c r="D23" s="107" t="s">
        <v>2401</v>
      </c>
      <c r="E23" s="24" t="s">
        <v>1338</v>
      </c>
      <c r="F23" s="2"/>
    </row>
    <row r="24" customFormat="false" ht="15" hidden="false" customHeight="false" outlineLevel="0" collapsed="false">
      <c r="A24" s="2"/>
      <c r="B24" s="22" t="s">
        <v>2734</v>
      </c>
      <c r="C24" s="45" t="n">
        <f aca="false">C23*D21</f>
        <v>427.644</v>
      </c>
      <c r="D24" s="107" t="s">
        <v>2401</v>
      </c>
      <c r="E24" s="24" t="s">
        <v>2735</v>
      </c>
      <c r="F24" s="2"/>
    </row>
    <row r="25" customFormat="false" ht="15" hidden="false" customHeight="false" outlineLevel="0" collapsed="false">
      <c r="A25" s="2"/>
      <c r="B25" s="5" t="s">
        <v>2736</v>
      </c>
      <c r="C25" s="61" t="n">
        <f aca="false">Entrées!$C$429</f>
        <v>399</v>
      </c>
      <c r="D25" s="61" t="n">
        <f aca="false">Entrées!$C$193</f>
        <v>398</v>
      </c>
      <c r="E25" s="24" t="s">
        <v>2737</v>
      </c>
      <c r="F25" s="2"/>
    </row>
    <row r="26" customFormat="false" ht="15" hidden="false" customHeight="false" outlineLevel="0" collapsed="false">
      <c r="A26" s="2"/>
      <c r="B26" s="5" t="s">
        <v>2738</v>
      </c>
      <c r="C26" s="64" t="n">
        <f aca="false">Entrées!$C$196-Entrées!$C$194</f>
        <v>99</v>
      </c>
      <c r="D26" s="107" t="s">
        <v>2401</v>
      </c>
      <c r="E26" s="24" t="s">
        <v>2739</v>
      </c>
      <c r="F26" s="2"/>
    </row>
    <row r="27" customFormat="false" ht="15" hidden="false" customHeight="false" outlineLevel="0" collapsed="false">
      <c r="A27" s="2"/>
      <c r="B27" s="22" t="s">
        <v>2740</v>
      </c>
      <c r="C27" s="45" t="n">
        <f aca="false">C25+C26</f>
        <v>498</v>
      </c>
      <c r="D27" s="107" t="s">
        <v>2401</v>
      </c>
      <c r="E27" s="24"/>
      <c r="F27" s="2"/>
    </row>
    <row r="28" customFormat="false" ht="15" hidden="false" customHeight="false" outlineLevel="0" collapsed="false">
      <c r="A28" s="2"/>
      <c r="B28" s="22" t="s">
        <v>2741</v>
      </c>
      <c r="C28" s="41" t="n">
        <f aca="false">C25/'Pont EBITDA'!$C$24</f>
        <v>0.933019053231192</v>
      </c>
      <c r="D28" s="107" t="s">
        <v>2401</v>
      </c>
      <c r="E28" s="24" t="s">
        <v>2742</v>
      </c>
      <c r="F28" s="2"/>
    </row>
    <row r="29" customFormat="false" ht="15" hidden="false" customHeight="false" outlineLevel="0" collapsed="false">
      <c r="A29" s="2"/>
      <c r="B29" s="22" t="s">
        <v>2743</v>
      </c>
      <c r="C29" s="45" t="n">
        <f aca="false">'Pont EBITDA'!$C$24-C27</f>
        <v>-70.356</v>
      </c>
      <c r="D29" s="107" t="s">
        <v>2401</v>
      </c>
      <c r="E29" s="24" t="s">
        <v>2744</v>
      </c>
      <c r="F29" s="2"/>
    </row>
    <row r="30" customFormat="false" ht="15" hidden="false" customHeight="false" outlineLevel="0" collapsed="false">
      <c r="A30" s="2"/>
      <c r="B30" s="5" t="s">
        <v>2745</v>
      </c>
      <c r="C30" s="72" t="n">
        <f aca="false">Entrées!$C$431/100</f>
        <v>0.159</v>
      </c>
      <c r="D30" s="107" t="s">
        <v>2401</v>
      </c>
      <c r="E30" s="24" t="s">
        <v>1341</v>
      </c>
      <c r="F30" s="2"/>
    </row>
    <row r="31" customFormat="false" ht="15" hidden="false" customHeight="false" outlineLevel="0" collapsed="false">
      <c r="A31" s="2"/>
      <c r="B31" s="22" t="s">
        <v>2746</v>
      </c>
      <c r="C31" s="2"/>
      <c r="D31" s="2"/>
      <c r="E31" s="2"/>
      <c r="F31" s="2"/>
    </row>
    <row r="32" customFormat="false" ht="15" hidden="false" customHeight="false" outlineLevel="0" collapsed="false">
      <c r="A32" s="2"/>
      <c r="B32" s="5" t="s">
        <v>2747</v>
      </c>
      <c r="C32" s="64" t="n">
        <f aca="false">Entrées!$C$436*Entrées!$C$437/100</f>
        <v>258.384</v>
      </c>
      <c r="D32" s="107" t="s">
        <v>2401</v>
      </c>
      <c r="E32" s="24" t="s">
        <v>2748</v>
      </c>
      <c r="F32" s="2"/>
    </row>
    <row r="33" customFormat="false" ht="15" hidden="false" customHeight="false" outlineLevel="0" collapsed="false">
      <c r="A33" s="2"/>
      <c r="B33" s="5" t="s">
        <v>2749</v>
      </c>
      <c r="C33" s="64" t="n">
        <f aca="false">Entrées!$C$176*Entrées!$C$175/100</f>
        <v>201.828</v>
      </c>
      <c r="D33" s="107" t="s">
        <v>2401</v>
      </c>
      <c r="E33" s="24" t="s">
        <v>2750</v>
      </c>
      <c r="F33" s="2"/>
    </row>
    <row r="34" customFormat="false" ht="15" hidden="false" customHeight="false" outlineLevel="0" collapsed="false">
      <c r="A34" s="2"/>
      <c r="B34" s="22" t="s">
        <v>2751</v>
      </c>
      <c r="C34" s="45" t="n">
        <f aca="false">C32+C33</f>
        <v>460.212</v>
      </c>
      <c r="D34" s="107" t="s">
        <v>2401</v>
      </c>
      <c r="E34" s="24" t="s">
        <v>2752</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2190</v>
      </c>
      <c r="B37" s="22" t="s">
        <v>2753</v>
      </c>
      <c r="C37" s="2"/>
      <c r="D37" s="2"/>
      <c r="E37" s="2"/>
      <c r="F37" s="2"/>
    </row>
    <row r="38" customFormat="false" ht="15" hidden="false" customHeight="false" outlineLevel="0" collapsed="false">
      <c r="A38" s="21"/>
      <c r="B38" s="21" t="s">
        <v>2754</v>
      </c>
      <c r="C38" s="21" t="s">
        <v>2450</v>
      </c>
      <c r="D38" s="21" t="s">
        <v>2477</v>
      </c>
      <c r="E38" s="21" t="s">
        <v>2478</v>
      </c>
      <c r="F38" s="21" t="s">
        <v>2755</v>
      </c>
    </row>
    <row r="39" customFormat="false" ht="15" hidden="false" customHeight="false" outlineLevel="0" collapsed="false">
      <c r="A39" s="2"/>
      <c r="B39" s="22" t="s">
        <v>2756</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2757</v>
      </c>
      <c r="C40" s="64" t="n">
        <f aca="false">Trajectoire!$D$27-Entrées!$C$8</f>
        <v>387.75</v>
      </c>
      <c r="D40" s="64" t="n">
        <f aca="false">Trajectoire!$AE$27-Entrées!$C$8</f>
        <v>352.5</v>
      </c>
      <c r="E40" s="64" t="n">
        <f aca="false">Trajectoire!$AF$27-Entrées!$C$8</f>
        <v>423</v>
      </c>
      <c r="F40" s="24" t="s">
        <v>2758</v>
      </c>
    </row>
    <row r="41" customFormat="false" ht="15" hidden="false" customHeight="false" outlineLevel="0" collapsed="false">
      <c r="A41" s="2"/>
      <c r="B41" s="5" t="s">
        <v>2759</v>
      </c>
      <c r="C41" s="61" t="n">
        <f aca="false">Trajectoire!$D$28</f>
        <v>99.2193598750976</v>
      </c>
      <c r="D41" s="61" t="n">
        <f aca="false">Trajectoire!$AE$28</f>
        <v>89.2974238875878</v>
      </c>
      <c r="E41" s="61" t="n">
        <f aca="false">Trajectoire!$AF$28</f>
        <v>109.141295862607</v>
      </c>
      <c r="F41" s="24" t="s">
        <v>2483</v>
      </c>
    </row>
    <row r="42" customFormat="false" ht="15" hidden="false" customHeight="false" outlineLevel="0" collapsed="false">
      <c r="A42" s="2"/>
      <c r="B42" s="5" t="s">
        <v>2760</v>
      </c>
      <c r="C42" s="61" t="n">
        <f aca="false">Trajectoire!$D$30</f>
        <v>-25</v>
      </c>
      <c r="D42" s="61" t="n">
        <f aca="false">Trajectoire!$AE$30</f>
        <v>-62.5</v>
      </c>
      <c r="E42" s="61" t="n">
        <f aca="false">Trajectoire!$AF$30</f>
        <v>-0</v>
      </c>
      <c r="F42" s="24" t="s">
        <v>2487</v>
      </c>
    </row>
    <row r="43" customFormat="false" ht="15" hidden="false" customHeight="false" outlineLevel="0" collapsed="false">
      <c r="A43" s="2"/>
      <c r="B43" s="22" t="s">
        <v>2761</v>
      </c>
      <c r="C43" s="68" t="n">
        <f aca="false">Trajectoire!$D$31</f>
        <v>7511.9693598751</v>
      </c>
      <c r="D43" s="68" t="n">
        <f aca="false">Trajectoire!$AE$31</f>
        <v>7429.29742388759</v>
      </c>
      <c r="E43" s="68" t="n">
        <f aca="false">Trajectoire!$AF$31</f>
        <v>7582.14129586261</v>
      </c>
      <c r="F43" s="24" t="s">
        <v>2489</v>
      </c>
    </row>
    <row r="44" customFormat="false" ht="15" hidden="false" customHeight="false" outlineLevel="0" collapsed="false">
      <c r="A44" s="2"/>
      <c r="B44" s="5" t="s">
        <v>2762</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2763</v>
      </c>
    </row>
    <row r="45" customFormat="false" ht="15" hidden="false" customHeight="false" outlineLevel="0" collapsed="false">
      <c r="A45" s="2"/>
      <c r="B45" s="5" t="s">
        <v>2764</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2765</v>
      </c>
    </row>
    <row r="46" customFormat="false" ht="15" hidden="false" customHeight="false" outlineLevel="0" collapsed="false">
      <c r="A46" s="2"/>
      <c r="B46" s="5" t="s">
        <v>2766</v>
      </c>
      <c r="C46" s="61" t="n">
        <f aca="false">Trajectoire!$D$37</f>
        <v>25.513549682168</v>
      </c>
      <c r="D46" s="61" t="n">
        <f aca="false">Trajectoire!$AE$37</f>
        <v>0</v>
      </c>
      <c r="E46" s="61" t="n">
        <f aca="false">Trajectoire!$AF$37</f>
        <v>51.0270993643359</v>
      </c>
      <c r="F46" s="24" t="s">
        <v>2499</v>
      </c>
    </row>
    <row r="47" customFormat="false" ht="15" hidden="false" customHeight="false" outlineLevel="0" collapsed="false">
      <c r="A47" s="2"/>
      <c r="B47" s="5" t="s">
        <v>2767</v>
      </c>
      <c r="C47" s="61" t="n">
        <f aca="false">Trajectoire!$D$38</f>
        <v>51.0204081632653</v>
      </c>
      <c r="D47" s="61" t="n">
        <f aca="false">Trajectoire!$AE$38</f>
        <v>90.9090909090909</v>
      </c>
      <c r="E47" s="61" t="n">
        <f aca="false">Trajectoire!$AF$38</f>
        <v>0</v>
      </c>
      <c r="F47" s="24" t="s">
        <v>2501</v>
      </c>
    </row>
    <row r="48" customFormat="false" ht="15" hidden="false" customHeight="false" outlineLevel="0" collapsed="false">
      <c r="A48" s="2"/>
      <c r="B48" s="5" t="s">
        <v>2768</v>
      </c>
      <c r="C48" s="61" t="n">
        <f aca="false">Trajectoire!$D$40</f>
        <v>-95</v>
      </c>
      <c r="D48" s="61" t="n">
        <f aca="false">Trajectoire!$AE$40</f>
        <v>-0</v>
      </c>
      <c r="E48" s="61" t="n">
        <f aca="false">Trajectoire!$AF$40</f>
        <v>-158.333333333333</v>
      </c>
      <c r="F48" s="24" t="s">
        <v>2505</v>
      </c>
    </row>
    <row r="49" customFormat="false" ht="15" hidden="false" customHeight="false" outlineLevel="0" collapsed="false">
      <c r="A49" s="2"/>
      <c r="B49" s="22" t="s">
        <v>2769</v>
      </c>
      <c r="C49" s="45" t="n">
        <f aca="false">C39+SUM(C40:C42)+SUM(C44:C48)</f>
        <v>7981.43050727668</v>
      </c>
      <c r="D49" s="45" t="n">
        <f aca="false">D39+SUM(D40:D42)+SUM(D44:D48)</f>
        <v>7883.71364092582</v>
      </c>
      <c r="E49" s="45" t="n">
        <f aca="false">E39+SUM(E40:E42)+SUM(E44:E48)</f>
        <v>8089.00008587041</v>
      </c>
      <c r="F49" s="24" t="s">
        <v>2081</v>
      </c>
    </row>
    <row r="50" customFormat="false" ht="15" hidden="false" customHeight="false" outlineLevel="0" collapsed="false">
      <c r="A50" s="2"/>
      <c r="B50" s="5" t="s">
        <v>2770</v>
      </c>
      <c r="C50" s="61" t="n">
        <f aca="false">Trajectoire!$D$41</f>
        <v>7981.43050727668</v>
      </c>
      <c r="D50" s="61" t="n">
        <f aca="false">Trajectoire!$AE$41</f>
        <v>7883.71364092582</v>
      </c>
      <c r="E50" s="61" t="n">
        <f aca="false">Trajectoire!$AF$41</f>
        <v>8089.00008587041</v>
      </c>
      <c r="F50" s="24" t="s">
        <v>2507</v>
      </c>
    </row>
    <row r="51" customFormat="false" ht="15" hidden="false" customHeight="false" outlineLevel="0" collapsed="false">
      <c r="A51" s="2"/>
      <c r="B51" s="5" t="s">
        <v>2771</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2772</v>
      </c>
      <c r="C52" s="68" t="n">
        <f aca="false">Trajectoire!$D$48</f>
        <v>-18.5694927233199</v>
      </c>
      <c r="D52" s="68" t="n">
        <f aca="false">Trajectoire!$AE$48</f>
        <v>-116.286359074181</v>
      </c>
      <c r="E52" s="68" t="n">
        <f aca="false">Trajectoire!$AF$48</f>
        <v>89.0000858704143</v>
      </c>
      <c r="F52" s="24" t="s">
        <v>2521</v>
      </c>
    </row>
    <row r="53" customFormat="false" ht="30" hidden="false" customHeight="true" outlineLevel="0" collapsed="false">
      <c r="A53" s="2"/>
      <c r="B53" s="69" t="s">
        <v>2773</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2339</v>
      </c>
      <c r="B55" s="22" t="s">
        <v>2774</v>
      </c>
      <c r="C55" s="2"/>
      <c r="D55" s="2"/>
      <c r="E55" s="2"/>
      <c r="F55" s="2"/>
    </row>
    <row r="56" customFormat="false" ht="15" hidden="false" customHeight="false" outlineLevel="0" collapsed="false">
      <c r="A56" s="21"/>
      <c r="B56" s="21" t="s">
        <v>91</v>
      </c>
      <c r="C56" s="21" t="s">
        <v>92</v>
      </c>
      <c r="D56" s="21" t="s">
        <v>93</v>
      </c>
      <c r="E56" s="21" t="s">
        <v>2011</v>
      </c>
      <c r="F56" s="2"/>
    </row>
    <row r="57" customFormat="false" ht="15" hidden="false" customHeight="false" outlineLevel="0" collapsed="false">
      <c r="A57" s="2"/>
      <c r="B57" s="5" t="s">
        <v>2775</v>
      </c>
      <c r="C57" s="61" t="n">
        <f aca="false">Entrées!$C$425</f>
        <v>350</v>
      </c>
      <c r="D57" s="24" t="s">
        <v>103</v>
      </c>
      <c r="E57" s="24" t="s">
        <v>1324</v>
      </c>
      <c r="F57" s="2"/>
    </row>
    <row r="58" customFormat="false" ht="15" hidden="false" customHeight="false" outlineLevel="0" collapsed="false">
      <c r="A58" s="2"/>
      <c r="B58" s="5" t="s">
        <v>2776</v>
      </c>
      <c r="C58" s="64" t="n">
        <f aca="false">'Pont EBITDA'!$C$40</f>
        <v>387.75</v>
      </c>
      <c r="D58" s="24" t="s">
        <v>103</v>
      </c>
      <c r="E58" s="24" t="s">
        <v>2777</v>
      </c>
      <c r="F58" s="2"/>
    </row>
    <row r="59" customFormat="false" ht="15" hidden="false" customHeight="false" outlineLevel="0" collapsed="false">
      <c r="A59" s="2"/>
      <c r="B59" s="22" t="s">
        <v>2778</v>
      </c>
      <c r="C59" s="41" t="n">
        <f aca="false">'Pont EBITDA'!$C$57/'Pont EBITDA'!$C$58</f>
        <v>0.902643455834945</v>
      </c>
      <c r="D59" s="24" t="s">
        <v>299</v>
      </c>
      <c r="E59" s="24" t="s">
        <v>2779</v>
      </c>
      <c r="F59" s="2"/>
    </row>
    <row r="60" customFormat="false" ht="15" hidden="false" customHeight="false" outlineLevel="0" collapsed="false">
      <c r="A60" s="2"/>
      <c r="B60" s="5" t="s">
        <v>2780</v>
      </c>
      <c r="C60" s="64" t="n">
        <f aca="false">'Pont EBITDA'!$C$44</f>
        <v>417.056218216794</v>
      </c>
      <c r="D60" s="24" t="s">
        <v>103</v>
      </c>
      <c r="E60" s="24" t="s">
        <v>2777</v>
      </c>
      <c r="F60" s="2"/>
    </row>
    <row r="61" customFormat="false" ht="15" hidden="false" customHeight="false" outlineLevel="0" collapsed="false">
      <c r="A61" s="2"/>
      <c r="B61" s="22" t="s">
        <v>2781</v>
      </c>
      <c r="C61" s="41" t="n">
        <f aca="false">'Pont EBITDA'!$C$57/'Pont EBITDA'!$C$60</f>
        <v>0.839215397618321</v>
      </c>
      <c r="D61" s="24" t="s">
        <v>299</v>
      </c>
      <c r="E61" s="24" t="s">
        <v>2782</v>
      </c>
      <c r="F61" s="2"/>
    </row>
    <row r="62" customFormat="false" ht="15" hidden="false" customHeight="false" outlineLevel="0" collapsed="false">
      <c r="A62" s="2"/>
      <c r="B62" s="22" t="s">
        <v>2783</v>
      </c>
      <c r="C62" s="43" t="n">
        <v>1</v>
      </c>
      <c r="D62" s="24" t="s">
        <v>299</v>
      </c>
      <c r="E62" s="24" t="s">
        <v>2784</v>
      </c>
      <c r="F62" s="2"/>
    </row>
    <row r="63" customFormat="false" ht="15" hidden="false" customHeight="false" outlineLevel="0" collapsed="false">
      <c r="A63" s="2"/>
      <c r="B63" s="22" t="s">
        <v>2785</v>
      </c>
      <c r="C63" s="45" t="n">
        <f aca="false">-(1-'Pont EBITDA'!$C$62)*2*'Pont EBITDA'!$C$57</f>
        <v>-0</v>
      </c>
      <c r="D63" s="24" t="s">
        <v>103</v>
      </c>
      <c r="E63" s="24" t="s">
        <v>2786</v>
      </c>
      <c r="F63" s="2"/>
    </row>
    <row r="64" customFormat="false" ht="15" hidden="false" customHeight="false" outlineLevel="0" collapsed="false">
      <c r="A64" s="2"/>
      <c r="B64" s="22" t="s">
        <v>2787</v>
      </c>
      <c r="C64" s="45" t="n">
        <f aca="false">Trajectoire!$D$41+'Pont EBITDA'!$C$63</f>
        <v>7981.43050727668</v>
      </c>
      <c r="D64" s="24" t="s">
        <v>103</v>
      </c>
      <c r="E64" s="24" t="s">
        <v>2788</v>
      </c>
      <c r="F64" s="2"/>
    </row>
    <row r="65" customFormat="false" ht="15" hidden="false" customHeight="false" outlineLevel="0" collapsed="false">
      <c r="A65" s="2"/>
      <c r="B65" s="22" t="s">
        <v>2789</v>
      </c>
      <c r="C65" s="62" t="n">
        <f aca="false">Trajectoire!$D$44/'Pont EBITDA'!$C$64</f>
        <v>2.80320887741352</v>
      </c>
      <c r="D65" s="24" t="s">
        <v>133</v>
      </c>
      <c r="E65" s="24" t="s">
        <v>2790</v>
      </c>
      <c r="F65" s="2"/>
    </row>
    <row r="66" customFormat="false" ht="15" hidden="false" customHeight="false" outlineLevel="0" collapsed="false">
      <c r="A66" s="2"/>
      <c r="B66" s="22" t="s">
        <v>2791</v>
      </c>
      <c r="C66" s="45" t="n">
        <f aca="false">Hypothèses!$J$26*'Pont EBITDA'!$C$64-Trajectoire!$D$44</f>
        <v>1570.67466937297</v>
      </c>
      <c r="D66" s="24" t="s">
        <v>103</v>
      </c>
      <c r="E66" s="24" t="s">
        <v>2792</v>
      </c>
      <c r="F66" s="2"/>
    </row>
    <row r="67" customFormat="false" ht="15" hidden="false" customHeight="false" outlineLevel="0" collapsed="false">
      <c r="A67" s="2"/>
      <c r="B67" s="5" t="s">
        <v>2793</v>
      </c>
      <c r="C67" s="61" t="n">
        <f aca="false">Trajectoire!$D$46</f>
        <v>1570.67466937297</v>
      </c>
      <c r="D67" s="24" t="s">
        <v>103</v>
      </c>
      <c r="E67" s="24" t="s">
        <v>2794</v>
      </c>
      <c r="F67" s="2"/>
    </row>
    <row r="68" customFormat="false" ht="15" hidden="false" customHeight="false" outlineLevel="0" collapsed="false">
      <c r="A68" s="2"/>
      <c r="B68" s="22" t="s">
        <v>2795</v>
      </c>
      <c r="C68" s="2"/>
      <c r="D68" s="2"/>
      <c r="E68" s="2"/>
      <c r="F68" s="2"/>
    </row>
    <row r="69" customFormat="false" ht="23.85" hidden="false" customHeight="false" outlineLevel="0" collapsed="false">
      <c r="A69" s="21"/>
      <c r="B69" s="21" t="s">
        <v>2796</v>
      </c>
      <c r="C69" s="21" t="s">
        <v>2508</v>
      </c>
      <c r="D69" s="21" t="s">
        <v>2193</v>
      </c>
      <c r="E69" s="21" t="s">
        <v>2797</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2357</v>
      </c>
      <c r="B77" s="22" t="s">
        <v>2798</v>
      </c>
      <c r="C77" s="2"/>
      <c r="D77" s="2"/>
      <c r="E77" s="2"/>
      <c r="F77" s="2"/>
    </row>
    <row r="78" customFormat="false" ht="15" hidden="false" customHeight="false" outlineLevel="0" collapsed="false">
      <c r="A78" s="21"/>
      <c r="B78" s="21" t="s">
        <v>2799</v>
      </c>
      <c r="C78" s="21" t="s">
        <v>2800</v>
      </c>
      <c r="D78" s="21" t="s">
        <v>2801</v>
      </c>
      <c r="E78" s="21" t="s">
        <v>2802</v>
      </c>
      <c r="F78" s="21" t="s">
        <v>1930</v>
      </c>
    </row>
    <row r="79" customFormat="false" ht="15" hidden="false" customHeight="false" outlineLevel="0" collapsed="false">
      <c r="A79" s="2"/>
      <c r="B79" s="5" t="s">
        <v>2803</v>
      </c>
      <c r="C79" s="78" t="n">
        <f aca="false">Entrées!$C$581</f>
        <v>4.7</v>
      </c>
      <c r="D79" s="78" t="n">
        <f aca="false">Entrées!$C$583</f>
        <v>6.5</v>
      </c>
      <c r="E79" s="111" t="str">
        <f aca="false">IF(D79&gt;=C79,"oui","non")</f>
        <v>oui</v>
      </c>
      <c r="F79" s="24" t="s">
        <v>2804</v>
      </c>
    </row>
    <row r="80" customFormat="false" ht="15" hidden="false" customHeight="false" outlineLevel="0" collapsed="false">
      <c r="A80" s="2"/>
      <c r="B80" s="5" t="s">
        <v>2805</v>
      </c>
      <c r="C80" s="61" t="n">
        <f aca="false">Entrées!$C$584*1000</f>
        <v>1000</v>
      </c>
      <c r="D80" s="78" t="n">
        <f aca="false">Entrées!$C$585</f>
        <v>1335</v>
      </c>
      <c r="E80" s="111" t="str">
        <f aca="false">IF(D80&gt;=C80,"oui","non")</f>
        <v>oui</v>
      </c>
      <c r="F80" s="24" t="s">
        <v>2806</v>
      </c>
    </row>
    <row r="81" customFormat="false" ht="15" hidden="false" customHeight="false" outlineLevel="0" collapsed="false">
      <c r="A81" s="2"/>
      <c r="B81" s="5" t="s">
        <v>2807</v>
      </c>
      <c r="C81" s="78" t="n">
        <f aca="false">Entrées!$C$587</f>
        <v>4</v>
      </c>
      <c r="D81" s="78" t="n">
        <f aca="false">Entrées!$C$588</f>
        <v>4.2</v>
      </c>
      <c r="E81" s="111" t="str">
        <f aca="false">IF(D81&gt;=C81,"oui","non")</f>
        <v>oui</v>
      </c>
      <c r="F81" s="24" t="s">
        <v>2808</v>
      </c>
    </row>
    <row r="82" customFormat="false" ht="15" hidden="false" customHeight="false" outlineLevel="0" collapsed="false">
      <c r="A82" s="2"/>
      <c r="B82" s="5" t="s">
        <v>2809</v>
      </c>
      <c r="C82" s="78" t="n">
        <f aca="false">Entrées!$C$589</f>
        <v>15</v>
      </c>
      <c r="D82" s="78" t="n">
        <f aca="false">Entrées!$C$590</f>
        <v>15.5</v>
      </c>
      <c r="E82" s="111" t="str">
        <f aca="false">IF(D82&gt;=C82,"oui","non")</f>
        <v>oui</v>
      </c>
      <c r="F82" s="24" t="s">
        <v>2810</v>
      </c>
    </row>
    <row r="83" customFormat="false" ht="15" hidden="false" customHeight="false" outlineLevel="0" collapsed="false">
      <c r="A83" s="2"/>
      <c r="B83" s="5" t="s">
        <v>2811</v>
      </c>
      <c r="C83" s="78" t="n">
        <f aca="false">Entrées!$C$591</f>
        <v>610</v>
      </c>
      <c r="D83" s="78" t="n">
        <f aca="false">Entrées!$C$592</f>
        <v>465</v>
      </c>
      <c r="E83" s="111" t="str">
        <f aca="false">IF(D83&gt;=C83,"oui","non")</f>
        <v>non</v>
      </c>
      <c r="F83" s="24" t="s">
        <v>2812</v>
      </c>
    </row>
    <row r="84" customFormat="false" ht="15" hidden="false" customHeight="false" outlineLevel="0" collapsed="false">
      <c r="A84" s="2"/>
      <c r="B84" s="5" t="s">
        <v>2813</v>
      </c>
      <c r="C84" s="78" t="n">
        <f aca="false">Entrées!$C$593</f>
        <v>50</v>
      </c>
      <c r="D84" s="78" t="n">
        <f aca="false">Entrées!$C$594</f>
        <v>30.7</v>
      </c>
      <c r="E84" s="111" t="str">
        <f aca="false">IF(D84&gt;=C84,"oui","non")</f>
        <v>non</v>
      </c>
      <c r="F84" s="24" t="s">
        <v>2814</v>
      </c>
    </row>
    <row r="85" customFormat="false" ht="15" hidden="false" customHeight="false" outlineLevel="0" collapsed="false">
      <c r="A85" s="2"/>
      <c r="B85" s="5" t="s">
        <v>2815</v>
      </c>
      <c r="C85" s="78" t="n">
        <f aca="false">Entrées!$C$595</f>
        <v>5</v>
      </c>
      <c r="D85" s="78" t="n">
        <f aca="false">Entrées!$C$430</f>
        <v>6.3</v>
      </c>
      <c r="E85" s="111" t="str">
        <f aca="false">IF(D85&gt;=C85,"oui","non")</f>
        <v>oui</v>
      </c>
      <c r="F85" s="24" t="s">
        <v>2816</v>
      </c>
    </row>
    <row r="86" customFormat="false" ht="15" hidden="false" customHeight="false" outlineLevel="0" collapsed="false">
      <c r="A86" s="2"/>
      <c r="B86" s="5" t="s">
        <v>2817</v>
      </c>
      <c r="C86" s="78" t="n">
        <f aca="false">Entrées!$C$597</f>
        <v>350</v>
      </c>
      <c r="D86" s="78" t="n">
        <f aca="false">Entrées!$C$429</f>
        <v>399</v>
      </c>
      <c r="E86" s="111" t="str">
        <f aca="false">IF(D86&gt;=C86,"oui","non")</f>
        <v>oui</v>
      </c>
      <c r="F86" s="24" t="s">
        <v>2818</v>
      </c>
    </row>
    <row r="87" customFormat="false" ht="15" hidden="false" customHeight="false" outlineLevel="0" collapsed="false">
      <c r="A87" s="2"/>
      <c r="B87" s="5" t="s">
        <v>2819</v>
      </c>
      <c r="C87" s="78" t="n">
        <f aca="false">Entrées!$C$598</f>
        <v>530</v>
      </c>
      <c r="D87" s="78" t="n">
        <f aca="false">Entrées!$C$196</f>
        <v>534</v>
      </c>
      <c r="E87" s="111" t="str">
        <f aca="false">IF(D87&gt;=C87,"oui","non")</f>
        <v>oui</v>
      </c>
      <c r="F87" s="24" t="s">
        <v>2820</v>
      </c>
    </row>
    <row r="88" customFormat="false" ht="15" hidden="false" customHeight="false" outlineLevel="0" collapsed="false">
      <c r="A88" s="2"/>
      <c r="B88" s="5" t="s">
        <v>2821</v>
      </c>
      <c r="C88" s="78" t="n">
        <f aca="false">Entrées!$C$600</f>
        <v>9</v>
      </c>
      <c r="D88" s="78" t="n">
        <f aca="false">Entrées!$C$601</f>
        <v>9.1</v>
      </c>
      <c r="E88" s="111" t="str">
        <f aca="false">IF(D88&gt;=C88,"oui","non")</f>
        <v>oui</v>
      </c>
      <c r="F88" s="24" t="s">
        <v>2822</v>
      </c>
    </row>
    <row r="89" customFormat="false" ht="15" hidden="false" customHeight="false" outlineLevel="0" collapsed="false">
      <c r="A89" s="2"/>
      <c r="B89" s="5" t="s">
        <v>2823</v>
      </c>
      <c r="C89" s="78" t="n">
        <f aca="false">Entrées!$C$61</f>
        <v>3</v>
      </c>
      <c r="D89" s="78" t="n">
        <f aca="false">Entrées!$C$21</f>
        <v>2.79</v>
      </c>
      <c r="E89" s="111" t="str">
        <f aca="false">IF(D89&lt;=C89,"oui","non")</f>
        <v>oui</v>
      </c>
      <c r="F89" s="24" t="s">
        <v>2824</v>
      </c>
    </row>
    <row r="90" customFormat="false" ht="15" hidden="false" customHeight="false" outlineLevel="0" collapsed="false">
      <c r="A90" s="2"/>
      <c r="B90" s="22" t="s">
        <v>2825</v>
      </c>
      <c r="C90" s="112" t="str">
        <f aca="false">COUNTIF(E79:E89,"oui")&amp;" / "&amp;COUNTA(E79:E89)</f>
        <v>9 / 11</v>
      </c>
      <c r="D90" s="24"/>
      <c r="E90" s="24"/>
      <c r="F90" s="2"/>
    </row>
    <row r="91" customFormat="false" ht="15" hidden="false" customHeight="false" outlineLevel="0" collapsed="false">
      <c r="A91" s="2"/>
      <c r="B91" s="22" t="s">
        <v>2826</v>
      </c>
      <c r="C91" s="112" t="str">
        <f aca="false">COUNTIF(E79:E81,"oui")+COUNTIF(E85:E89,"oui")&amp;" / "&amp;(COUNTA(E79:E81)+COUNTA(E85:E89))</f>
        <v>8 / 8</v>
      </c>
      <c r="D91" s="24"/>
      <c r="E91" s="24" t="s">
        <v>2827</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2828</v>
      </c>
      <c r="B1" s="2"/>
      <c r="C1" s="2"/>
      <c r="D1" s="2"/>
      <c r="E1" s="2"/>
      <c r="F1" s="2"/>
      <c r="G1" s="2"/>
      <c r="H1" s="2"/>
      <c r="I1" s="2"/>
      <c r="J1" s="2"/>
      <c r="K1" s="2"/>
    </row>
    <row r="2" customFormat="false" ht="15" hidden="false" customHeight="false" outlineLevel="0" collapsed="false">
      <c r="A2" s="3" t="s">
        <v>2829</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2012</v>
      </c>
      <c r="B4" s="22" t="s">
        <v>2830</v>
      </c>
      <c r="C4" s="2"/>
      <c r="D4" s="2"/>
      <c r="E4" s="2"/>
      <c r="F4" s="2"/>
      <c r="G4" s="2"/>
      <c r="H4" s="2"/>
      <c r="I4" s="2"/>
      <c r="J4" s="2"/>
      <c r="K4" s="2"/>
    </row>
    <row r="5" customFormat="false" ht="15" hidden="false" customHeight="false" outlineLevel="0" collapsed="false">
      <c r="A5" s="2"/>
      <c r="B5" s="5" t="s">
        <v>2831</v>
      </c>
      <c r="C5" s="61" t="n">
        <f aca="false">Entrées!$C$38</f>
        <v>9196</v>
      </c>
      <c r="D5" s="24" t="s">
        <v>224</v>
      </c>
      <c r="E5" s="24" t="s">
        <v>222</v>
      </c>
      <c r="F5" s="2"/>
      <c r="G5" s="2"/>
      <c r="H5" s="2"/>
      <c r="I5" s="2"/>
      <c r="J5" s="2"/>
      <c r="K5" s="2"/>
    </row>
    <row r="6" customFormat="false" ht="15" hidden="false" customHeight="false" outlineLevel="0" collapsed="false">
      <c r="A6" s="2"/>
      <c r="B6" s="5" t="s">
        <v>2832</v>
      </c>
      <c r="C6" s="61" t="n">
        <f aca="false">Entrées!$C$39</f>
        <v>9181</v>
      </c>
      <c r="D6" s="24" t="s">
        <v>224</v>
      </c>
      <c r="E6" s="24" t="s">
        <v>228</v>
      </c>
      <c r="F6" s="2"/>
      <c r="G6" s="2"/>
      <c r="H6" s="2"/>
      <c r="I6" s="2"/>
      <c r="J6" s="2"/>
      <c r="K6" s="2"/>
    </row>
    <row r="7" customFormat="false" ht="15" hidden="false" customHeight="false" outlineLevel="0" collapsed="false">
      <c r="A7" s="2"/>
      <c r="B7" s="5" t="s">
        <v>2833</v>
      </c>
      <c r="C7" s="66" t="n">
        <f aca="false">C6/C5-1</f>
        <v>-0.00163114397564157</v>
      </c>
      <c r="D7" s="24" t="s">
        <v>299</v>
      </c>
      <c r="E7" s="24"/>
      <c r="F7" s="2"/>
      <c r="G7" s="2"/>
      <c r="H7" s="2"/>
      <c r="I7" s="2"/>
      <c r="J7" s="2"/>
      <c r="K7" s="2"/>
    </row>
    <row r="8" customFormat="false" ht="15" hidden="false" customHeight="false" outlineLevel="0" collapsed="false">
      <c r="A8" s="2"/>
      <c r="B8" s="5" t="s">
        <v>2834</v>
      </c>
      <c r="C8" s="64" t="n">
        <f aca="false">Entrées!$C$40*1000</f>
        <v>9000</v>
      </c>
      <c r="D8" s="24" t="s">
        <v>224</v>
      </c>
      <c r="E8" s="24" t="s">
        <v>230</v>
      </c>
      <c r="F8" s="2"/>
      <c r="G8" s="2"/>
      <c r="H8" s="2"/>
      <c r="I8" s="2"/>
      <c r="J8" s="2"/>
      <c r="K8" s="2"/>
    </row>
    <row r="9" customFormat="false" ht="15" hidden="false" customHeight="false" outlineLevel="0" collapsed="false">
      <c r="A9" s="2"/>
      <c r="B9" s="5" t="s">
        <v>2835</v>
      </c>
      <c r="C9" s="64" t="n">
        <f aca="false">Entrées!$C$41*1000</f>
        <v>10000</v>
      </c>
      <c r="D9" s="24" t="s">
        <v>224</v>
      </c>
      <c r="E9" s="24" t="s">
        <v>234</v>
      </c>
      <c r="F9" s="2"/>
      <c r="G9" s="2"/>
      <c r="H9" s="2"/>
      <c r="I9" s="2"/>
      <c r="J9" s="2"/>
      <c r="K9" s="2"/>
    </row>
    <row r="10" customFormat="false" ht="15" hidden="false" customHeight="false" outlineLevel="0" collapsed="false">
      <c r="A10" s="2"/>
      <c r="B10" s="22" t="s">
        <v>2836</v>
      </c>
      <c r="C10" s="45" t="n">
        <f aca="false">C6-C8</f>
        <v>181</v>
      </c>
      <c r="D10" s="24" t="s">
        <v>224</v>
      </c>
      <c r="E10" s="24" t="s">
        <v>2837</v>
      </c>
      <c r="F10" s="2"/>
      <c r="G10" s="2"/>
      <c r="H10" s="2"/>
      <c r="I10" s="2"/>
      <c r="J10" s="2"/>
      <c r="K10" s="2"/>
    </row>
    <row r="11" customFormat="false" ht="15" hidden="false" customHeight="false" outlineLevel="0" collapsed="false">
      <c r="A11" s="2"/>
      <c r="B11" s="22" t="s">
        <v>2838</v>
      </c>
      <c r="C11" s="45" t="n">
        <f aca="false">C6-C9</f>
        <v>-819</v>
      </c>
      <c r="D11" s="24" t="s">
        <v>224</v>
      </c>
      <c r="E11" s="24"/>
      <c r="F11" s="2"/>
      <c r="G11" s="2"/>
      <c r="H11" s="2"/>
      <c r="I11" s="2"/>
      <c r="J11" s="2"/>
      <c r="K11" s="2"/>
    </row>
    <row r="12" customFormat="false" ht="15" hidden="false" customHeight="false" outlineLevel="0" collapsed="false">
      <c r="A12" s="2"/>
      <c r="B12" s="5" t="s">
        <v>2839</v>
      </c>
      <c r="C12" s="61" t="n">
        <f aca="false">Entrées!$C$68</f>
        <v>430</v>
      </c>
      <c r="D12" s="24" t="s">
        <v>224</v>
      </c>
      <c r="E12" s="24" t="s">
        <v>326</v>
      </c>
      <c r="F12" s="2"/>
      <c r="G12" s="2"/>
      <c r="H12" s="2"/>
      <c r="I12" s="2"/>
      <c r="J12" s="2"/>
      <c r="K12" s="2"/>
    </row>
    <row r="13" customFormat="false" ht="15" hidden="false" customHeight="false" outlineLevel="0" collapsed="false">
      <c r="A13" s="2"/>
      <c r="B13" s="5" t="s">
        <v>2840</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2025</v>
      </c>
      <c r="B16" s="22" t="s">
        <v>2841</v>
      </c>
      <c r="C16" s="2"/>
      <c r="D16" s="2"/>
      <c r="E16" s="2"/>
      <c r="F16" s="2"/>
      <c r="G16" s="2"/>
      <c r="H16" s="2"/>
      <c r="I16" s="2"/>
      <c r="J16" s="2"/>
      <c r="K16" s="2"/>
    </row>
    <row r="17" customFormat="false" ht="15" hidden="false" customHeight="false" outlineLevel="0" collapsed="false">
      <c r="A17" s="2"/>
      <c r="B17" s="5" t="s">
        <v>2842</v>
      </c>
      <c r="C17" s="78" t="n">
        <f aca="false">Entrées!$C$63</f>
        <v>4.3</v>
      </c>
      <c r="D17" s="24" t="s">
        <v>130</v>
      </c>
      <c r="E17" s="24" t="s">
        <v>311</v>
      </c>
      <c r="F17" s="2"/>
      <c r="G17" s="2"/>
      <c r="H17" s="2"/>
      <c r="I17" s="2"/>
      <c r="J17" s="2"/>
      <c r="K17" s="2"/>
    </row>
    <row r="18" customFormat="false" ht="15" hidden="false" customHeight="false" outlineLevel="0" collapsed="false">
      <c r="A18" s="2"/>
      <c r="B18" s="5" t="s">
        <v>2843</v>
      </c>
      <c r="C18" s="78" t="n">
        <f aca="false">Entrées!$C$64</f>
        <v>5.2</v>
      </c>
      <c r="D18" s="24" t="s">
        <v>130</v>
      </c>
      <c r="E18" s="24" t="s">
        <v>314</v>
      </c>
      <c r="F18" s="2"/>
      <c r="G18" s="2"/>
      <c r="H18" s="2"/>
      <c r="I18" s="2"/>
      <c r="J18" s="2"/>
      <c r="K18" s="2"/>
    </row>
    <row r="19" customFormat="false" ht="15" hidden="false" customHeight="false" outlineLevel="0" collapsed="false">
      <c r="A19" s="2"/>
      <c r="B19" s="5" t="s">
        <v>2844</v>
      </c>
      <c r="C19" s="78" t="n">
        <f aca="false">Entrées!$C$65</f>
        <v>0.9</v>
      </c>
      <c r="D19" s="24" t="s">
        <v>130</v>
      </c>
      <c r="E19" s="24" t="s">
        <v>317</v>
      </c>
      <c r="F19" s="2"/>
      <c r="G19" s="2"/>
      <c r="H19" s="2"/>
      <c r="I19" s="2"/>
      <c r="J19" s="2"/>
      <c r="K19" s="2"/>
    </row>
    <row r="20" customFormat="false" ht="15" hidden="false" customHeight="false" outlineLevel="0" collapsed="false">
      <c r="A20" s="2"/>
      <c r="B20" s="5" t="s">
        <v>2845</v>
      </c>
      <c r="C20" s="66" t="n">
        <f aca="false">C19/C18</f>
        <v>0.173076923076923</v>
      </c>
      <c r="D20" s="24" t="s">
        <v>299</v>
      </c>
      <c r="E20" s="24" t="s">
        <v>2846</v>
      </c>
      <c r="F20" s="2"/>
      <c r="G20" s="2"/>
      <c r="H20" s="2"/>
      <c r="I20" s="2"/>
      <c r="J20" s="2"/>
      <c r="K20" s="2"/>
    </row>
    <row r="21" customFormat="false" ht="15" hidden="false" customHeight="false" outlineLevel="0" collapsed="false">
      <c r="A21" s="2"/>
      <c r="B21" s="5" t="s">
        <v>2847</v>
      </c>
      <c r="C21" s="66" t="n">
        <f aca="false">Entrées!$C$67/100</f>
        <v>0.1</v>
      </c>
      <c r="D21" s="24" t="s">
        <v>299</v>
      </c>
      <c r="E21" s="24" t="s">
        <v>323</v>
      </c>
      <c r="F21" s="2"/>
      <c r="G21" s="2"/>
      <c r="H21" s="2"/>
      <c r="I21" s="2"/>
      <c r="J21" s="2"/>
      <c r="K21" s="2"/>
    </row>
    <row r="22" customFormat="false" ht="15" hidden="false" customHeight="false" outlineLevel="0" collapsed="false">
      <c r="A22" s="2"/>
      <c r="B22" s="22" t="s">
        <v>2848</v>
      </c>
      <c r="C22" s="51" t="n">
        <f aca="false">C19*(1+C21)^2</f>
        <v>1.089</v>
      </c>
      <c r="D22" s="24" t="s">
        <v>130</v>
      </c>
      <c r="E22" s="24" t="s">
        <v>2849</v>
      </c>
      <c r="F22" s="2"/>
      <c r="G22" s="2"/>
      <c r="H22" s="2"/>
      <c r="I22" s="2"/>
      <c r="J22" s="2"/>
      <c r="K22" s="2"/>
    </row>
    <row r="23" customFormat="false" ht="15" hidden="false" customHeight="false" outlineLevel="0" collapsed="false">
      <c r="A23" s="2"/>
      <c r="B23" s="5" t="s">
        <v>2850</v>
      </c>
      <c r="C23" s="66" t="n">
        <f aca="false">Entrées!$C$57/Entrées!$C$59-1</f>
        <v>0.0510204081632653</v>
      </c>
      <c r="D23" s="24" t="s">
        <v>299</v>
      </c>
      <c r="E23" s="24" t="s">
        <v>2851</v>
      </c>
      <c r="F23" s="2"/>
      <c r="G23" s="2"/>
      <c r="H23" s="2"/>
      <c r="I23" s="2"/>
      <c r="J23" s="2"/>
      <c r="K23" s="2"/>
    </row>
    <row r="24" customFormat="false" ht="15" hidden="false" customHeight="false" outlineLevel="0" collapsed="false">
      <c r="A24" s="2"/>
      <c r="B24" s="5" t="s">
        <v>2852</v>
      </c>
      <c r="C24" s="66" t="n">
        <f aca="false">Entrées!$C$56/Entrées!$C$57</f>
        <v>0.194174757281553</v>
      </c>
      <c r="D24" s="24" t="s">
        <v>299</v>
      </c>
      <c r="E24" s="24" t="s">
        <v>2853</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2190</v>
      </c>
      <c r="B26" s="22" t="s">
        <v>2854</v>
      </c>
      <c r="C26" s="2"/>
      <c r="D26" s="2"/>
      <c r="E26" s="2"/>
      <c r="F26" s="2"/>
      <c r="G26" s="2"/>
      <c r="H26" s="2"/>
      <c r="I26" s="2"/>
      <c r="J26" s="2"/>
      <c r="K26" s="2"/>
    </row>
    <row r="27" customFormat="false" ht="15" hidden="false" customHeight="false" outlineLevel="0" collapsed="false">
      <c r="A27" s="2"/>
      <c r="B27" s="5" t="s">
        <v>2855</v>
      </c>
      <c r="C27" s="61" t="n">
        <f aca="false">Entrées!$C$44</f>
        <v>1189</v>
      </c>
      <c r="D27" s="24" t="s">
        <v>103</v>
      </c>
      <c r="E27" s="24" t="s">
        <v>242</v>
      </c>
      <c r="F27" s="2"/>
      <c r="G27" s="2"/>
      <c r="H27" s="2"/>
      <c r="I27" s="2"/>
      <c r="J27" s="2"/>
      <c r="K27" s="2"/>
    </row>
    <row r="28" customFormat="false" ht="15" hidden="false" customHeight="false" outlineLevel="0" collapsed="false">
      <c r="A28" s="2"/>
      <c r="B28" s="22" t="s">
        <v>2856</v>
      </c>
      <c r="C28" s="41" t="n">
        <f aca="false">Entrées!$C$98/100</f>
        <v>-0.002</v>
      </c>
      <c r="D28" s="24" t="s">
        <v>299</v>
      </c>
      <c r="E28" s="24" t="s">
        <v>413</v>
      </c>
      <c r="F28" s="2"/>
      <c r="G28" s="2"/>
      <c r="H28" s="2"/>
      <c r="I28" s="2"/>
      <c r="J28" s="2"/>
      <c r="K28" s="2"/>
    </row>
    <row r="29" customFormat="false" ht="15" hidden="false" customHeight="false" outlineLevel="0" collapsed="false">
      <c r="A29" s="2"/>
      <c r="B29" s="5" t="s">
        <v>2857</v>
      </c>
      <c r="C29" s="66" t="n">
        <f aca="false">Entrées!$C$100/Entrées!$C$99-1</f>
        <v>0.0352220520673814</v>
      </c>
      <c r="D29" s="24" t="s">
        <v>299</v>
      </c>
      <c r="E29" s="24" t="s">
        <v>2858</v>
      </c>
      <c r="F29" s="2"/>
      <c r="G29" s="2"/>
      <c r="H29" s="2"/>
      <c r="I29" s="2"/>
      <c r="J29" s="2"/>
      <c r="K29" s="2"/>
    </row>
    <row r="30" customFormat="false" ht="15" hidden="false" customHeight="false" outlineLevel="0" collapsed="false">
      <c r="A30" s="2"/>
      <c r="B30" s="5" t="s">
        <v>2859</v>
      </c>
      <c r="C30" s="66" t="n">
        <f aca="false">Entrées!$C$102/Entrées!$C$101-1</f>
        <v>0.108501118568233</v>
      </c>
      <c r="D30" s="24" t="s">
        <v>299</v>
      </c>
      <c r="E30" s="24" t="s">
        <v>2860</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2339</v>
      </c>
      <c r="B33" s="22" t="s">
        <v>2861</v>
      </c>
      <c r="C33" s="2"/>
      <c r="D33" s="2"/>
      <c r="E33" s="2"/>
      <c r="F33" s="2"/>
      <c r="G33" s="2"/>
      <c r="H33" s="2"/>
      <c r="I33" s="2"/>
      <c r="J33" s="2"/>
      <c r="K33" s="2"/>
    </row>
    <row r="34" customFormat="false" ht="15" hidden="false" customHeight="false" outlineLevel="0" collapsed="false">
      <c r="A34" s="21"/>
      <c r="B34" s="21" t="s">
        <v>2134</v>
      </c>
      <c r="C34" s="21" t="s">
        <v>2862</v>
      </c>
      <c r="D34" s="21" t="s">
        <v>2863</v>
      </c>
      <c r="E34" s="21" t="s">
        <v>2864</v>
      </c>
      <c r="F34" s="21" t="s">
        <v>2865</v>
      </c>
      <c r="G34" s="21" t="s">
        <v>2866</v>
      </c>
      <c r="H34" s="21" t="s">
        <v>2867</v>
      </c>
      <c r="I34" s="21" t="s">
        <v>96</v>
      </c>
      <c r="J34" s="21" t="s">
        <v>97</v>
      </c>
      <c r="K34" s="21" t="s">
        <v>2868</v>
      </c>
    </row>
    <row r="35" customFormat="false" ht="15" hidden="false" customHeight="false" outlineLevel="0" collapsed="false">
      <c r="A35" s="2"/>
      <c r="B35" s="5" t="s">
        <v>2869</v>
      </c>
      <c r="C35" s="5" t="s">
        <v>2364</v>
      </c>
      <c r="D35" s="113" t="s">
        <v>2870</v>
      </c>
      <c r="E35" s="59" t="n">
        <f aca="false">Entrées!$C$212</f>
        <v>6030.8</v>
      </c>
      <c r="F35" s="59" t="n">
        <f aca="false">Entrées!$C$213/1000</f>
        <v>1169.939</v>
      </c>
      <c r="G35" s="66" t="n">
        <f aca="false">IF(AND(ISNUMBER(E35),ISNUMBER(F35),E35&lt;&gt;0),F35/E35,"")</f>
        <v>0.193993997479605</v>
      </c>
      <c r="H35" s="114"/>
      <c r="I35" s="113" t="s">
        <v>739</v>
      </c>
      <c r="J35" s="113" t="s">
        <v>2871</v>
      </c>
      <c r="K35" s="24" t="s">
        <v>2872</v>
      </c>
    </row>
    <row r="36" customFormat="false" ht="15" hidden="false" customHeight="false" outlineLevel="0" collapsed="false">
      <c r="A36" s="2"/>
      <c r="B36" s="5" t="s">
        <v>2873</v>
      </c>
      <c r="C36" s="5" t="s">
        <v>2364</v>
      </c>
      <c r="D36" s="113" t="s">
        <v>2874</v>
      </c>
      <c r="E36" s="59" t="n">
        <f aca="false">Entrées!$C$197</f>
        <v>973.9</v>
      </c>
      <c r="F36" s="115" t="n">
        <f aca="false">Entrées!$C$199+(Entrées!$C$201+Entrées!$C$202)/1000</f>
        <v>155.122</v>
      </c>
      <c r="G36" s="66" t="n">
        <f aca="false">IF(AND(ISNUMBER(E36),ISNUMBER(F36),E36&lt;&gt;0),F36/E36,"")</f>
        <v>0.159279186774823</v>
      </c>
      <c r="H36" s="114"/>
      <c r="I36" s="113" t="s">
        <v>706</v>
      </c>
      <c r="J36" s="113" t="s">
        <v>2875</v>
      </c>
      <c r="K36" s="24" t="s">
        <v>2876</v>
      </c>
    </row>
    <row r="37" customFormat="false" ht="15" hidden="false" customHeight="false" outlineLevel="0" collapsed="false">
      <c r="A37" s="2"/>
      <c r="B37" s="5" t="s">
        <v>2877</v>
      </c>
      <c r="C37" s="5" t="s">
        <v>2364</v>
      </c>
      <c r="D37" s="114"/>
      <c r="E37" s="114"/>
      <c r="F37" s="114"/>
      <c r="G37" s="66" t="str">
        <f aca="false">IF(AND(ISNUMBER(E37),ISNUMBER(F37),E37&lt;&gt;0),F37/E37,"")</f>
        <v/>
      </c>
      <c r="H37" s="114"/>
      <c r="I37" s="114"/>
      <c r="J37" s="114"/>
      <c r="K37" s="24" t="s">
        <v>2878</v>
      </c>
    </row>
    <row r="38" customFormat="false" ht="15" hidden="false" customHeight="false" outlineLevel="0" collapsed="false">
      <c r="A38" s="2"/>
      <c r="B38" s="5" t="s">
        <v>2879</v>
      </c>
      <c r="C38" s="5" t="s">
        <v>2365</v>
      </c>
      <c r="D38" s="114"/>
      <c r="E38" s="114"/>
      <c r="F38" s="114"/>
      <c r="G38" s="66" t="str">
        <f aca="false">IF(AND(ISNUMBER(E38),ISNUMBER(F38),E38&lt;&gt;0),F38/E38,"")</f>
        <v/>
      </c>
      <c r="H38" s="114"/>
      <c r="I38" s="114"/>
      <c r="J38" s="114"/>
      <c r="K38" s="24" t="s">
        <v>2880</v>
      </c>
    </row>
    <row r="39" customFormat="false" ht="15" hidden="false" customHeight="false" outlineLevel="0" collapsed="false">
      <c r="A39" s="2"/>
      <c r="B39" s="5" t="s">
        <v>2881</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2357</v>
      </c>
      <c r="B41" s="22" t="s">
        <v>2882</v>
      </c>
      <c r="C41" s="2"/>
      <c r="D41" s="2"/>
      <c r="E41" s="2"/>
      <c r="F41" s="2"/>
      <c r="G41" s="2"/>
      <c r="H41" s="2"/>
      <c r="I41" s="2"/>
      <c r="J41" s="2"/>
      <c r="K41" s="2"/>
    </row>
    <row r="42" customFormat="false" ht="15" hidden="false" customHeight="false" outlineLevel="0" collapsed="false">
      <c r="A42" s="2"/>
      <c r="B42" s="5" t="s">
        <v>2883</v>
      </c>
      <c r="C42" s="98" t="n">
        <f aca="false">Entrées!$C$198</f>
        <v>940.3</v>
      </c>
      <c r="D42" s="24" t="s">
        <v>249</v>
      </c>
      <c r="E42" s="24" t="s">
        <v>2884</v>
      </c>
      <c r="F42" s="2"/>
      <c r="G42" s="2"/>
      <c r="H42" s="2"/>
      <c r="I42" s="2"/>
      <c r="J42" s="2"/>
      <c r="K42" s="2"/>
    </row>
    <row r="43" customFormat="false" ht="15" hidden="false" customHeight="false" outlineLevel="0" collapsed="false">
      <c r="A43" s="2"/>
      <c r="B43" s="5" t="s">
        <v>2883</v>
      </c>
      <c r="C43" s="98" t="n">
        <f aca="false">Entrées!$C$197</f>
        <v>973.9</v>
      </c>
      <c r="D43" s="24" t="s">
        <v>249</v>
      </c>
      <c r="E43" s="24" t="s">
        <v>2885</v>
      </c>
      <c r="F43" s="2"/>
      <c r="G43" s="2"/>
      <c r="H43" s="2"/>
      <c r="I43" s="2"/>
      <c r="J43" s="2"/>
      <c r="K43" s="2"/>
    </row>
    <row r="44" customFormat="false" ht="15" hidden="false" customHeight="false" outlineLevel="0" collapsed="false">
      <c r="A44" s="2"/>
      <c r="B44" s="5" t="s">
        <v>2886</v>
      </c>
      <c r="C44" s="66" t="n">
        <f aca="false">C43/C42-1</f>
        <v>0.0357332766138467</v>
      </c>
      <c r="D44" s="24" t="s">
        <v>299</v>
      </c>
      <c r="E44" s="24"/>
      <c r="F44" s="2"/>
      <c r="G44" s="2"/>
      <c r="H44" s="2"/>
      <c r="I44" s="2"/>
      <c r="J44" s="2"/>
      <c r="K44" s="2"/>
    </row>
    <row r="45" customFormat="false" ht="15" hidden="false" customHeight="false" outlineLevel="0" collapsed="false">
      <c r="A45" s="2"/>
      <c r="B45" s="5" t="s">
        <v>2887</v>
      </c>
      <c r="C45" s="98" t="n">
        <f aca="false">Entrées!$C$200</f>
        <v>92.6</v>
      </c>
      <c r="D45" s="24" t="s">
        <v>249</v>
      </c>
      <c r="E45" s="24" t="s">
        <v>2888</v>
      </c>
      <c r="F45" s="2"/>
      <c r="G45" s="2"/>
      <c r="H45" s="2"/>
      <c r="I45" s="2"/>
      <c r="J45" s="2"/>
      <c r="K45" s="2"/>
    </row>
    <row r="46" customFormat="false" ht="15" hidden="false" customHeight="false" outlineLevel="0" collapsed="false">
      <c r="A46" s="2"/>
      <c r="B46" s="5" t="s">
        <v>2887</v>
      </c>
      <c r="C46" s="98" t="n">
        <f aca="false">Entrées!$C$199</f>
        <v>91.7</v>
      </c>
      <c r="D46" s="24" t="s">
        <v>249</v>
      </c>
      <c r="E46" s="24" t="s">
        <v>2889</v>
      </c>
      <c r="F46" s="2"/>
      <c r="G46" s="2"/>
      <c r="H46" s="2"/>
      <c r="I46" s="2"/>
      <c r="J46" s="2"/>
      <c r="K46" s="2"/>
    </row>
    <row r="47" customFormat="false" ht="15" hidden="false" customHeight="false" outlineLevel="0" collapsed="false">
      <c r="A47" s="2"/>
      <c r="B47" s="5" t="s">
        <v>2890</v>
      </c>
      <c r="C47" s="99" t="n">
        <f aca="false">(Entrées!$C$201+Entrées!$C$202)/1000</f>
        <v>63.422</v>
      </c>
      <c r="D47" s="24" t="s">
        <v>249</v>
      </c>
      <c r="E47" s="24" t="s">
        <v>2891</v>
      </c>
      <c r="F47" s="2"/>
      <c r="G47" s="2"/>
      <c r="H47" s="2"/>
      <c r="I47" s="2"/>
      <c r="J47" s="2"/>
      <c r="K47" s="2"/>
    </row>
    <row r="48" customFormat="false" ht="15" hidden="false" customHeight="false" outlineLevel="0" collapsed="false">
      <c r="A48" s="2"/>
      <c r="B48" s="22" t="s">
        <v>2892</v>
      </c>
      <c r="C48" s="60" t="n">
        <f aca="false">C46+C47</f>
        <v>155.122</v>
      </c>
      <c r="D48" s="24" t="s">
        <v>249</v>
      </c>
      <c r="E48" s="24" t="s">
        <v>2893</v>
      </c>
      <c r="F48" s="2"/>
      <c r="G48" s="2"/>
      <c r="H48" s="2"/>
      <c r="I48" s="2"/>
      <c r="J48" s="2"/>
      <c r="K48" s="2"/>
    </row>
    <row r="49" customFormat="false" ht="15" hidden="false" customHeight="false" outlineLevel="0" collapsed="false">
      <c r="A49" s="2"/>
      <c r="B49" s="5" t="s">
        <v>2894</v>
      </c>
      <c r="C49" s="66" t="n">
        <f aca="false">C48/C43</f>
        <v>0.159279186774823</v>
      </c>
      <c r="D49" s="24" t="s">
        <v>299</v>
      </c>
      <c r="E49" s="24"/>
      <c r="F49" s="2"/>
      <c r="G49" s="2"/>
      <c r="H49" s="2"/>
      <c r="I49" s="2"/>
      <c r="J49" s="2"/>
      <c r="K49" s="2"/>
    </row>
    <row r="50" customFormat="false" ht="15" hidden="false" customHeight="false" outlineLevel="0" collapsed="false">
      <c r="A50" s="2"/>
      <c r="B50" s="5" t="s">
        <v>2895</v>
      </c>
      <c r="C50" s="98" t="n">
        <f aca="false">Entrées!$C$56</f>
        <v>200</v>
      </c>
      <c r="D50" s="24" t="s">
        <v>249</v>
      </c>
      <c r="E50" s="24" t="s">
        <v>290</v>
      </c>
      <c r="F50" s="2"/>
      <c r="G50" s="2"/>
      <c r="H50" s="2"/>
      <c r="I50" s="2"/>
      <c r="J50" s="2"/>
      <c r="K50" s="2"/>
    </row>
    <row r="51" customFormat="false" ht="15" hidden="false" customHeight="false" outlineLevel="0" collapsed="false">
      <c r="A51" s="2"/>
      <c r="B51" s="22" t="s">
        <v>2896</v>
      </c>
      <c r="C51" s="41" t="n">
        <f aca="false">C50/C48-1</f>
        <v>0.289307770657934</v>
      </c>
      <c r="D51" s="24" t="s">
        <v>299</v>
      </c>
      <c r="E51" s="24" t="s">
        <v>2897</v>
      </c>
      <c r="F51" s="2"/>
      <c r="G51" s="2"/>
      <c r="H51" s="2"/>
      <c r="I51" s="2"/>
      <c r="J51" s="2"/>
      <c r="K51" s="2"/>
    </row>
    <row r="52" customFormat="false" ht="15" hidden="false" customHeight="false" outlineLevel="0" collapsed="false">
      <c r="A52" s="2"/>
      <c r="B52" s="22" t="s">
        <v>2898</v>
      </c>
      <c r="C52" s="48" t="n">
        <f aca="false">Entrées!$C$51*1000/C48</f>
        <v>19.339616559869</v>
      </c>
      <c r="D52" s="24" t="s">
        <v>133</v>
      </c>
      <c r="E52" s="24" t="s">
        <v>2899</v>
      </c>
      <c r="F52" s="2"/>
      <c r="G52" s="2"/>
      <c r="H52" s="2"/>
      <c r="I52" s="2"/>
      <c r="J52" s="2"/>
      <c r="K52" s="2"/>
    </row>
    <row r="53" customFormat="false" ht="15" hidden="false" customHeight="false" outlineLevel="0" collapsed="false">
      <c r="A53" s="2"/>
      <c r="B53" s="5" t="s">
        <v>2900</v>
      </c>
      <c r="C53" s="89" t="n">
        <f aca="false">Entrées!$C$53</f>
        <v>9.8</v>
      </c>
      <c r="D53" s="24" t="s">
        <v>133</v>
      </c>
      <c r="E53" s="24" t="s">
        <v>278</v>
      </c>
      <c r="F53" s="2"/>
      <c r="G53" s="2"/>
      <c r="H53" s="2"/>
      <c r="I53" s="2"/>
      <c r="J53" s="2"/>
      <c r="K53" s="2"/>
    </row>
    <row r="54" customFormat="false" ht="15" hidden="false" customHeight="false" outlineLevel="0" collapsed="false">
      <c r="A54" s="2"/>
      <c r="B54" s="5" t="s">
        <v>2901</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2902</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2903</v>
      </c>
      <c r="B1" s="2"/>
      <c r="C1" s="2"/>
      <c r="D1" s="2"/>
      <c r="E1" s="2"/>
      <c r="F1" s="2"/>
      <c r="G1" s="2"/>
      <c r="H1" s="2"/>
      <c r="I1" s="2"/>
    </row>
    <row r="2" customFormat="false" ht="15" hidden="false" customHeight="false" outlineLevel="0" collapsed="false">
      <c r="A2" s="3" t="s">
        <v>2904</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2012</v>
      </c>
      <c r="B4" s="22" t="s">
        <v>2905</v>
      </c>
      <c r="C4" s="2"/>
      <c r="D4" s="2"/>
      <c r="E4" s="2"/>
      <c r="F4" s="2"/>
      <c r="G4" s="2"/>
      <c r="H4" s="2"/>
      <c r="I4" s="2"/>
    </row>
    <row r="5" customFormat="false" ht="15" hidden="false" customHeight="false" outlineLevel="0" collapsed="false">
      <c r="A5" s="21"/>
      <c r="B5" s="21" t="s">
        <v>2906</v>
      </c>
      <c r="C5" s="21" t="s">
        <v>193</v>
      </c>
      <c r="D5" s="21" t="s">
        <v>140</v>
      </c>
      <c r="E5" s="21" t="s">
        <v>147</v>
      </c>
      <c r="F5" s="21" t="s">
        <v>1930</v>
      </c>
      <c r="G5" s="116" t="s">
        <v>2907</v>
      </c>
      <c r="H5" s="2"/>
      <c r="I5" s="2"/>
    </row>
    <row r="6" customFormat="false" ht="15" hidden="false" customHeight="false" outlineLevel="0" collapsed="false">
      <c r="A6" s="2"/>
      <c r="B6" s="22" t="s">
        <v>2908</v>
      </c>
      <c r="C6" s="61" t="n">
        <f aca="false">Entrées!$C$104</f>
        <v>1220</v>
      </c>
      <c r="D6" s="61" t="n">
        <f aca="false">Entrées!$C$105</f>
        <v>1214</v>
      </c>
      <c r="E6" s="61" t="n">
        <f aca="false">Entrées!$C$49</f>
        <v>1290</v>
      </c>
      <c r="F6" s="24" t="s">
        <v>2909</v>
      </c>
      <c r="G6" s="45" t="n">
        <f aca="false">E6-D6</f>
        <v>76</v>
      </c>
      <c r="H6" s="2"/>
      <c r="I6" s="2"/>
    </row>
    <row r="7" customFormat="false" ht="15" hidden="false" customHeight="false" outlineLevel="0" collapsed="false">
      <c r="A7" s="2"/>
      <c r="B7" s="5" t="s">
        <v>2910</v>
      </c>
      <c r="C7" s="2"/>
      <c r="D7" s="61" t="n">
        <f aca="false">Entrées!$C$106</f>
        <v>418</v>
      </c>
      <c r="E7" s="61" t="n">
        <f aca="false">Entrées!$C$107</f>
        <v>472</v>
      </c>
      <c r="F7" s="24" t="s">
        <v>2911</v>
      </c>
      <c r="G7" s="64" t="n">
        <f aca="false">E7-D7</f>
        <v>54</v>
      </c>
      <c r="H7" s="2"/>
      <c r="I7" s="2"/>
    </row>
    <row r="8" customFormat="false" ht="15" hidden="false" customHeight="false" outlineLevel="0" collapsed="false">
      <c r="A8" s="2"/>
      <c r="B8" s="5" t="s">
        <v>2912</v>
      </c>
      <c r="C8" s="2"/>
      <c r="D8" s="61" t="n">
        <f aca="false">Entrées!$C$108</f>
        <v>454</v>
      </c>
      <c r="E8" s="61" t="n">
        <f aca="false">Entrées!$C$50</f>
        <v>461</v>
      </c>
      <c r="F8" s="24" t="s">
        <v>2913</v>
      </c>
      <c r="G8" s="64" t="n">
        <f aca="false">E8-D8</f>
        <v>7</v>
      </c>
      <c r="H8" s="2"/>
      <c r="I8" s="2"/>
    </row>
    <row r="9" customFormat="false" ht="15" hidden="false" customHeight="false" outlineLevel="0" collapsed="false">
      <c r="A9" s="2"/>
      <c r="B9" s="5" t="s">
        <v>2914</v>
      </c>
      <c r="C9" s="2"/>
      <c r="D9" s="61" t="n">
        <f aca="false">Entrées!$C$109</f>
        <v>315</v>
      </c>
      <c r="E9" s="61" t="n">
        <f aca="false">Entrées!$C$110</f>
        <v>328</v>
      </c>
      <c r="F9" s="24" t="s">
        <v>2915</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2916</v>
      </c>
      <c r="C11" s="61" t="n">
        <f aca="false">Entrées!$C$47</f>
        <v>1106</v>
      </c>
      <c r="D11" s="24" t="s">
        <v>103</v>
      </c>
      <c r="E11" s="24" t="s">
        <v>254</v>
      </c>
      <c r="F11" s="2"/>
      <c r="G11" s="2"/>
      <c r="H11" s="2"/>
      <c r="I11" s="2"/>
    </row>
    <row r="12" customFormat="false" ht="15" hidden="false" customHeight="false" outlineLevel="0" collapsed="false">
      <c r="A12" s="2"/>
      <c r="B12" s="5" t="s">
        <v>2917</v>
      </c>
      <c r="C12" s="61" t="n">
        <f aca="false">Entrées!$C$48</f>
        <v>53</v>
      </c>
      <c r="D12" s="24" t="s">
        <v>103</v>
      </c>
      <c r="E12" s="24" t="s">
        <v>258</v>
      </c>
      <c r="F12" s="2"/>
      <c r="G12" s="2"/>
      <c r="H12" s="2"/>
      <c r="I12" s="2"/>
    </row>
    <row r="13" customFormat="false" ht="15" hidden="false" customHeight="false" outlineLevel="0" collapsed="false">
      <c r="A13" s="2"/>
      <c r="B13" s="5" t="s">
        <v>2918</v>
      </c>
      <c r="C13" s="61" t="n">
        <f aca="false">Entrées!$C$111</f>
        <v>55</v>
      </c>
      <c r="D13" s="24" t="s">
        <v>103</v>
      </c>
      <c r="E13" s="24" t="s">
        <v>446</v>
      </c>
      <c r="F13" s="2"/>
      <c r="G13" s="2"/>
      <c r="H13" s="2"/>
      <c r="I13" s="2"/>
    </row>
    <row r="14" customFormat="false" ht="15" hidden="false" customHeight="false" outlineLevel="0" collapsed="false">
      <c r="A14" s="2"/>
      <c r="B14" s="22" t="s">
        <v>2919</v>
      </c>
      <c r="C14" s="45" t="n">
        <f aca="false">SUM(C11:C13)</f>
        <v>1214</v>
      </c>
      <c r="D14" s="24" t="s">
        <v>103</v>
      </c>
      <c r="E14" s="24" t="s">
        <v>2920</v>
      </c>
      <c r="F14" s="2"/>
      <c r="G14" s="2"/>
      <c r="H14" s="2"/>
      <c r="I14" s="2"/>
    </row>
    <row r="15" customFormat="false" ht="15" hidden="false" customHeight="false" outlineLevel="0" collapsed="false">
      <c r="A15" s="2"/>
      <c r="B15" s="5" t="s">
        <v>2921</v>
      </c>
      <c r="C15" s="61" t="n">
        <f aca="false">Entrées!$C$112</f>
        <v>72</v>
      </c>
      <c r="D15" s="24" t="s">
        <v>103</v>
      </c>
      <c r="E15" s="24" t="s">
        <v>449</v>
      </c>
      <c r="F15" s="2"/>
      <c r="G15" s="2"/>
      <c r="H15" s="2"/>
      <c r="I15" s="2"/>
    </row>
    <row r="16" customFormat="false" ht="15" hidden="false" customHeight="false" outlineLevel="0" collapsed="false">
      <c r="A16" s="2"/>
      <c r="B16" s="5" t="s">
        <v>2922</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2025</v>
      </c>
      <c r="B18" s="22" t="s">
        <v>2923</v>
      </c>
      <c r="C18" s="2"/>
      <c r="D18" s="2"/>
      <c r="E18" s="2"/>
      <c r="F18" s="2"/>
      <c r="G18" s="2"/>
      <c r="H18" s="2"/>
      <c r="I18" s="2"/>
    </row>
    <row r="19" customFormat="false" ht="15" hidden="false" customHeight="false" outlineLevel="0" collapsed="false">
      <c r="A19" s="2"/>
      <c r="B19" s="5" t="s">
        <v>2924</v>
      </c>
      <c r="C19" s="61" t="n">
        <f aca="false">Entrées!$C$46</f>
        <v>2542</v>
      </c>
      <c r="D19" s="24" t="s">
        <v>103</v>
      </c>
      <c r="E19" s="24" t="s">
        <v>252</v>
      </c>
      <c r="F19" s="2"/>
      <c r="G19" s="2"/>
      <c r="H19" s="2"/>
      <c r="I19" s="2"/>
    </row>
    <row r="20" customFormat="false" ht="15" hidden="false" customHeight="false" outlineLevel="0" collapsed="false">
      <c r="A20" s="2"/>
      <c r="B20" s="5" t="s">
        <v>2925</v>
      </c>
      <c r="C20" s="61" t="n">
        <f aca="false">Entrées!$C$103</f>
        <v>2066</v>
      </c>
      <c r="D20" s="24" t="s">
        <v>103</v>
      </c>
      <c r="E20" s="24" t="s">
        <v>425</v>
      </c>
      <c r="F20" s="2"/>
      <c r="G20" s="2"/>
      <c r="H20" s="2"/>
      <c r="I20" s="2"/>
    </row>
    <row r="21" customFormat="false" ht="15" hidden="false" customHeight="false" outlineLevel="0" collapsed="false">
      <c r="A21" s="2"/>
      <c r="B21" s="22" t="s">
        <v>2926</v>
      </c>
      <c r="C21" s="41" t="n">
        <f aca="false">C20/C19</f>
        <v>0.812745869394178</v>
      </c>
      <c r="D21" s="24" t="s">
        <v>299</v>
      </c>
      <c r="E21" s="24" t="s">
        <v>2927</v>
      </c>
      <c r="F21" s="2"/>
      <c r="G21" s="2"/>
      <c r="H21" s="2"/>
      <c r="I21" s="2"/>
    </row>
    <row r="22" customFormat="false" ht="15" hidden="false" customHeight="false" outlineLevel="0" collapsed="false">
      <c r="A22" s="2"/>
      <c r="B22" s="5" t="s">
        <v>2928</v>
      </c>
      <c r="C22" s="64" t="n">
        <f aca="false">G7</f>
        <v>54</v>
      </c>
      <c r="D22" s="24" t="s">
        <v>103</v>
      </c>
      <c r="E22" s="24" t="s">
        <v>2929</v>
      </c>
      <c r="F22" s="2"/>
      <c r="G22" s="2"/>
      <c r="H22" s="2"/>
      <c r="I22" s="2"/>
    </row>
    <row r="23" customFormat="false" ht="15" hidden="false" customHeight="false" outlineLevel="0" collapsed="false">
      <c r="A23" s="2"/>
      <c r="B23" s="5" t="s">
        <v>2930</v>
      </c>
      <c r="C23" s="64" t="n">
        <f aca="false">Entrées!$C$114-Entrées!$C$113</f>
        <v>30</v>
      </c>
      <c r="D23" s="24" t="s">
        <v>103</v>
      </c>
      <c r="E23" s="24" t="s">
        <v>2931</v>
      </c>
      <c r="F23" s="2"/>
      <c r="G23" s="2"/>
      <c r="H23" s="2"/>
      <c r="I23" s="2"/>
    </row>
    <row r="24" customFormat="false" ht="15" hidden="false" customHeight="false" outlineLevel="0" collapsed="false">
      <c r="A24" s="2"/>
      <c r="B24" s="5" t="s">
        <v>2932</v>
      </c>
      <c r="C24" s="66" t="n">
        <f aca="false">Entrées!$C$227/1000/Entrées!$C$212</f>
        <v>0.0382531339125821</v>
      </c>
      <c r="D24" s="24" t="s">
        <v>299</v>
      </c>
      <c r="E24" s="24" t="s">
        <v>2933</v>
      </c>
      <c r="F24" s="2"/>
      <c r="G24" s="2"/>
      <c r="H24" s="2"/>
      <c r="I24" s="2"/>
    </row>
    <row r="25" customFormat="false" ht="15" hidden="false" customHeight="false" outlineLevel="0" collapsed="false">
      <c r="A25" s="2"/>
      <c r="B25" s="5" t="s">
        <v>2934</v>
      </c>
      <c r="C25" s="99" t="n">
        <f aca="false">(Entrées!$C$206+Entrées!$C$207)/1000</f>
        <v>50.992</v>
      </c>
      <c r="D25" s="24" t="s">
        <v>249</v>
      </c>
      <c r="E25" s="24" t="s">
        <v>2935</v>
      </c>
      <c r="F25" s="2"/>
      <c r="G25" s="2"/>
      <c r="H25" s="2"/>
      <c r="I25" s="2"/>
    </row>
    <row r="26" customFormat="false" ht="15" hidden="false" customHeight="false" outlineLevel="0" collapsed="false">
      <c r="A26" s="2"/>
      <c r="B26" s="5" t="s">
        <v>2936</v>
      </c>
      <c r="C26" s="66" t="n">
        <f aca="false">C25/Entrées!$C$197</f>
        <v>0.0523585583735496</v>
      </c>
      <c r="D26" s="24" t="s">
        <v>299</v>
      </c>
      <c r="E26" s="24" t="s">
        <v>703</v>
      </c>
      <c r="F26" s="2"/>
      <c r="G26" s="2"/>
      <c r="H26" s="2"/>
      <c r="I26" s="2"/>
    </row>
    <row r="27" customFormat="false" ht="15" hidden="false" customHeight="false" outlineLevel="0" collapsed="false">
      <c r="A27" s="2"/>
      <c r="B27" s="5" t="s">
        <v>2937</v>
      </c>
      <c r="C27" s="99" t="n">
        <f aca="false">C24*Entrées!$C$197</f>
        <v>37.2547271174637</v>
      </c>
      <c r="D27" s="24" t="s">
        <v>249</v>
      </c>
      <c r="E27" s="24" t="s">
        <v>2938</v>
      </c>
      <c r="F27" s="2"/>
      <c r="G27" s="2"/>
      <c r="H27" s="2"/>
      <c r="I27" s="2"/>
    </row>
    <row r="28" customFormat="false" ht="15" hidden="false" customHeight="false" outlineLevel="0" collapsed="false">
      <c r="A28" s="2"/>
      <c r="B28" s="22" t="s">
        <v>2939</v>
      </c>
      <c r="C28" s="46"/>
      <c r="D28" s="24" t="s">
        <v>103</v>
      </c>
      <c r="E28" s="24" t="s">
        <v>2940</v>
      </c>
      <c r="F28" s="2"/>
      <c r="G28" s="2"/>
      <c r="H28" s="2"/>
      <c r="I28" s="2"/>
    </row>
    <row r="29" customFormat="false" ht="15" hidden="false" customHeight="false" outlineLevel="0" collapsed="false">
      <c r="A29" s="2"/>
      <c r="B29" s="22" t="s">
        <v>2941</v>
      </c>
      <c r="C29" s="51" t="n">
        <f aca="false">IF(ISNUMBER(C28),C28/Trajectoire!$D$41,0)</f>
        <v>0</v>
      </c>
      <c r="D29" s="24" t="s">
        <v>133</v>
      </c>
      <c r="E29" s="24" t="s">
        <v>2942</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2943</v>
      </c>
      <c r="B32" s="22" t="s">
        <v>2944</v>
      </c>
      <c r="C32" s="2"/>
      <c r="D32" s="2"/>
      <c r="E32" s="2"/>
      <c r="F32" s="2"/>
      <c r="G32" s="2"/>
      <c r="H32" s="2"/>
      <c r="I32" s="2"/>
    </row>
    <row r="33" customFormat="false" ht="23.85" hidden="false" customHeight="false" outlineLevel="0" collapsed="false">
      <c r="A33" s="21"/>
      <c r="B33" s="21" t="s">
        <v>2945</v>
      </c>
      <c r="C33" s="21" t="s">
        <v>2946</v>
      </c>
      <c r="D33" s="21" t="s">
        <v>2947</v>
      </c>
      <c r="E33" s="21" t="s">
        <v>2948</v>
      </c>
      <c r="F33" s="21" t="s">
        <v>2949</v>
      </c>
      <c r="G33" s="21" t="s">
        <v>2950</v>
      </c>
      <c r="H33" s="21" t="s">
        <v>2951</v>
      </c>
      <c r="I33" s="21" t="s">
        <v>1930</v>
      </c>
    </row>
    <row r="34" customFormat="false" ht="15" hidden="false" customHeight="false" outlineLevel="0" collapsed="false">
      <c r="A34" s="2"/>
      <c r="B34" s="5" t="s">
        <v>2952</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2953</v>
      </c>
    </row>
    <row r="35" customFormat="false" ht="15" hidden="false" customHeight="false" outlineLevel="0" collapsed="false">
      <c r="A35" s="2"/>
      <c r="B35" s="5" t="s">
        <v>2954</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2955</v>
      </c>
    </row>
    <row r="36" customFormat="false" ht="15" hidden="false" customHeight="false" outlineLevel="0" collapsed="false">
      <c r="A36" s="2"/>
      <c r="B36" s="5" t="s">
        <v>2956</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2957</v>
      </c>
    </row>
    <row r="37" customFormat="false" ht="15" hidden="false" customHeight="false" outlineLevel="0" collapsed="false">
      <c r="A37" s="2"/>
      <c r="B37" s="5" t="s">
        <v>2958</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2959</v>
      </c>
    </row>
    <row r="38" customFormat="false" ht="15" hidden="false" customHeight="false" outlineLevel="0" collapsed="false">
      <c r="A38" s="2"/>
      <c r="B38" s="5" t="s">
        <v>2960</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2961</v>
      </c>
    </row>
    <row r="39" customFormat="false" ht="15" hidden="false" customHeight="false" outlineLevel="0" collapsed="false">
      <c r="A39" s="2"/>
      <c r="B39" s="5" t="s">
        <v>2962</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2963</v>
      </c>
    </row>
    <row r="40" customFormat="false" ht="15" hidden="false" customHeight="false" outlineLevel="0" collapsed="false">
      <c r="A40" s="2"/>
      <c r="B40" s="22" t="s">
        <v>2964</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2965</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2966</v>
      </c>
      <c r="C42" s="64" t="n">
        <f aca="false">Entrées!$C$496*1000</f>
        <v>4500</v>
      </c>
      <c r="D42" s="24" t="s">
        <v>103</v>
      </c>
      <c r="E42" s="24" t="s">
        <v>1545</v>
      </c>
      <c r="F42" s="2"/>
      <c r="G42" s="2"/>
      <c r="H42" s="2"/>
      <c r="I42" s="2"/>
    </row>
    <row r="43" customFormat="false" ht="15" hidden="false" customHeight="false" outlineLevel="0" collapsed="false">
      <c r="A43" s="2"/>
      <c r="B43" s="22" t="s">
        <v>2967</v>
      </c>
      <c r="C43" s="41" t="n">
        <f aca="false">F41/C42</f>
        <v>0.466666666666667</v>
      </c>
      <c r="D43" s="24" t="s">
        <v>299</v>
      </c>
      <c r="E43" s="24" t="s">
        <v>2968</v>
      </c>
      <c r="F43" s="2"/>
      <c r="G43" s="2"/>
      <c r="H43" s="2"/>
      <c r="I43" s="2"/>
    </row>
    <row r="44" customFormat="false" ht="15" hidden="false" customHeight="false" outlineLevel="0" collapsed="false">
      <c r="A44" s="2"/>
      <c r="B44" s="5" t="s">
        <v>2969</v>
      </c>
      <c r="C44" s="66" t="n">
        <f aca="false">Entrées!$C$504/100</f>
        <v>0.472</v>
      </c>
      <c r="D44" s="24" t="s">
        <v>299</v>
      </c>
      <c r="E44" s="24" t="s">
        <v>1566</v>
      </c>
      <c r="F44" s="2"/>
      <c r="G44" s="2"/>
      <c r="H44" s="2"/>
      <c r="I44" s="2"/>
    </row>
    <row r="45" customFormat="false" ht="15" hidden="false" customHeight="false" outlineLevel="0" collapsed="false">
      <c r="A45" s="2"/>
      <c r="B45" s="5" t="s">
        <v>2970</v>
      </c>
      <c r="C45" s="64" t="n">
        <f aca="false">Entrées!$C$501*1000</f>
        <v>1800</v>
      </c>
      <c r="D45" s="24" t="s">
        <v>103</v>
      </c>
      <c r="E45" s="24" t="s">
        <v>2971</v>
      </c>
      <c r="F45" s="2"/>
      <c r="G45" s="2"/>
      <c r="H45" s="2"/>
      <c r="I45" s="2"/>
    </row>
    <row r="46" customFormat="false" ht="15" hidden="false" customHeight="false" outlineLevel="0" collapsed="false">
      <c r="A46" s="2"/>
      <c r="B46" s="22" t="s">
        <v>2972</v>
      </c>
      <c r="C46" s="41" t="n">
        <f aca="false">F36/F41</f>
        <v>0.142857142857143</v>
      </c>
      <c r="D46" s="24" t="s">
        <v>299</v>
      </c>
      <c r="E46" s="24"/>
      <c r="F46" s="2"/>
      <c r="G46" s="2"/>
      <c r="H46" s="2"/>
      <c r="I46" s="2"/>
    </row>
    <row r="47" customFormat="false" ht="15" hidden="false" customHeight="false" outlineLevel="0" collapsed="false">
      <c r="A47" s="2"/>
      <c r="B47" s="22" t="s">
        <v>2973</v>
      </c>
      <c r="C47" s="41" t="n">
        <f aca="false">G36</f>
        <v>0.75</v>
      </c>
      <c r="D47" s="24" t="s">
        <v>299</v>
      </c>
      <c r="E47" s="24"/>
      <c r="F47" s="2"/>
      <c r="G47" s="2"/>
      <c r="H47" s="2"/>
      <c r="I47" s="2"/>
    </row>
    <row r="48" customFormat="false" ht="15" hidden="false" customHeight="false" outlineLevel="0" collapsed="false">
      <c r="A48" s="2"/>
      <c r="B48" s="5" t="s">
        <v>2974</v>
      </c>
      <c r="C48" s="64" t="n">
        <f aca="false">C42-E41</f>
        <v>1500</v>
      </c>
      <c r="D48" s="24" t="s">
        <v>103</v>
      </c>
      <c r="E48" s="24" t="s">
        <v>2975</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2976</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2977</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2012</v>
      </c>
      <c r="B4" s="22" t="s">
        <v>2978</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2979</v>
      </c>
      <c r="C5" s="21" t="s">
        <v>2980</v>
      </c>
      <c r="D5" s="21" t="s">
        <v>2981</v>
      </c>
      <c r="E5" s="21" t="s">
        <v>2982</v>
      </c>
      <c r="F5" s="21" t="s">
        <v>2690</v>
      </c>
      <c r="G5" s="2"/>
      <c r="H5" s="2"/>
      <c r="I5" s="2"/>
      <c r="J5" s="2"/>
      <c r="K5" s="2"/>
      <c r="L5" s="2"/>
      <c r="M5" s="2"/>
      <c r="N5" s="2"/>
      <c r="O5" s="2"/>
      <c r="P5" s="2"/>
      <c r="Q5" s="2"/>
      <c r="R5" s="2"/>
      <c r="S5" s="2"/>
      <c r="T5" s="2"/>
    </row>
    <row r="6" customFormat="false" ht="15" hidden="false" customHeight="false" outlineLevel="0" collapsed="false">
      <c r="A6" s="2"/>
      <c r="B6" s="5" t="s">
        <v>2983</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2984</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2540</v>
      </c>
      <c r="C8" s="68" t="n">
        <f aca="false">Trajectoire!$AE$58</f>
        <v>-534.954329754553</v>
      </c>
      <c r="D8" s="68" t="n">
        <f aca="false">Trajectoire!$D$58</f>
        <v>1570.67466937297</v>
      </c>
      <c r="E8" s="68" t="n">
        <f aca="false">Trajectoire!$AF$58</f>
        <v>3490.715111665</v>
      </c>
      <c r="F8" s="24" t="s">
        <v>2985</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2986</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2987</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2988</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2989</v>
      </c>
      <c r="G12" s="2"/>
      <c r="H12" s="2"/>
      <c r="I12" s="2"/>
      <c r="J12" s="2"/>
      <c r="K12" s="2"/>
      <c r="L12" s="2"/>
      <c r="M12" s="2"/>
      <c r="N12" s="2"/>
      <c r="O12" s="2"/>
      <c r="P12" s="2"/>
      <c r="Q12" s="2"/>
      <c r="R12" s="2"/>
      <c r="S12" s="2"/>
      <c r="T12" s="2"/>
    </row>
    <row r="13" customFormat="false" ht="15" hidden="false" customHeight="false" outlineLevel="0" collapsed="false">
      <c r="A13" s="2"/>
      <c r="B13" s="3" t="s">
        <v>2990</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2025</v>
      </c>
      <c r="B15" s="22" t="s">
        <v>2991</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2992</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2993</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2994</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2995</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2996</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2997</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2998</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2339</v>
      </c>
      <c r="B24" s="22" t="s">
        <v>2999</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3000</v>
      </c>
      <c r="C25" s="21" t="s">
        <v>3001</v>
      </c>
      <c r="D25" s="21" t="s">
        <v>1926</v>
      </c>
      <c r="E25" s="21" t="s">
        <v>1930</v>
      </c>
      <c r="F25" s="21" t="s">
        <v>3002</v>
      </c>
      <c r="G25" s="2"/>
      <c r="H25" s="2"/>
      <c r="I25" s="2"/>
      <c r="J25" s="2"/>
      <c r="K25" s="2"/>
      <c r="L25" s="2"/>
      <c r="M25" s="2"/>
      <c r="N25" s="2"/>
      <c r="O25" s="2"/>
      <c r="P25" s="2"/>
      <c r="Q25" s="2"/>
      <c r="R25" s="2"/>
      <c r="S25" s="2"/>
      <c r="T25" s="2"/>
    </row>
    <row r="26" customFormat="false" ht="15" hidden="false" customHeight="false" outlineLevel="0" collapsed="false">
      <c r="A26" s="2"/>
      <c r="B26" s="5" t="s">
        <v>3003</v>
      </c>
      <c r="C26" s="89" t="n">
        <f aca="false">Entrées!$C$450</f>
        <v>7.4</v>
      </c>
      <c r="D26" s="24" t="s">
        <v>3004</v>
      </c>
      <c r="E26" s="24" t="s">
        <v>1399</v>
      </c>
      <c r="F26" s="24" t="s">
        <v>3005</v>
      </c>
      <c r="G26" s="2"/>
      <c r="H26" s="2"/>
      <c r="I26" s="2"/>
      <c r="J26" s="2"/>
      <c r="K26" s="2"/>
      <c r="L26" s="2"/>
      <c r="M26" s="2"/>
      <c r="N26" s="2"/>
      <c r="O26" s="2"/>
      <c r="P26" s="2"/>
      <c r="Q26" s="2"/>
      <c r="R26" s="2"/>
      <c r="S26" s="2"/>
      <c r="T26" s="2"/>
    </row>
    <row r="27" customFormat="false" ht="15" hidden="false" customHeight="false" outlineLevel="0" collapsed="false">
      <c r="A27" s="2"/>
      <c r="B27" s="5" t="s">
        <v>3006</v>
      </c>
      <c r="C27" s="89" t="n">
        <f aca="false">Entrées!$C$477</f>
        <v>9</v>
      </c>
      <c r="D27" s="24" t="s">
        <v>3007</v>
      </c>
      <c r="E27" s="24" t="s">
        <v>1475</v>
      </c>
      <c r="F27" s="24" t="s">
        <v>3008</v>
      </c>
      <c r="G27" s="2"/>
      <c r="H27" s="2"/>
      <c r="I27" s="2"/>
      <c r="J27" s="2"/>
      <c r="K27" s="2"/>
      <c r="L27" s="2"/>
      <c r="M27" s="2"/>
      <c r="N27" s="2"/>
      <c r="O27" s="2"/>
      <c r="P27" s="2"/>
      <c r="Q27" s="2"/>
      <c r="R27" s="2"/>
      <c r="S27" s="2"/>
      <c r="T27" s="2"/>
    </row>
    <row r="28" customFormat="false" ht="15" hidden="false" customHeight="false" outlineLevel="0" collapsed="false">
      <c r="A28" s="2"/>
      <c r="B28" s="5" t="s">
        <v>3009</v>
      </c>
      <c r="C28" s="89" t="n">
        <f aca="false">Entrées!$C$53</f>
        <v>9.8</v>
      </c>
      <c r="D28" s="24" t="s">
        <v>3010</v>
      </c>
      <c r="E28" s="24" t="s">
        <v>278</v>
      </c>
      <c r="F28" s="24" t="s">
        <v>3011</v>
      </c>
      <c r="G28" s="2"/>
      <c r="H28" s="2"/>
      <c r="I28" s="2"/>
      <c r="J28" s="2"/>
      <c r="K28" s="2"/>
      <c r="L28" s="2"/>
      <c r="M28" s="2"/>
      <c r="N28" s="2"/>
      <c r="O28" s="2"/>
      <c r="P28" s="2"/>
      <c r="Q28" s="2"/>
      <c r="R28" s="2"/>
      <c r="S28" s="2"/>
      <c r="T28" s="2"/>
    </row>
    <row r="29" customFormat="false" ht="15" hidden="false" customHeight="false" outlineLevel="0" collapsed="false">
      <c r="A29" s="2"/>
      <c r="B29" s="5" t="s">
        <v>3012</v>
      </c>
      <c r="C29" s="89" t="n">
        <f aca="false">Entrées!$C$478</f>
        <v>11</v>
      </c>
      <c r="D29" s="24" t="s">
        <v>3013</v>
      </c>
      <c r="E29" s="24" t="s">
        <v>1477</v>
      </c>
      <c r="F29" s="24" t="s">
        <v>3014</v>
      </c>
      <c r="G29" s="2"/>
      <c r="H29" s="2"/>
      <c r="I29" s="2"/>
      <c r="J29" s="2"/>
      <c r="K29" s="2"/>
      <c r="L29" s="2"/>
      <c r="M29" s="2"/>
      <c r="N29" s="2"/>
      <c r="O29" s="2"/>
      <c r="P29" s="2"/>
      <c r="Q29" s="2"/>
      <c r="R29" s="2"/>
      <c r="S29" s="2"/>
      <c r="T29" s="2"/>
    </row>
    <row r="30" customFormat="false" ht="15" hidden="false" customHeight="false" outlineLevel="0" collapsed="false">
      <c r="A30" s="2"/>
      <c r="B30" s="5" t="s">
        <v>3015</v>
      </c>
      <c r="C30" s="89" t="n">
        <f aca="false">Cibles!$C$19</f>
        <v>15</v>
      </c>
      <c r="D30" s="24" t="s">
        <v>3016</v>
      </c>
      <c r="E30" s="24" t="s">
        <v>3017</v>
      </c>
      <c r="F30" s="24" t="s">
        <v>3018</v>
      </c>
      <c r="G30" s="2"/>
      <c r="H30" s="2"/>
      <c r="I30" s="2"/>
      <c r="J30" s="2"/>
      <c r="K30" s="2"/>
      <c r="L30" s="2"/>
      <c r="M30" s="2"/>
      <c r="N30" s="2"/>
      <c r="O30" s="2"/>
      <c r="P30" s="2"/>
      <c r="Q30" s="2"/>
      <c r="R30" s="2"/>
      <c r="S30" s="2"/>
      <c r="T30" s="2"/>
    </row>
    <row r="31" customFormat="false" ht="15" hidden="false" customHeight="false" outlineLevel="0" collapsed="false">
      <c r="A31" s="2"/>
      <c r="B31" s="5" t="s">
        <v>3019</v>
      </c>
      <c r="C31" s="89" t="n">
        <f aca="false">Booster!$C$52</f>
        <v>19.339616559869</v>
      </c>
      <c r="D31" s="24" t="s">
        <v>3020</v>
      </c>
      <c r="E31" s="24" t="s">
        <v>3021</v>
      </c>
      <c r="F31" s="24" t="s">
        <v>3018</v>
      </c>
      <c r="G31" s="2"/>
      <c r="H31" s="2"/>
      <c r="I31" s="2"/>
      <c r="J31" s="2"/>
      <c r="K31" s="2"/>
      <c r="L31" s="2"/>
      <c r="M31" s="2"/>
      <c r="N31" s="2"/>
      <c r="O31" s="2"/>
      <c r="P31" s="2"/>
      <c r="Q31" s="2"/>
      <c r="R31" s="2"/>
      <c r="S31" s="2"/>
      <c r="T31" s="2"/>
    </row>
    <row r="32" customFormat="false" ht="15" hidden="false" customHeight="false" outlineLevel="0" collapsed="false">
      <c r="A32" s="2"/>
      <c r="B32" s="22" t="s">
        <v>3022</v>
      </c>
      <c r="C32" s="48" t="n">
        <f aca="false">MIN(C26:C29)</f>
        <v>7.4</v>
      </c>
      <c r="D32" s="24" t="s">
        <v>133</v>
      </c>
      <c r="E32" s="24" t="s">
        <v>3023</v>
      </c>
      <c r="F32" s="2"/>
      <c r="G32" s="2"/>
      <c r="H32" s="2"/>
      <c r="I32" s="2"/>
      <c r="J32" s="2"/>
      <c r="K32" s="2"/>
      <c r="L32" s="2"/>
      <c r="M32" s="2"/>
      <c r="N32" s="2"/>
      <c r="O32" s="2"/>
      <c r="P32" s="2"/>
      <c r="Q32" s="2"/>
      <c r="R32" s="2"/>
      <c r="S32" s="2"/>
      <c r="T32" s="2"/>
    </row>
    <row r="33" customFormat="false" ht="15" hidden="false" customHeight="false" outlineLevel="0" collapsed="false">
      <c r="A33" s="2"/>
      <c r="B33" s="5" t="s">
        <v>3024</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3025</v>
      </c>
      <c r="C34" s="48" t="n">
        <f aca="false">MAX(C26:C29)</f>
        <v>11</v>
      </c>
      <c r="D34" s="24" t="s">
        <v>133</v>
      </c>
      <c r="E34" s="24" t="s">
        <v>3026</v>
      </c>
      <c r="F34" s="2"/>
      <c r="G34" s="2"/>
      <c r="H34" s="2"/>
      <c r="I34" s="2"/>
      <c r="J34" s="2"/>
      <c r="K34" s="2"/>
      <c r="L34" s="2"/>
      <c r="M34" s="2"/>
      <c r="N34" s="2"/>
      <c r="O34" s="2"/>
      <c r="P34" s="2"/>
      <c r="Q34" s="2"/>
      <c r="R34" s="2"/>
      <c r="S34" s="2"/>
      <c r="T34" s="2"/>
    </row>
    <row r="35" customFormat="false" ht="15" hidden="false" customHeight="false" outlineLevel="0" collapsed="false">
      <c r="A35" s="2"/>
      <c r="B35" s="5" t="s">
        <v>3027</v>
      </c>
      <c r="C35" s="90" t="n">
        <f aca="false">C30-C28</f>
        <v>5.2</v>
      </c>
      <c r="D35" s="24" t="s">
        <v>133</v>
      </c>
      <c r="E35" s="24" t="s">
        <v>3028</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2357</v>
      </c>
      <c r="B38" s="22" t="s">
        <v>3029</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3030</v>
      </c>
      <c r="C39" s="21" t="s">
        <v>3031</v>
      </c>
      <c r="D39" s="21" t="s">
        <v>3032</v>
      </c>
      <c r="E39" s="21" t="s">
        <v>3033</v>
      </c>
      <c r="F39" s="21" t="s">
        <v>2997</v>
      </c>
      <c r="G39" s="21" t="s">
        <v>3034</v>
      </c>
      <c r="H39" s="21" t="s">
        <v>1930</v>
      </c>
      <c r="I39" s="2"/>
      <c r="J39" s="2"/>
      <c r="K39" s="2"/>
      <c r="L39" s="2"/>
      <c r="M39" s="2"/>
      <c r="N39" s="2"/>
      <c r="O39" s="2"/>
      <c r="P39" s="2"/>
      <c r="Q39" s="2"/>
      <c r="R39" s="2"/>
      <c r="S39" s="2"/>
      <c r="T39" s="2"/>
    </row>
    <row r="40" customFormat="false" ht="15" hidden="false" customHeight="false" outlineLevel="0" collapsed="false">
      <c r="A40" s="2"/>
      <c r="B40" s="5" t="s">
        <v>3035</v>
      </c>
      <c r="C40" s="61" t="n">
        <f aca="false">Entrées!$C$606</f>
        <v>470</v>
      </c>
      <c r="D40" s="61" t="n">
        <f aca="false">Entrées!$C$607</f>
        <v>27</v>
      </c>
      <c r="E40" s="48" t="n">
        <f aca="false">C40/D40</f>
        <v>17.4074074074074</v>
      </c>
      <c r="F40" s="89" t="n">
        <f aca="false">Entrées!$C$612</f>
        <v>8.9</v>
      </c>
      <c r="G40" s="24" t="s">
        <v>3036</v>
      </c>
      <c r="H40" s="24" t="s">
        <v>3037</v>
      </c>
      <c r="I40" s="2"/>
      <c r="J40" s="2"/>
      <c r="K40" s="2"/>
      <c r="L40" s="2"/>
      <c r="M40" s="2"/>
      <c r="N40" s="2"/>
      <c r="O40" s="2"/>
      <c r="P40" s="2"/>
      <c r="Q40" s="2"/>
      <c r="R40" s="2"/>
      <c r="S40" s="2"/>
      <c r="T40" s="2"/>
    </row>
    <row r="41" customFormat="false" ht="15" hidden="false" customHeight="false" outlineLevel="0" collapsed="false">
      <c r="A41" s="2"/>
      <c r="B41" s="5" t="s">
        <v>3038</v>
      </c>
      <c r="C41" s="61" t="n">
        <f aca="false">Entrées!$C$483</f>
        <v>400</v>
      </c>
      <c r="D41" s="61" t="n">
        <f aca="false">Entrées!$C$484</f>
        <v>36</v>
      </c>
      <c r="E41" s="48" t="n">
        <f aca="false">C41/D41</f>
        <v>11.1111111111111</v>
      </c>
      <c r="F41" s="89" t="n">
        <f aca="false">Entrées!$C$488</f>
        <v>7.1</v>
      </c>
      <c r="G41" s="24" t="s">
        <v>3039</v>
      </c>
      <c r="H41" s="24" t="s">
        <v>3040</v>
      </c>
      <c r="I41" s="2"/>
      <c r="J41" s="2"/>
      <c r="K41" s="2"/>
      <c r="L41" s="2"/>
      <c r="M41" s="2"/>
      <c r="N41" s="2"/>
      <c r="O41" s="2"/>
      <c r="P41" s="2"/>
      <c r="Q41" s="2"/>
      <c r="R41" s="2"/>
      <c r="S41" s="2"/>
      <c r="T41" s="2"/>
    </row>
    <row r="42" customFormat="false" ht="15" hidden="false" customHeight="false" outlineLevel="0" collapsed="false">
      <c r="A42" s="2"/>
      <c r="B42" s="5" t="s">
        <v>3041</v>
      </c>
      <c r="C42" s="61" t="n">
        <f aca="false">Entrées!$C$489*1000</f>
        <v>5300</v>
      </c>
      <c r="D42" s="61" t="n">
        <f aca="false">Entrées!$C$491</f>
        <v>460</v>
      </c>
      <c r="E42" s="48" t="n">
        <f aca="false">C42/D42</f>
        <v>11.5217391304348</v>
      </c>
      <c r="F42" s="53" t="s">
        <v>1939</v>
      </c>
      <c r="G42" s="24" t="s">
        <v>3042</v>
      </c>
      <c r="H42" s="24" t="s">
        <v>3043</v>
      </c>
      <c r="I42" s="2"/>
      <c r="J42" s="2"/>
      <c r="K42" s="2"/>
      <c r="L42" s="2"/>
      <c r="M42" s="2"/>
      <c r="N42" s="2"/>
      <c r="O42" s="2"/>
      <c r="P42" s="2"/>
      <c r="Q42" s="2"/>
      <c r="R42" s="2"/>
      <c r="S42" s="2"/>
      <c r="T42" s="2"/>
    </row>
    <row r="43" customFormat="false" ht="15" hidden="false" customHeight="false" outlineLevel="0" collapsed="false">
      <c r="A43" s="2"/>
      <c r="B43" s="5" t="s">
        <v>3044</v>
      </c>
      <c r="C43" s="61" t="n">
        <f aca="false">Entrées!$C$479*1000</f>
        <v>7200</v>
      </c>
      <c r="D43" s="107" t="s">
        <v>2401</v>
      </c>
      <c r="E43" s="53" t="s">
        <v>1939</v>
      </c>
      <c r="F43" s="53" t="s">
        <v>1939</v>
      </c>
      <c r="G43" s="24" t="s">
        <v>3045</v>
      </c>
      <c r="H43" s="24" t="s">
        <v>1483</v>
      </c>
      <c r="I43" s="2"/>
      <c r="J43" s="2"/>
      <c r="K43" s="2"/>
      <c r="L43" s="2"/>
      <c r="M43" s="2"/>
      <c r="N43" s="2"/>
      <c r="O43" s="2"/>
      <c r="P43" s="2"/>
      <c r="Q43" s="2"/>
      <c r="R43" s="2"/>
      <c r="S43" s="2"/>
      <c r="T43" s="2"/>
    </row>
    <row r="44" customFormat="false" ht="15" hidden="false" customHeight="false" outlineLevel="0" collapsed="false">
      <c r="A44" s="2"/>
      <c r="B44" s="5" t="s">
        <v>3046</v>
      </c>
      <c r="C44" s="61" t="n">
        <f aca="false">Entrées!$C$530*1000</f>
        <v>2200</v>
      </c>
      <c r="D44" s="61" t="n">
        <f aca="false">Entrées!$C$532</f>
        <v>156</v>
      </c>
      <c r="E44" s="48" t="n">
        <f aca="false">C44/D44</f>
        <v>14.1025641025641</v>
      </c>
      <c r="F44" s="53" t="s">
        <v>1939</v>
      </c>
      <c r="G44" s="24" t="s">
        <v>3047</v>
      </c>
      <c r="H44" s="24" t="s">
        <v>3048</v>
      </c>
      <c r="I44" s="2"/>
      <c r="J44" s="2"/>
      <c r="K44" s="2"/>
      <c r="L44" s="2"/>
      <c r="M44" s="2"/>
      <c r="N44" s="2"/>
      <c r="O44" s="2"/>
      <c r="P44" s="2"/>
      <c r="Q44" s="2"/>
      <c r="R44" s="2"/>
      <c r="S44" s="2"/>
      <c r="T44" s="2"/>
    </row>
    <row r="45" customFormat="false" ht="15" hidden="false" customHeight="false" outlineLevel="0" collapsed="false">
      <c r="A45" s="2"/>
      <c r="B45" s="22" t="s">
        <v>3049</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3050</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3051</v>
      </c>
      <c r="C47" s="48" t="n">
        <f aca="false">MEDIAN(E40:E44)</f>
        <v>12.8121516164994</v>
      </c>
      <c r="D47" s="24" t="s">
        <v>133</v>
      </c>
      <c r="E47" s="24" t="s">
        <v>3052</v>
      </c>
      <c r="F47" s="2"/>
      <c r="G47" s="2"/>
      <c r="H47" s="2"/>
      <c r="I47" s="2"/>
      <c r="J47" s="2"/>
      <c r="K47" s="2"/>
      <c r="L47" s="2"/>
      <c r="M47" s="2"/>
      <c r="N47" s="2"/>
      <c r="O47" s="2"/>
      <c r="P47" s="2"/>
      <c r="Q47" s="2"/>
      <c r="R47" s="2"/>
      <c r="S47" s="2"/>
      <c r="T47" s="2"/>
    </row>
    <row r="48" customFormat="false" ht="15" hidden="false" customHeight="false" outlineLevel="0" collapsed="false">
      <c r="A48" s="2"/>
      <c r="B48" s="5" t="s">
        <v>3053</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3054</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3055</v>
      </c>
      <c r="C50" s="48" t="n">
        <f aca="false">Cibles!$C$19-Cibles!$C$46</f>
        <v>-2.40740740740741</v>
      </c>
      <c r="D50" s="24" t="s">
        <v>133</v>
      </c>
      <c r="E50" s="24" t="s">
        <v>3056</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2190</v>
      </c>
      <c r="B53" s="22" t="s">
        <v>3057</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3058</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3059</v>
      </c>
      <c r="C55" s="117" t="n">
        <f aca="false">Cibles!$C$47</f>
        <v>12.8121516164994</v>
      </c>
      <c r="D55" s="24" t="s">
        <v>133</v>
      </c>
      <c r="E55" s="24" t="s">
        <v>3060</v>
      </c>
      <c r="F55" s="2"/>
      <c r="G55" s="2"/>
      <c r="H55" s="2"/>
      <c r="I55" s="2"/>
      <c r="J55" s="2"/>
      <c r="K55" s="2"/>
      <c r="L55" s="2"/>
      <c r="M55" s="2"/>
      <c r="N55" s="2"/>
      <c r="O55" s="2"/>
      <c r="P55" s="2"/>
      <c r="Q55" s="2"/>
      <c r="R55" s="2"/>
      <c r="S55" s="2"/>
      <c r="T55" s="2"/>
    </row>
    <row r="56" customFormat="false" ht="15" hidden="false" customHeight="false" outlineLevel="0" collapsed="false">
      <c r="A56" s="2"/>
      <c r="B56" s="5" t="s">
        <v>3061</v>
      </c>
      <c r="C56" s="95" t="n">
        <f aca="false">Entrées!$C$620</f>
        <v>1.6058</v>
      </c>
      <c r="D56" s="24" t="s">
        <v>3062</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3063</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3064</v>
      </c>
      <c r="N59" s="119" t="n">
        <v>1</v>
      </c>
      <c r="O59" s="119" t="n">
        <v>1</v>
      </c>
      <c r="P59" s="119" t="n">
        <v>1</v>
      </c>
      <c r="Q59" s="119" t="n">
        <v>1</v>
      </c>
      <c r="R59" s="119" t="n">
        <v>1</v>
      </c>
      <c r="S59" s="2"/>
      <c r="T59" s="2"/>
    </row>
    <row r="60" customFormat="false" ht="35.05" hidden="false" customHeight="false" outlineLevel="0" collapsed="false">
      <c r="A60" s="21"/>
      <c r="B60" s="21" t="s">
        <v>3065</v>
      </c>
      <c r="C60" s="21" t="s">
        <v>2862</v>
      </c>
      <c r="D60" s="21" t="s">
        <v>3066</v>
      </c>
      <c r="E60" s="21" t="s">
        <v>3067</v>
      </c>
      <c r="F60" s="21" t="s">
        <v>3068</v>
      </c>
      <c r="G60" s="21" t="s">
        <v>93</v>
      </c>
      <c r="H60" s="21" t="s">
        <v>1926</v>
      </c>
      <c r="I60" s="21" t="s">
        <v>3069</v>
      </c>
      <c r="J60" s="21" t="s">
        <v>3070</v>
      </c>
      <c r="K60" s="21" t="s">
        <v>3071</v>
      </c>
      <c r="L60" s="21" t="s">
        <v>3072</v>
      </c>
      <c r="M60" s="21" t="s">
        <v>3073</v>
      </c>
      <c r="N60" s="21" t="s">
        <v>3074</v>
      </c>
      <c r="O60" s="21" t="s">
        <v>3075</v>
      </c>
      <c r="P60" s="21" t="s">
        <v>3076</v>
      </c>
      <c r="Q60" s="21" t="s">
        <v>3077</v>
      </c>
      <c r="R60" s="21" t="s">
        <v>3078</v>
      </c>
      <c r="S60" s="21" t="s">
        <v>3079</v>
      </c>
      <c r="T60" s="21" t="s">
        <v>1930</v>
      </c>
    </row>
    <row r="61" customFormat="false" ht="15" hidden="false" customHeight="false" outlineLevel="0" collapsed="false">
      <c r="A61" s="2"/>
      <c r="B61" s="120" t="s">
        <v>3080</v>
      </c>
      <c r="C61" s="120" t="s">
        <v>2364</v>
      </c>
      <c r="D61" s="120" t="s">
        <v>3081</v>
      </c>
      <c r="E61" s="120" t="s">
        <v>3082</v>
      </c>
      <c r="F61" s="61" t="n">
        <f aca="false">-Entrées!$C$81</f>
        <v>2778</v>
      </c>
      <c r="G61" s="24" t="s">
        <v>103</v>
      </c>
      <c r="H61" s="24" t="s">
        <v>3083</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3084</v>
      </c>
    </row>
    <row r="62" customFormat="false" ht="15" hidden="false" customHeight="false" outlineLevel="0" collapsed="false">
      <c r="A62" s="2"/>
      <c r="B62" s="5" t="s">
        <v>3085</v>
      </c>
      <c r="C62" s="5" t="s">
        <v>2364</v>
      </c>
      <c r="D62" s="5" t="s">
        <v>3086</v>
      </c>
      <c r="E62" s="5" t="s">
        <v>3087</v>
      </c>
      <c r="F62" s="121" t="n">
        <v>1.2</v>
      </c>
      <c r="G62" s="24" t="s">
        <v>269</v>
      </c>
      <c r="H62" s="24" t="s">
        <v>3088</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3089</v>
      </c>
    </row>
    <row r="63" customFormat="false" ht="15" hidden="false" customHeight="false" outlineLevel="0" collapsed="false">
      <c r="A63" s="2"/>
      <c r="B63" s="5" t="s">
        <v>3090</v>
      </c>
      <c r="C63" s="5" t="s">
        <v>2364</v>
      </c>
      <c r="D63" s="5" t="s">
        <v>3091</v>
      </c>
      <c r="E63" s="5" t="s">
        <v>3092</v>
      </c>
      <c r="F63" s="107" t="s">
        <v>3093</v>
      </c>
      <c r="G63" s="2"/>
      <c r="H63" s="2"/>
      <c r="I63" s="107" t="s">
        <v>2401</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3094</v>
      </c>
    </row>
    <row r="64" customFormat="false" ht="15" hidden="false" customHeight="false" outlineLevel="0" collapsed="false">
      <c r="A64" s="2"/>
      <c r="B64" s="5" t="s">
        <v>3095</v>
      </c>
      <c r="C64" s="5" t="s">
        <v>2364</v>
      </c>
      <c r="D64" s="5" t="s">
        <v>3096</v>
      </c>
      <c r="E64" s="5" t="s">
        <v>3097</v>
      </c>
      <c r="F64" s="121" t="n">
        <v>1.8</v>
      </c>
      <c r="G64" s="24" t="s">
        <v>269</v>
      </c>
      <c r="H64" s="24" t="s">
        <v>3088</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3098</v>
      </c>
    </row>
    <row r="65" customFormat="false" ht="15" hidden="false" customHeight="false" outlineLevel="0" collapsed="false">
      <c r="A65" s="2"/>
      <c r="B65" s="5" t="s">
        <v>3099</v>
      </c>
      <c r="C65" s="5" t="s">
        <v>3100</v>
      </c>
      <c r="D65" s="5" t="s">
        <v>3101</v>
      </c>
      <c r="E65" s="5" t="s">
        <v>3102</v>
      </c>
      <c r="F65" s="121" t="n">
        <v>8</v>
      </c>
      <c r="G65" s="24" t="s">
        <v>1899</v>
      </c>
      <c r="H65" s="24" t="s">
        <v>3103</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3104</v>
      </c>
    </row>
    <row r="66" customFormat="false" ht="15" hidden="false" customHeight="false" outlineLevel="0" collapsed="false">
      <c r="A66" s="2"/>
      <c r="B66" s="5" t="s">
        <v>3105</v>
      </c>
      <c r="C66" s="5" t="s">
        <v>3106</v>
      </c>
      <c r="D66" s="5" t="s">
        <v>3107</v>
      </c>
      <c r="E66" s="5" t="s">
        <v>3108</v>
      </c>
      <c r="F66" s="121" t="n">
        <v>800</v>
      </c>
      <c r="G66" s="24" t="s">
        <v>103</v>
      </c>
      <c r="H66" s="24" t="s">
        <v>3103</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3109</v>
      </c>
    </row>
    <row r="67" customFormat="false" ht="15" hidden="false" customHeight="false" outlineLevel="0" collapsed="false">
      <c r="A67" s="2"/>
      <c r="B67" s="5" t="s">
        <v>3110</v>
      </c>
      <c r="C67" s="5" t="s">
        <v>2364</v>
      </c>
      <c r="D67" s="5" t="s">
        <v>3111</v>
      </c>
      <c r="E67" s="5" t="s">
        <v>3112</v>
      </c>
      <c r="F67" s="107" t="s">
        <v>3093</v>
      </c>
      <c r="G67" s="2"/>
      <c r="H67" s="2"/>
      <c r="I67" s="107" t="s">
        <v>2401</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3113</v>
      </c>
    </row>
    <row r="68" customFormat="false" ht="15" hidden="false" customHeight="false" outlineLevel="0" collapsed="false">
      <c r="A68" s="2"/>
      <c r="B68" s="5" t="s">
        <v>3110</v>
      </c>
      <c r="C68" s="5" t="s">
        <v>3114</v>
      </c>
      <c r="D68" s="5" t="s">
        <v>3115</v>
      </c>
      <c r="E68" s="5" t="s">
        <v>3116</v>
      </c>
      <c r="F68" s="107" t="s">
        <v>3093</v>
      </c>
      <c r="G68" s="2"/>
      <c r="H68" s="2"/>
      <c r="I68" s="107" t="s">
        <v>2401</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3117</v>
      </c>
    </row>
    <row r="69" customFormat="false" ht="15" hidden="false" customHeight="false" outlineLevel="0" collapsed="false">
      <c r="A69" s="2"/>
      <c r="B69" s="2"/>
      <c r="C69" s="2"/>
      <c r="D69" s="2"/>
      <c r="E69" s="2"/>
      <c r="F69" s="2"/>
      <c r="G69" s="2"/>
      <c r="H69" s="2"/>
      <c r="I69" s="2"/>
      <c r="J69" s="2"/>
      <c r="K69" s="2"/>
      <c r="L69" s="2"/>
      <c r="M69" s="2"/>
      <c r="N69" s="2"/>
      <c r="O69" s="2"/>
      <c r="P69" s="2"/>
      <c r="Q69" s="2"/>
      <c r="R69" s="2"/>
      <c r="S69" s="2"/>
      <c r="T69" s="2"/>
    </row>
    <row r="70" customFormat="false" ht="15" hidden="false" customHeight="false" outlineLevel="0" collapsed="false">
      <c r="A70" s="2"/>
      <c r="B70" s="5" t="s">
        <v>3118</v>
      </c>
      <c r="C70" s="83" t="n">
        <f aca="false">COUNTA(B62:B68)</f>
        <v>7</v>
      </c>
      <c r="D70" s="24"/>
      <c r="E70" s="24" t="s">
        <v>3119</v>
      </c>
      <c r="F70" s="2"/>
      <c r="G70" s="2"/>
      <c r="H70" s="2"/>
      <c r="I70" s="2"/>
      <c r="J70" s="2"/>
      <c r="K70" s="2"/>
      <c r="L70" s="2"/>
      <c r="M70" s="2"/>
      <c r="N70" s="2"/>
      <c r="O70" s="2"/>
      <c r="P70" s="2"/>
      <c r="Q70" s="2"/>
      <c r="R70" s="2"/>
      <c r="S70" s="2"/>
      <c r="T70" s="2"/>
    </row>
    <row r="71" customFormat="false" ht="15" hidden="false" customHeight="false" outlineLevel="0" collapsed="false">
      <c r="A71" s="2"/>
      <c r="B71" s="5" t="s">
        <v>3120</v>
      </c>
      <c r="C71" s="83" t="n">
        <f aca="false">COUNT(I62:I68)</f>
        <v>4</v>
      </c>
      <c r="D71" s="24"/>
      <c r="E71" s="24"/>
      <c r="F71" s="2"/>
      <c r="G71" s="2"/>
      <c r="H71" s="2"/>
      <c r="I71" s="2"/>
      <c r="J71" s="2"/>
      <c r="K71" s="2"/>
      <c r="L71" s="2"/>
      <c r="M71" s="2"/>
      <c r="N71" s="2"/>
      <c r="O71" s="2"/>
      <c r="P71" s="2"/>
      <c r="Q71" s="2"/>
      <c r="R71" s="2"/>
      <c r="S71" s="2"/>
      <c r="T71" s="2"/>
    </row>
    <row r="72" customFormat="false" ht="15" hidden="false" customHeight="false" outlineLevel="0" collapsed="false">
      <c r="A72" s="2"/>
      <c r="B72" s="22" t="s">
        <v>3121</v>
      </c>
      <c r="C72" s="58" t="n">
        <f aca="false">COUNTIF(K62:K68,"oui")</f>
        <v>3</v>
      </c>
      <c r="D72" s="24"/>
      <c r="E72" s="24"/>
      <c r="F72" s="2"/>
      <c r="G72" s="2"/>
      <c r="H72" s="2"/>
      <c r="I72" s="2"/>
      <c r="J72" s="2"/>
      <c r="K72" s="2"/>
      <c r="L72" s="2"/>
      <c r="M72" s="2"/>
      <c r="N72" s="2"/>
      <c r="O72" s="2"/>
      <c r="P72" s="2"/>
      <c r="Q72" s="2"/>
      <c r="R72" s="2"/>
      <c r="S72" s="2"/>
      <c r="T72" s="2"/>
    </row>
    <row r="73" customFormat="false" ht="15" hidden="false" customHeight="false" outlineLevel="0" collapsed="false">
      <c r="A73" s="2"/>
      <c r="B73" s="5" t="s">
        <v>3122</v>
      </c>
      <c r="C73" s="125" t="n">
        <f aca="false">MAX(L62:L68)</f>
        <v>0.97</v>
      </c>
      <c r="D73" s="24"/>
      <c r="E73" s="24"/>
      <c r="F73" s="2"/>
      <c r="G73" s="2"/>
      <c r="H73" s="2"/>
      <c r="I73" s="2"/>
      <c r="J73" s="2"/>
      <c r="K73" s="2"/>
      <c r="L73" s="2"/>
      <c r="M73" s="2"/>
      <c r="N73" s="2"/>
      <c r="O73" s="2"/>
      <c r="P73" s="2"/>
      <c r="Q73" s="2"/>
      <c r="R73" s="2"/>
      <c r="S73" s="2"/>
      <c r="T73" s="2"/>
    </row>
    <row r="74" customFormat="false" ht="15" hidden="false" customHeight="false" outlineLevel="0" collapsed="false">
      <c r="A74" s="2"/>
      <c r="B74" s="5" t="s">
        <v>3123</v>
      </c>
      <c r="C74" s="64" t="n">
        <f aca="false">_xlfn.MAXIFS(I62:I68,K62:K68,"oui")</f>
        <v>1530.81298093008</v>
      </c>
      <c r="D74" s="24" t="s">
        <v>103</v>
      </c>
      <c r="E74" s="24"/>
      <c r="F74" s="2"/>
      <c r="G74" s="2"/>
      <c r="H74" s="2"/>
      <c r="I74" s="2"/>
      <c r="J74" s="2"/>
      <c r="K74" s="2"/>
      <c r="L74" s="2"/>
      <c r="M74" s="2"/>
      <c r="N74" s="2"/>
      <c r="O74" s="2"/>
      <c r="P74" s="2"/>
      <c r="Q74" s="2"/>
      <c r="R74" s="2"/>
      <c r="S74" s="2"/>
      <c r="T74" s="2"/>
    </row>
    <row r="75" customFormat="false" ht="30" hidden="false" customHeight="true" outlineLevel="0" collapsed="false">
      <c r="A75" s="2"/>
      <c r="B75" s="69" t="s">
        <v>3124</v>
      </c>
      <c r="C75" s="69"/>
      <c r="D75" s="69"/>
      <c r="E75" s="69"/>
      <c r="F75" s="69"/>
      <c r="G75" s="69"/>
      <c r="H75" s="69"/>
      <c r="I75" s="69"/>
      <c r="J75" s="69"/>
      <c r="K75" s="69"/>
      <c r="L75" s="69"/>
      <c r="M75" s="2"/>
      <c r="N75" s="2"/>
      <c r="O75" s="2"/>
      <c r="P75" s="2"/>
      <c r="Q75" s="2"/>
      <c r="R75" s="2"/>
      <c r="S75" s="2"/>
      <c r="T75" s="2"/>
    </row>
    <row r="76" customFormat="false" ht="15" hidden="false" customHeight="false" outlineLevel="0" collapsed="false">
      <c r="A76" s="2"/>
      <c r="B76" s="24" t="s">
        <v>3125</v>
      </c>
      <c r="C76" s="2"/>
      <c r="D76" s="2"/>
      <c r="E76" s="2"/>
      <c r="F76" s="2"/>
      <c r="G76" s="2"/>
      <c r="H76" s="2"/>
      <c r="I76" s="2"/>
      <c r="J76" s="2"/>
      <c r="K76" s="2"/>
      <c r="L76" s="2"/>
      <c r="M76" s="2"/>
      <c r="N76" s="2"/>
      <c r="O76" s="2"/>
      <c r="P76" s="2"/>
      <c r="Q76" s="2"/>
      <c r="R76" s="2"/>
      <c r="S76" s="2"/>
      <c r="T76" s="2"/>
    </row>
    <row r="77" customFormat="false" ht="15" hidden="false" customHeight="false" outlineLevel="0" collapsed="false">
      <c r="A77" s="2"/>
      <c r="B77" s="24" t="s">
        <v>3126</v>
      </c>
      <c r="C77" s="2"/>
      <c r="D77" s="2"/>
      <c r="E77" s="2"/>
      <c r="F77" s="2"/>
      <c r="G77" s="2"/>
      <c r="H77" s="2"/>
      <c r="I77" s="2"/>
      <c r="J77" s="2"/>
      <c r="K77" s="2"/>
      <c r="L77" s="2"/>
      <c r="M77" s="2"/>
      <c r="N77" s="2"/>
      <c r="O77" s="2"/>
      <c r="P77" s="2"/>
      <c r="Q77" s="2"/>
      <c r="R77" s="2"/>
      <c r="S77" s="2"/>
      <c r="T77" s="2"/>
    </row>
    <row r="78" customFormat="false" ht="15" hidden="false" customHeight="false" outlineLevel="0" collapsed="false">
      <c r="A78" s="2"/>
      <c r="B78" s="24" t="s">
        <v>3127</v>
      </c>
      <c r="C78" s="2"/>
      <c r="D78" s="2"/>
      <c r="E78" s="2"/>
      <c r="F78" s="2"/>
      <c r="G78" s="2"/>
      <c r="H78" s="2"/>
      <c r="I78" s="2"/>
      <c r="J78" s="2"/>
      <c r="K78" s="2"/>
      <c r="L78" s="2"/>
      <c r="M78" s="2"/>
      <c r="N78" s="2"/>
      <c r="O78" s="2"/>
      <c r="P78" s="2"/>
      <c r="Q78" s="2"/>
      <c r="R78" s="2"/>
      <c r="S78" s="2"/>
      <c r="T78" s="2"/>
    </row>
    <row r="79" customFormat="false" ht="15" hidden="false" customHeight="false" outlineLevel="0" collapsed="false">
      <c r="A79" s="2"/>
      <c r="B79" s="24" t="s">
        <v>3128</v>
      </c>
      <c r="C79" s="2"/>
      <c r="D79" s="2"/>
      <c r="E79" s="2"/>
      <c r="F79" s="2"/>
      <c r="G79" s="2"/>
      <c r="H79" s="2"/>
      <c r="I79" s="2"/>
      <c r="J79" s="2"/>
      <c r="K79" s="2"/>
      <c r="L79" s="2"/>
      <c r="M79" s="2"/>
      <c r="N79" s="2"/>
      <c r="O79" s="2"/>
      <c r="P79" s="2"/>
      <c r="Q79" s="2"/>
      <c r="R79" s="2"/>
      <c r="S79" s="2"/>
      <c r="T79" s="2"/>
    </row>
    <row r="80" customFormat="false" ht="15" hidden="false" customHeight="false" outlineLevel="0" collapsed="false">
      <c r="A80" s="2"/>
      <c r="B80" s="24" t="s">
        <v>3129</v>
      </c>
      <c r="C80" s="2"/>
      <c r="D80" s="2"/>
      <c r="E80" s="2"/>
      <c r="F80" s="2"/>
      <c r="G80" s="2"/>
      <c r="H80" s="2"/>
      <c r="I80" s="2"/>
      <c r="J80" s="2"/>
      <c r="K80" s="2"/>
      <c r="L80" s="2"/>
      <c r="M80" s="2"/>
      <c r="N80" s="2"/>
      <c r="O80" s="2"/>
      <c r="P80" s="2"/>
      <c r="Q80" s="2"/>
      <c r="R80" s="2"/>
      <c r="S80" s="2"/>
      <c r="T80" s="2"/>
    </row>
  </sheetData>
  <mergeCells count="4">
    <mergeCell ref="B22:F22"/>
    <mergeCell ref="B36:F36"/>
    <mergeCell ref="B51:H51"/>
    <mergeCell ref="B75:L7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3130</v>
      </c>
      <c r="B1" s="2"/>
      <c r="C1" s="2"/>
      <c r="D1" s="2"/>
      <c r="E1" s="2"/>
      <c r="F1" s="2"/>
      <c r="G1" s="2"/>
      <c r="H1" s="2"/>
      <c r="I1" s="2"/>
      <c r="J1" s="2"/>
      <c r="K1" s="2"/>
      <c r="L1" s="2"/>
      <c r="M1" s="2"/>
      <c r="N1" s="2"/>
    </row>
    <row r="2" customFormat="false" ht="15" hidden="false" customHeight="false" outlineLevel="0" collapsed="false">
      <c r="A2" s="3" t="s">
        <v>3131</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2012</v>
      </c>
      <c r="B4" s="22" t="s">
        <v>3132</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2011</v>
      </c>
      <c r="F5" s="2"/>
      <c r="G5" s="2"/>
      <c r="H5" s="2"/>
      <c r="I5" s="2"/>
      <c r="J5" s="2"/>
      <c r="K5" s="2"/>
      <c r="L5" s="2"/>
      <c r="M5" s="2"/>
      <c r="N5" s="2"/>
    </row>
    <row r="6" customFormat="false" ht="15" hidden="false" customHeight="false" outlineLevel="0" collapsed="false">
      <c r="A6" s="2"/>
      <c r="B6" s="22" t="s">
        <v>3133</v>
      </c>
      <c r="C6" s="56" t="n">
        <v>3000</v>
      </c>
      <c r="D6" s="24" t="s">
        <v>103</v>
      </c>
      <c r="E6" s="24" t="s">
        <v>3134</v>
      </c>
      <c r="F6" s="2"/>
      <c r="G6" s="2"/>
      <c r="H6" s="2"/>
      <c r="I6" s="2"/>
      <c r="J6" s="2"/>
      <c r="K6" s="2"/>
      <c r="L6" s="2"/>
      <c r="M6" s="2"/>
      <c r="N6" s="2"/>
    </row>
    <row r="7" customFormat="false" ht="15" hidden="false" customHeight="false" outlineLevel="0" collapsed="false">
      <c r="A7" s="2"/>
      <c r="B7" s="22" t="s">
        <v>2979</v>
      </c>
      <c r="C7" s="55" t="n">
        <f aca="false">Hypothèses!$J$21</f>
        <v>9.8</v>
      </c>
      <c r="D7" s="24" t="s">
        <v>133</v>
      </c>
      <c r="E7" s="24" t="s">
        <v>3135</v>
      </c>
      <c r="F7" s="2"/>
      <c r="G7" s="2"/>
      <c r="H7" s="2"/>
      <c r="I7" s="2"/>
      <c r="J7" s="2"/>
      <c r="K7" s="2"/>
      <c r="L7" s="2"/>
      <c r="M7" s="2"/>
      <c r="N7" s="2"/>
    </row>
    <row r="8" customFormat="false" ht="15" hidden="false" customHeight="false" outlineLevel="0" collapsed="false">
      <c r="A8" s="2"/>
      <c r="B8" s="5" t="s">
        <v>3136</v>
      </c>
      <c r="C8" s="64" t="n">
        <f aca="false">$C$6/$C$7</f>
        <v>306.122448979592</v>
      </c>
      <c r="D8" s="24" t="s">
        <v>103</v>
      </c>
      <c r="E8" s="24" t="s">
        <v>3137</v>
      </c>
      <c r="F8" s="2"/>
      <c r="G8" s="2"/>
      <c r="H8" s="2"/>
      <c r="I8" s="2"/>
      <c r="J8" s="2"/>
      <c r="K8" s="2"/>
      <c r="L8" s="2"/>
      <c r="M8" s="2"/>
      <c r="N8" s="2"/>
    </row>
    <row r="9" customFormat="false" ht="15" hidden="false" customHeight="false" outlineLevel="0" collapsed="false">
      <c r="A9" s="2"/>
      <c r="B9" s="5" t="s">
        <v>3138</v>
      </c>
      <c r="C9" s="61" t="n">
        <f aca="false">Trajectoire!$D$46</f>
        <v>1570.67466937297</v>
      </c>
      <c r="D9" s="24" t="s">
        <v>103</v>
      </c>
      <c r="E9" s="24" t="s">
        <v>2794</v>
      </c>
      <c r="F9" s="2"/>
      <c r="G9" s="2"/>
      <c r="H9" s="2"/>
      <c r="I9" s="2"/>
      <c r="J9" s="2"/>
      <c r="K9" s="2"/>
      <c r="L9" s="2"/>
      <c r="M9" s="2"/>
      <c r="N9" s="2"/>
    </row>
    <row r="10" customFormat="false" ht="15" hidden="false" customHeight="false" outlineLevel="0" collapsed="false">
      <c r="A10" s="2"/>
      <c r="B10" s="5" t="s">
        <v>3139</v>
      </c>
      <c r="C10" s="61" t="n">
        <f aca="false">Trajectoire!$D$57</f>
        <v>4333.42681779325</v>
      </c>
      <c r="D10" s="24" t="s">
        <v>103</v>
      </c>
      <c r="E10" s="24" t="s">
        <v>2794</v>
      </c>
      <c r="F10" s="2"/>
      <c r="G10" s="2"/>
      <c r="H10" s="2"/>
      <c r="I10" s="2"/>
      <c r="J10" s="2"/>
      <c r="K10" s="2"/>
      <c r="L10" s="2"/>
      <c r="M10" s="2"/>
      <c r="N10" s="2"/>
    </row>
    <row r="11" customFormat="false" ht="15" hidden="false" customHeight="false" outlineLevel="0" collapsed="false">
      <c r="A11" s="2"/>
      <c r="B11" s="22" t="s">
        <v>3140</v>
      </c>
      <c r="C11" s="45" t="n">
        <f aca="false">Financement!$C$9-$C$6+Hypothèses!$J$26*Financement!$C$8</f>
        <v>-510.957983688259</v>
      </c>
      <c r="D11" s="24" t="s">
        <v>103</v>
      </c>
      <c r="E11" s="24" t="s">
        <v>3141</v>
      </c>
      <c r="F11" s="2"/>
      <c r="G11" s="2"/>
      <c r="H11" s="2"/>
      <c r="I11" s="2"/>
      <c r="J11" s="2"/>
      <c r="K11" s="2"/>
      <c r="L11" s="2"/>
      <c r="M11" s="2"/>
      <c r="N11" s="2"/>
    </row>
    <row r="12" customFormat="false" ht="15" hidden="false" customHeight="false" outlineLevel="0" collapsed="false">
      <c r="A12" s="2"/>
      <c r="B12" s="22" t="s">
        <v>3142</v>
      </c>
      <c r="C12" s="45" t="n">
        <f aca="false">Financement!$C$10-$C$6+Hypothèses!$J$16*Financement!$C$8/(Entrées!$C$151/100)</f>
        <v>2578.18003823036</v>
      </c>
      <c r="D12" s="24" t="s">
        <v>103</v>
      </c>
      <c r="E12" s="24" t="s">
        <v>3143</v>
      </c>
      <c r="F12" s="2"/>
      <c r="G12" s="2"/>
      <c r="H12" s="2"/>
      <c r="I12" s="2"/>
      <c r="J12" s="2"/>
      <c r="K12" s="2"/>
      <c r="L12" s="2"/>
      <c r="M12" s="2"/>
      <c r="N12" s="2"/>
    </row>
    <row r="13" customFormat="false" ht="15" hidden="false" customHeight="false" outlineLevel="0" collapsed="false">
      <c r="A13" s="2"/>
      <c r="B13" s="22" t="s">
        <v>3144</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3145</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2025</v>
      </c>
      <c r="B16" s="22" t="s">
        <v>3146</v>
      </c>
      <c r="C16" s="2"/>
      <c r="D16" s="2"/>
      <c r="E16" s="2"/>
      <c r="F16" s="2"/>
      <c r="G16" s="2"/>
      <c r="H16" s="2"/>
      <c r="I16" s="2"/>
      <c r="J16" s="2"/>
      <c r="K16" s="2"/>
      <c r="L16" s="2"/>
      <c r="M16" s="2"/>
      <c r="N16" s="2"/>
    </row>
    <row r="17" customFormat="false" ht="15" hidden="false" customHeight="false" outlineLevel="0" collapsed="false">
      <c r="A17" s="21"/>
      <c r="B17" s="21" t="s">
        <v>3147</v>
      </c>
      <c r="C17" s="21" t="s">
        <v>3148</v>
      </c>
      <c r="D17" s="21" t="s">
        <v>3149</v>
      </c>
      <c r="E17" s="21" t="s">
        <v>3150</v>
      </c>
      <c r="F17" s="21" t="s">
        <v>3151</v>
      </c>
      <c r="G17" s="21" t="s">
        <v>3152</v>
      </c>
      <c r="H17" s="21" t="s">
        <v>3153</v>
      </c>
      <c r="I17" s="2"/>
      <c r="J17" s="2"/>
      <c r="K17" s="2"/>
      <c r="L17" s="2"/>
      <c r="M17" s="2"/>
      <c r="N17" s="2"/>
    </row>
    <row r="18" customFormat="false" ht="30" hidden="false" customHeight="true" outlineLevel="0" collapsed="false">
      <c r="A18" s="24" t="s">
        <v>3154</v>
      </c>
      <c r="B18" s="38" t="s">
        <v>3155</v>
      </c>
      <c r="C18" s="126" t="n">
        <f aca="false">1</f>
        <v>1</v>
      </c>
      <c r="D18" s="126" t="n">
        <f aca="false">1-Hypothèses!$J$27</f>
        <v>0.5</v>
      </c>
      <c r="E18" s="45" t="n">
        <f aca="false">IF(OR(C18&lt;=0,D18&lt;=0),"sans effet",MAX(Financement!$C$13/C18,Financement!$C$14/D18))</f>
        <v>510.957983688259</v>
      </c>
      <c r="F18" s="64" t="n">
        <f aca="false">E18*Entrées!$C$579/100</f>
        <v>22.0836040550066</v>
      </c>
      <c r="G18" s="24" t="s">
        <v>3156</v>
      </c>
      <c r="H18" s="127" t="s">
        <v>3157</v>
      </c>
      <c r="I18" s="2"/>
      <c r="J18" s="2"/>
      <c r="K18" s="2"/>
      <c r="L18" s="2"/>
      <c r="M18" s="2"/>
      <c r="N18" s="2"/>
    </row>
    <row r="19" customFormat="false" ht="30" hidden="false" customHeight="true" outlineLevel="0" collapsed="false">
      <c r="A19" s="24" t="s">
        <v>3158</v>
      </c>
      <c r="B19" s="38" t="s">
        <v>3159</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3160</v>
      </c>
      <c r="H19" s="127" t="s">
        <v>3161</v>
      </c>
      <c r="I19" s="2"/>
      <c r="J19" s="2"/>
      <c r="K19" s="2"/>
      <c r="L19" s="2"/>
      <c r="M19" s="2"/>
      <c r="N19" s="2"/>
    </row>
    <row r="20" customFormat="false" ht="30" hidden="false" customHeight="true" outlineLevel="0" collapsed="false">
      <c r="A20" s="24" t="s">
        <v>3162</v>
      </c>
      <c r="B20" s="38" t="s">
        <v>3163</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3164</v>
      </c>
      <c r="H20" s="127" t="s">
        <v>3165</v>
      </c>
      <c r="I20" s="2"/>
      <c r="J20" s="2"/>
      <c r="K20" s="2"/>
      <c r="L20" s="2"/>
      <c r="M20" s="2"/>
      <c r="N20" s="2"/>
    </row>
    <row r="21" customFormat="false" ht="30" hidden="false" customHeight="true" outlineLevel="0" collapsed="false">
      <c r="A21" s="24" t="s">
        <v>3166</v>
      </c>
      <c r="B21" s="38" t="s">
        <v>3167</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3164</v>
      </c>
      <c r="H21" s="127" t="s">
        <v>3168</v>
      </c>
      <c r="I21" s="2"/>
      <c r="J21" s="2"/>
      <c r="K21" s="2"/>
      <c r="L21" s="2"/>
      <c r="M21" s="2"/>
      <c r="N21" s="2"/>
    </row>
    <row r="22" customFormat="false" ht="30" hidden="false" customHeight="true" outlineLevel="0" collapsed="false">
      <c r="A22" s="24" t="s">
        <v>3169</v>
      </c>
      <c r="B22" s="38" t="s">
        <v>3170</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3171</v>
      </c>
      <c r="H22" s="127" t="s">
        <v>3172</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2190</v>
      </c>
      <c r="B24" s="22" t="s">
        <v>3173</v>
      </c>
      <c r="C24" s="2"/>
      <c r="D24" s="2"/>
      <c r="E24" s="2"/>
      <c r="F24" s="2"/>
      <c r="G24" s="2"/>
      <c r="H24" s="2"/>
      <c r="I24" s="2"/>
      <c r="J24" s="2"/>
      <c r="K24" s="2"/>
      <c r="L24" s="2"/>
      <c r="M24" s="2"/>
      <c r="N24" s="2"/>
    </row>
    <row r="25" customFormat="false" ht="23.85" hidden="false" customHeight="false" outlineLevel="0" collapsed="false">
      <c r="A25" s="21"/>
      <c r="B25" s="21" t="s">
        <v>3147</v>
      </c>
      <c r="C25" s="21" t="s">
        <v>3174</v>
      </c>
      <c r="D25" s="21" t="s">
        <v>3175</v>
      </c>
      <c r="E25" s="21" t="s">
        <v>3176</v>
      </c>
      <c r="F25" s="21" t="s">
        <v>3151</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3177</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3178</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3179</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2339</v>
      </c>
      <c r="B37" s="22" t="s">
        <v>3180</v>
      </c>
      <c r="C37" s="2"/>
      <c r="D37" s="2"/>
      <c r="E37" s="2"/>
      <c r="F37" s="2"/>
      <c r="G37" s="2"/>
      <c r="H37" s="2"/>
      <c r="I37" s="2"/>
      <c r="J37" s="2"/>
      <c r="K37" s="2"/>
      <c r="L37" s="2"/>
      <c r="M37" s="2"/>
      <c r="N37" s="2"/>
    </row>
    <row r="38" customFormat="false" ht="30" hidden="false" customHeight="true" outlineLevel="0" collapsed="false">
      <c r="A38" s="2"/>
      <c r="B38" s="69" t="s">
        <v>3181</v>
      </c>
      <c r="C38" s="69"/>
      <c r="D38" s="69"/>
      <c r="E38" s="69"/>
      <c r="F38" s="69"/>
      <c r="G38" s="69"/>
      <c r="H38" s="69"/>
      <c r="I38" s="2"/>
      <c r="J38" s="2"/>
      <c r="K38" s="2"/>
      <c r="L38" s="2"/>
      <c r="M38" s="2"/>
      <c r="N38" s="2"/>
    </row>
    <row r="39" customFormat="false" ht="15" hidden="false" customHeight="false" outlineLevel="0" collapsed="false">
      <c r="A39" s="2"/>
      <c r="B39" s="5" t="s">
        <v>3182</v>
      </c>
      <c r="C39" s="128" t="n">
        <v>3.1</v>
      </c>
      <c r="D39" s="2"/>
      <c r="E39" s="2"/>
      <c r="F39" s="2"/>
      <c r="G39" s="2"/>
      <c r="H39" s="2"/>
      <c r="I39" s="2"/>
      <c r="J39" s="2"/>
      <c r="K39" s="2"/>
      <c r="L39" s="2"/>
      <c r="M39" s="2"/>
      <c r="N39" s="2"/>
    </row>
    <row r="40" customFormat="false" ht="23.85" hidden="false" customHeight="false" outlineLevel="0" collapsed="false">
      <c r="A40" s="21"/>
      <c r="B40" s="21" t="s">
        <v>1925</v>
      </c>
      <c r="C40" s="21" t="s">
        <v>1926</v>
      </c>
      <c r="D40" s="21" t="s">
        <v>3183</v>
      </c>
      <c r="E40" s="21" t="s">
        <v>3184</v>
      </c>
      <c r="F40" s="21" t="s">
        <v>3185</v>
      </c>
      <c r="G40" s="21" t="s">
        <v>3186</v>
      </c>
      <c r="H40" s="21"/>
      <c r="I40" s="21" t="s">
        <v>1930</v>
      </c>
      <c r="J40" s="2"/>
      <c r="K40" s="129" t="s">
        <v>3187</v>
      </c>
      <c r="L40" s="129" t="s">
        <v>3188</v>
      </c>
      <c r="M40" s="129" t="s">
        <v>3189</v>
      </c>
      <c r="N40" s="129" t="s">
        <v>3190</v>
      </c>
    </row>
    <row r="41" customFormat="false" ht="15" hidden="false" customHeight="false" outlineLevel="0" collapsed="false">
      <c r="A41" s="24" t="s">
        <v>1932</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1936</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1940</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1943</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1946</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1950</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1954</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1957</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1960</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1963</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3191</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1966</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1970</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1984</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3191</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3192</v>
      </c>
      <c r="C54" s="69"/>
      <c r="D54" s="69"/>
      <c r="E54" s="69"/>
      <c r="F54" s="69"/>
      <c r="G54" s="69"/>
      <c r="H54" s="69"/>
      <c r="I54" s="2"/>
      <c r="J54" s="2"/>
      <c r="K54" s="2"/>
      <c r="L54" s="2"/>
      <c r="M54" s="2"/>
      <c r="N54" s="2"/>
    </row>
    <row r="55" customFormat="false" ht="15" hidden="false" customHeight="false" outlineLevel="0" collapsed="false">
      <c r="A55" s="2"/>
      <c r="B55" s="22" t="s">
        <v>3193</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3194</v>
      </c>
      <c r="B1" s="2"/>
      <c r="C1" s="2"/>
      <c r="D1" s="2"/>
      <c r="E1" s="2"/>
      <c r="F1" s="2"/>
      <c r="G1" s="2"/>
    </row>
    <row r="2" customFormat="false" ht="15" hidden="false" customHeight="false" outlineLevel="0" collapsed="false">
      <c r="A2" s="3" t="s">
        <v>3195</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3196</v>
      </c>
      <c r="B4" s="21" t="s">
        <v>3197</v>
      </c>
      <c r="C4" s="21" t="s">
        <v>3198</v>
      </c>
      <c r="D4" s="21" t="s">
        <v>3199</v>
      </c>
      <c r="E4" s="21" t="s">
        <v>3200</v>
      </c>
      <c r="F4" s="21" t="s">
        <v>3201</v>
      </c>
      <c r="G4" s="21" t="s">
        <v>3202</v>
      </c>
    </row>
    <row r="5" customFormat="false" ht="27.75" hidden="false" customHeight="true" outlineLevel="0" collapsed="false">
      <c r="A5" s="25" t="n">
        <v>1</v>
      </c>
      <c r="B5" s="38" t="s">
        <v>3203</v>
      </c>
      <c r="C5" s="63" t="n">
        <f aca="false">Levier!$C$8</f>
        <v>2.62507365939894</v>
      </c>
      <c r="D5" s="63" t="n">
        <f aca="false">Levier!$C$9</f>
        <v>2.63</v>
      </c>
      <c r="E5" s="132" t="n">
        <v>0.006</v>
      </c>
      <c r="F5" s="111" t="str">
        <f aca="false">IF(ABS(C5-D5)&lt;=E5,"OK","ÉCART")</f>
        <v>OK</v>
      </c>
      <c r="G5" s="24" t="s">
        <v>3204</v>
      </c>
    </row>
    <row r="6" customFormat="false" ht="27.75" hidden="false" customHeight="true" outlineLevel="0" collapsed="false">
      <c r="A6" s="25" t="n">
        <v>2</v>
      </c>
      <c r="B6" s="38" t="s">
        <v>3205</v>
      </c>
      <c r="C6" s="63" t="n">
        <f aca="false">Levier!$C$12</f>
        <v>2.78822695035461</v>
      </c>
      <c r="D6" s="63" t="n">
        <f aca="false">Levier!$C$13</f>
        <v>2.79</v>
      </c>
      <c r="E6" s="132" t="n">
        <v>0.006</v>
      </c>
      <c r="F6" s="111" t="str">
        <f aca="false">IF(ABS(C6-D6)&lt;=E6,"OK","ÉCART")</f>
        <v>OK</v>
      </c>
      <c r="G6" s="24" t="s">
        <v>3204</v>
      </c>
    </row>
    <row r="7" customFormat="false" ht="27.75" hidden="false" customHeight="true" outlineLevel="0" collapsed="false">
      <c r="A7" s="25" t="n">
        <v>3</v>
      </c>
      <c r="B7" s="38" t="s">
        <v>3206</v>
      </c>
      <c r="C7" s="61" t="n">
        <f aca="false">'Pont de dette'!$C$16</f>
        <v>24547</v>
      </c>
      <c r="D7" s="61" t="n">
        <f aca="false">'Pont de dette'!$C$17</f>
        <v>24548</v>
      </c>
      <c r="E7" s="82" t="n">
        <v>2</v>
      </c>
      <c r="F7" s="111" t="str">
        <f aca="false">IF(ABS(C7-D7)&lt;=E7,"OK","ÉCART")</f>
        <v>OK</v>
      </c>
      <c r="G7" s="24" t="s">
        <v>3204</v>
      </c>
    </row>
    <row r="8" customFormat="false" ht="27.75" hidden="false" customHeight="true" outlineLevel="0" collapsed="false">
      <c r="A8" s="25" t="n">
        <v>4</v>
      </c>
      <c r="B8" s="38" t="s">
        <v>3207</v>
      </c>
      <c r="C8" s="78" t="n">
        <f aca="false">Cessions!$C$9</f>
        <v>3.1</v>
      </c>
      <c r="D8" s="78" t="n">
        <f aca="false">Cessions!$C$10</f>
        <v>3.1</v>
      </c>
      <c r="E8" s="133" t="n">
        <v>0.001</v>
      </c>
      <c r="F8" s="111" t="str">
        <f aca="false">IF(ABS(C8-D8)&lt;=E8,"OK","ÉCART")</f>
        <v>OK</v>
      </c>
      <c r="G8" s="24" t="s">
        <v>3204</v>
      </c>
    </row>
    <row r="9" customFormat="false" ht="27.75" hidden="false" customHeight="true" outlineLevel="0" collapsed="false">
      <c r="A9" s="25" t="n">
        <v>5</v>
      </c>
      <c r="B9" s="38" t="s">
        <v>3208</v>
      </c>
      <c r="C9" s="61" t="n">
        <f aca="false">ESG!$C$14</f>
        <v>1214</v>
      </c>
      <c r="D9" s="61" t="n">
        <f aca="false">Entrées!$C$105</f>
        <v>1214</v>
      </c>
      <c r="E9" s="82" t="n">
        <v>0.5</v>
      </c>
      <c r="F9" s="111" t="str">
        <f aca="false">IF(ABS(C9-D9)&lt;=E9,"OK","ÉCART")</f>
        <v>OK</v>
      </c>
      <c r="G9" s="24" t="s">
        <v>3204</v>
      </c>
    </row>
    <row r="10" customFormat="false" ht="27.75" hidden="false" customHeight="true" outlineLevel="0" collapsed="false">
      <c r="A10" s="25" t="n">
        <v>6</v>
      </c>
      <c r="B10" s="38" t="s">
        <v>3209</v>
      </c>
      <c r="C10" s="64" t="n">
        <f aca="false">Entrées!$C$32*Entrées!$C$91/1000000</f>
        <v>1097.5460085</v>
      </c>
      <c r="D10" s="61" t="n">
        <f aca="false">Entrées!$C$79</f>
        <v>1099</v>
      </c>
      <c r="E10" s="82" t="n">
        <v>15</v>
      </c>
      <c r="F10" s="111" t="str">
        <f aca="false">IF(ABS(C10-D10)&lt;=E10,"OK","ÉCART")</f>
        <v>OK</v>
      </c>
      <c r="G10" s="24" t="s">
        <v>3204</v>
      </c>
    </row>
    <row r="11" customFormat="false" ht="27.75" hidden="false" customHeight="true" outlineLevel="0" collapsed="false">
      <c r="A11" s="25" t="n">
        <v>7</v>
      </c>
      <c r="B11" s="38" t="s">
        <v>3210</v>
      </c>
      <c r="C11" s="63" t="n">
        <f aca="false">Trajectoire!$D$33</f>
        <v>3.01771731406222</v>
      </c>
      <c r="D11" s="132" t="n">
        <v>3.075</v>
      </c>
      <c r="E11" s="132" t="n">
        <v>0.075</v>
      </c>
      <c r="F11" s="111" t="str">
        <f aca="false">IF(ABS(C11-D11)&lt;=E11,"OK","ÉCART")</f>
        <v>OK</v>
      </c>
      <c r="G11" s="24" t="s">
        <v>3204</v>
      </c>
    </row>
    <row r="12" customFormat="false" ht="27.75" hidden="false" customHeight="true" outlineLevel="0" collapsed="false">
      <c r="A12" s="25" t="n">
        <v>8</v>
      </c>
      <c r="B12" s="38" t="s">
        <v>3211</v>
      </c>
      <c r="C12" s="95" t="n">
        <f aca="false">Hypothèses!$J$19</f>
        <v>1.17584579071597</v>
      </c>
      <c r="D12" s="134" t="n">
        <v>1.175</v>
      </c>
      <c r="E12" s="134" t="n">
        <v>0.125</v>
      </c>
      <c r="F12" s="111" t="str">
        <f aca="false">IF(ABS(C12-D12)&lt;=E12,"OK","ÉCART")</f>
        <v>OK</v>
      </c>
      <c r="G12" s="24" t="s">
        <v>3204</v>
      </c>
    </row>
    <row r="13" customFormat="false" ht="27.75" hidden="false" customHeight="true" outlineLevel="0" collapsed="false">
      <c r="A13" s="25" t="n">
        <v>9</v>
      </c>
      <c r="B13" s="38" t="s">
        <v>3212</v>
      </c>
      <c r="C13" s="78" t="n">
        <f aca="false">Cessions!$C$16</f>
        <v>0.5</v>
      </c>
      <c r="D13" s="78" t="n">
        <f aca="false">Cessions!$C$17</f>
        <v>0.5</v>
      </c>
      <c r="E13" s="133" t="n">
        <v>0.001</v>
      </c>
      <c r="F13" s="111" t="str">
        <f aca="false">IF(ABS(C13-D13)&lt;=E13,"OK","ÉCART")</f>
        <v>OK</v>
      </c>
      <c r="G13" s="24" t="s">
        <v>3204</v>
      </c>
    </row>
    <row r="14" customFormat="false" ht="27.75" hidden="false" customHeight="true" outlineLevel="0" collapsed="false">
      <c r="A14" s="25" t="n">
        <v>10</v>
      </c>
      <c r="B14" s="38" t="s">
        <v>3213</v>
      </c>
      <c r="C14" s="64" t="n">
        <f aca="false">-Entrées!$C$124*1000</f>
        <v>400</v>
      </c>
      <c r="D14" s="61" t="n">
        <f aca="false">Entrées!$C$126</f>
        <v>397</v>
      </c>
      <c r="E14" s="82" t="n">
        <v>60</v>
      </c>
      <c r="F14" s="111" t="str">
        <f aca="false">IF(ABS(C14-D14)&lt;=E14,"OK","ÉCART")</f>
        <v>OK</v>
      </c>
      <c r="G14" s="24" t="s">
        <v>3204</v>
      </c>
    </row>
    <row r="15" customFormat="false" ht="27.75" hidden="false" customHeight="true" outlineLevel="0" collapsed="false">
      <c r="A15" s="25" t="n">
        <v>11</v>
      </c>
      <c r="B15" s="38" t="s">
        <v>3214</v>
      </c>
      <c r="C15" s="61" t="n">
        <f aca="false">Levier!$C$30</f>
        <v>24000</v>
      </c>
      <c r="D15" s="82" t="n">
        <v>24000</v>
      </c>
      <c r="E15" s="82" t="n">
        <v>1</v>
      </c>
      <c r="F15" s="111" t="str">
        <f aca="false">IF(ABS(C15-D15)&lt;=E15,"OK","ÉCART")</f>
        <v>OK</v>
      </c>
      <c r="G15" s="24" t="s">
        <v>3204</v>
      </c>
    </row>
    <row r="16" customFormat="false" ht="27.75" hidden="false" customHeight="true" outlineLevel="0" collapsed="false">
      <c r="A16" s="25" t="n">
        <v>12</v>
      </c>
      <c r="B16" s="38" t="s">
        <v>3215</v>
      </c>
      <c r="C16" s="72" t="n">
        <f aca="false">Trajectoire!$D$52</f>
        <v>0.193486847370753</v>
      </c>
      <c r="D16" s="72" t="n">
        <f aca="false">Entrées!$C$232/100</f>
        <v>0.185</v>
      </c>
      <c r="E16" s="135" t="n">
        <v>0.02</v>
      </c>
      <c r="F16" s="111" t="str">
        <f aca="false">IF(ABS(C16-D16)&lt;=E16,"OK","ÉCART")</f>
        <v>OK</v>
      </c>
      <c r="G16" s="24" t="s">
        <v>3204</v>
      </c>
    </row>
    <row r="17" customFormat="false" ht="27.75" hidden="false" customHeight="true" outlineLevel="0" collapsed="false">
      <c r="A17" s="25" t="n">
        <v>13</v>
      </c>
      <c r="B17" s="38" t="s">
        <v>3216</v>
      </c>
      <c r="C17" s="72" t="n">
        <f aca="false">Trajectoire!$D$56</f>
        <v>0.207738254508974</v>
      </c>
      <c r="D17" s="72" t="n">
        <f aca="false">Entrées!$C$233/100</f>
        <v>0.195</v>
      </c>
      <c r="E17" s="135" t="n">
        <v>0.025</v>
      </c>
      <c r="F17" s="111" t="str">
        <f aca="false">IF(ABS(C17-D17)&lt;=E17,"OK","ÉCART")</f>
        <v>OK</v>
      </c>
      <c r="G17" s="24" t="s">
        <v>3204</v>
      </c>
    </row>
    <row r="18" customFormat="false" ht="27.75" hidden="false" customHeight="true" outlineLevel="0" collapsed="false">
      <c r="A18" s="25" t="n">
        <v>14</v>
      </c>
      <c r="B18" s="38" t="s">
        <v>3217</v>
      </c>
      <c r="C18" s="61" t="n">
        <f aca="false">Levier!$C$51</f>
        <v>29518</v>
      </c>
      <c r="D18" s="61" t="n">
        <f aca="false">Entrées!$C$259</f>
        <v>29518</v>
      </c>
      <c r="E18" s="82" t="n">
        <v>1</v>
      </c>
      <c r="F18" s="111" t="str">
        <f aca="false">IF(ABS(C18-D18)&lt;=E18,"OK","ÉCART")</f>
        <v>OK</v>
      </c>
      <c r="G18" s="24" t="s">
        <v>3204</v>
      </c>
    </row>
    <row r="19" customFormat="false" ht="27.75" hidden="false" customHeight="true" outlineLevel="0" collapsed="false">
      <c r="A19" s="25" t="n">
        <v>15</v>
      </c>
      <c r="B19" s="38" t="s">
        <v>3218</v>
      </c>
      <c r="C19" s="61" t="n">
        <f aca="false">Levier!$C$56</f>
        <v>34879</v>
      </c>
      <c r="D19" s="61" t="n">
        <f aca="false">Levier!$C$57</f>
        <v>34879</v>
      </c>
      <c r="E19" s="82" t="n">
        <v>1</v>
      </c>
      <c r="F19" s="111" t="str">
        <f aca="false">IF(ABS(C19-D19)&lt;=E19,"OK","ÉCART")</f>
        <v>OK</v>
      </c>
      <c r="G19" s="24" t="s">
        <v>3204</v>
      </c>
    </row>
    <row r="20" customFormat="false" ht="27.75" hidden="false" customHeight="true" outlineLevel="0" collapsed="false">
      <c r="A20" s="25" t="n">
        <v>16</v>
      </c>
      <c r="B20" s="38" t="s">
        <v>3219</v>
      </c>
      <c r="C20" s="61" t="n">
        <f aca="false">Levier!$C$59</f>
        <v>25404</v>
      </c>
      <c r="D20" s="61" t="n">
        <f aca="false">Levier!$C$60</f>
        <v>25404</v>
      </c>
      <c r="E20" s="82" t="n">
        <v>1</v>
      </c>
      <c r="F20" s="111" t="str">
        <f aca="false">IF(ABS(C20-D20)&lt;=E20,"OK","ÉCART")</f>
        <v>OK</v>
      </c>
      <c r="G20" s="24" t="s">
        <v>3204</v>
      </c>
    </row>
    <row r="21" customFormat="false" ht="27.75" hidden="false" customHeight="true" outlineLevel="0" collapsed="false">
      <c r="A21" s="25" t="n">
        <v>17</v>
      </c>
      <c r="B21" s="38" t="s">
        <v>3220</v>
      </c>
      <c r="C21" s="61" t="n">
        <f aca="false">Levier!$C$44</f>
        <v>5156.2</v>
      </c>
      <c r="D21" s="61" t="n">
        <f aca="false">Levier!$C$67</f>
        <v>5160</v>
      </c>
      <c r="E21" s="82" t="n">
        <v>60</v>
      </c>
      <c r="F21" s="111" t="str">
        <f aca="false">IF(ABS(C21-D21)&lt;=E21,"OK","ÉCART")</f>
        <v>OK</v>
      </c>
      <c r="G21" s="24" t="s">
        <v>3204</v>
      </c>
    </row>
    <row r="22" customFormat="false" ht="27.75" hidden="false" customHeight="true" outlineLevel="0" collapsed="false">
      <c r="A22" s="25" t="n">
        <v>18</v>
      </c>
      <c r="B22" s="38" t="s">
        <v>3221</v>
      </c>
      <c r="C22" s="61" t="n">
        <f aca="false">Levier!$C$61</f>
        <v>19821</v>
      </c>
      <c r="D22" s="61" t="n">
        <f aca="false">Entrées!$C$13</f>
        <v>19657</v>
      </c>
      <c r="E22" s="53" t="s">
        <v>1939</v>
      </c>
      <c r="F22" s="111" t="s">
        <v>3222</v>
      </c>
      <c r="G22" s="24" t="s">
        <v>3223</v>
      </c>
    </row>
    <row r="23" customFormat="false" ht="27.75" hidden="false" customHeight="true" outlineLevel="0" collapsed="false">
      <c r="A23" s="25" t="n">
        <v>19</v>
      </c>
      <c r="B23" s="38" t="s">
        <v>3224</v>
      </c>
      <c r="C23" s="72" t="n">
        <f aca="false">Segments!$G$16</f>
        <v>0.126449852171935</v>
      </c>
      <c r="D23" s="72" t="n">
        <f aca="false">Segments!$G$19</f>
        <v>0.126</v>
      </c>
      <c r="E23" s="135" t="n">
        <v>0.002</v>
      </c>
      <c r="F23" s="111" t="str">
        <f aca="false">IF(ABS(C23-D23)&lt;=E23,"OK","ÉCART")</f>
        <v>OK</v>
      </c>
      <c r="G23" s="24" t="s">
        <v>3204</v>
      </c>
    </row>
    <row r="24" customFormat="false" ht="27.75" hidden="false" customHeight="true" outlineLevel="0" collapsed="false">
      <c r="A24" s="25" t="n">
        <v>20</v>
      </c>
      <c r="B24" s="38" t="s">
        <v>3225</v>
      </c>
      <c r="C24" s="72" t="n">
        <f aca="false">Entrées!$C$213/1000/Entrées!$C$212</f>
        <v>0.193993997479605</v>
      </c>
      <c r="D24" s="72" t="n">
        <f aca="false">Booster!$G$39</f>
        <v>0.194</v>
      </c>
      <c r="E24" s="135" t="n">
        <v>0.002</v>
      </c>
      <c r="F24" s="111" t="str">
        <f aca="false">IF(ABS(C24-D24)&lt;=E24,"OK","ÉCART")</f>
        <v>OK</v>
      </c>
      <c r="G24" s="24" t="s">
        <v>3204</v>
      </c>
    </row>
    <row r="25" customFormat="false" ht="27.75" hidden="false" customHeight="true" outlineLevel="0" collapsed="false">
      <c r="A25" s="25" t="n">
        <v>21</v>
      </c>
      <c r="B25" s="38" t="s">
        <v>3226</v>
      </c>
      <c r="C25" s="61" t="n">
        <f aca="false">Segments!$F$12</f>
        <v>139</v>
      </c>
      <c r="D25" s="82" t="n">
        <v>139</v>
      </c>
      <c r="E25" s="82" t="n">
        <v>60</v>
      </c>
      <c r="F25" s="111" t="str">
        <f aca="false">IF(ABS(C25-D25)&lt;=E25,"OK","ÉCART")</f>
        <v>OK</v>
      </c>
      <c r="G25" s="24" t="s">
        <v>3204</v>
      </c>
    </row>
    <row r="26" customFormat="false" ht="27.75" hidden="false" customHeight="true" outlineLevel="0" collapsed="false">
      <c r="A26" s="25" t="n">
        <v>22</v>
      </c>
      <c r="B26" s="38" t="s">
        <v>3227</v>
      </c>
      <c r="C26" s="78" t="n">
        <f aca="false">Segments!$F$38</f>
        <v>17.485</v>
      </c>
      <c r="D26" s="133" t="n">
        <v>18</v>
      </c>
      <c r="E26" s="53" t="s">
        <v>1939</v>
      </c>
      <c r="F26" s="111" t="s">
        <v>3222</v>
      </c>
      <c r="G26" s="24" t="s">
        <v>3223</v>
      </c>
    </row>
    <row r="27" customFormat="false" ht="27.75" hidden="false" customHeight="true" outlineLevel="0" collapsed="false">
      <c r="A27" s="25" t="n">
        <v>23</v>
      </c>
      <c r="B27" s="38" t="s">
        <v>3228</v>
      </c>
      <c r="C27" s="61" t="n">
        <f aca="false">Segments!$E$31</f>
        <v>8094.42222686603</v>
      </c>
      <c r="D27" s="82" t="n">
        <v>8000</v>
      </c>
      <c r="E27" s="53" t="s">
        <v>1939</v>
      </c>
      <c r="F27" s="111" t="s">
        <v>3222</v>
      </c>
      <c r="G27" s="24" t="s">
        <v>3223</v>
      </c>
    </row>
    <row r="28" customFormat="false" ht="27.75" hidden="false" customHeight="true" outlineLevel="0" collapsed="false">
      <c r="A28" s="25" t="n">
        <v>24</v>
      </c>
      <c r="B28" s="38" t="s">
        <v>3229</v>
      </c>
      <c r="C28" s="61" t="n">
        <f aca="false">Trajectoire!$D$50</f>
        <v>28416</v>
      </c>
      <c r="D28" s="82" t="n">
        <v>29000</v>
      </c>
      <c r="E28" s="82" t="n">
        <v>1500</v>
      </c>
      <c r="F28" s="111" t="str">
        <f aca="false">IF(ABS(C28-D28)&lt;=E28,"OK","ÉCART")</f>
        <v>OK</v>
      </c>
      <c r="G28" s="24" t="s">
        <v>3204</v>
      </c>
    </row>
    <row r="29" customFormat="false" ht="27.75" hidden="false" customHeight="true" outlineLevel="0" collapsed="false">
      <c r="A29" s="25" t="n">
        <v>25</v>
      </c>
      <c r="B29" s="38" t="s">
        <v>3230</v>
      </c>
      <c r="C29" s="61" t="n">
        <f aca="false">Trajectoire!$D$41</f>
        <v>7981.43050727668</v>
      </c>
      <c r="D29" s="61" t="n">
        <f aca="false">Entrées!$C$17*1000</f>
        <v>8000</v>
      </c>
      <c r="E29" s="53" t="s">
        <v>1939</v>
      </c>
      <c r="F29" s="111" t="s">
        <v>3222</v>
      </c>
      <c r="G29" s="24" t="s">
        <v>3223</v>
      </c>
    </row>
    <row r="30" customFormat="false" ht="27.75" hidden="false" customHeight="true" outlineLevel="0" collapsed="false">
      <c r="A30" s="25" t="n">
        <v>26</v>
      </c>
      <c r="B30" s="38" t="s">
        <v>3231</v>
      </c>
      <c r="C30" s="61" t="n">
        <f aca="false">Levier!$C$46</f>
        <v>-63.7999999999993</v>
      </c>
      <c r="D30" s="82" t="n">
        <v>0</v>
      </c>
      <c r="E30" s="53" t="s">
        <v>1939</v>
      </c>
      <c r="F30" s="111" t="s">
        <v>3222</v>
      </c>
      <c r="G30" s="24" t="s">
        <v>3223</v>
      </c>
    </row>
    <row r="31" customFormat="false" ht="27.75" hidden="false" customHeight="true" outlineLevel="0" collapsed="false">
      <c r="A31" s="25" t="n">
        <v>27</v>
      </c>
      <c r="B31" s="38" t="s">
        <v>3232</v>
      </c>
      <c r="C31" s="61" t="n">
        <f aca="false">'Pont de dette'!$C$35</f>
        <v>398</v>
      </c>
      <c r="D31" s="82" t="n">
        <v>0</v>
      </c>
      <c r="E31" s="53" t="s">
        <v>1939</v>
      </c>
      <c r="F31" s="111" t="s">
        <v>3222</v>
      </c>
      <c r="G31" s="24" t="s">
        <v>3223</v>
      </c>
    </row>
    <row r="32" customFormat="false" ht="27.75" hidden="false" customHeight="true" outlineLevel="0" collapsed="false">
      <c r="A32" s="25" t="n">
        <v>28</v>
      </c>
      <c r="B32" s="38" t="s">
        <v>3233</v>
      </c>
      <c r="C32" s="61" t="n">
        <f aca="false">'Pont de dette'!$C$20</f>
        <v>236</v>
      </c>
      <c r="D32" s="82" t="n">
        <v>0</v>
      </c>
      <c r="E32" s="53" t="s">
        <v>1939</v>
      </c>
      <c r="F32" s="111" t="s">
        <v>3222</v>
      </c>
      <c r="G32" s="24" t="s">
        <v>3223</v>
      </c>
    </row>
    <row r="33" customFormat="false" ht="27.75" hidden="false" customHeight="true" outlineLevel="0" collapsed="false">
      <c r="A33" s="25" t="n">
        <v>29</v>
      </c>
      <c r="B33" s="38" t="s">
        <v>3234</v>
      </c>
      <c r="C33" s="89" t="n">
        <f aca="false">Cibles!$C$20</f>
        <v>9.375</v>
      </c>
      <c r="D33" s="89" t="n">
        <f aca="false">Cibles!$C$21</f>
        <v>9.8</v>
      </c>
      <c r="E33" s="53" t="s">
        <v>1939</v>
      </c>
      <c r="F33" s="111" t="s">
        <v>3222</v>
      </c>
      <c r="G33" s="24" t="s">
        <v>3223</v>
      </c>
    </row>
    <row r="34" customFormat="false" ht="27.75" hidden="false" customHeight="true" outlineLevel="0" collapsed="false">
      <c r="A34" s="25" t="n">
        <v>30</v>
      </c>
      <c r="B34" s="38" t="s">
        <v>3235</v>
      </c>
      <c r="C34" s="89" t="n">
        <f aca="false">Cibles!$C$32</f>
        <v>7.4</v>
      </c>
      <c r="D34" s="89" t="n">
        <f aca="false">Hypothèses!$D$21</f>
        <v>7.4</v>
      </c>
      <c r="E34" s="136" t="n">
        <v>0.001</v>
      </c>
      <c r="F34" s="111" t="str">
        <f aca="false">IF(ABS(C34-D34)&lt;=E34,"OK","ÉCART")</f>
        <v>OK</v>
      </c>
      <c r="G34" s="24" t="s">
        <v>3204</v>
      </c>
    </row>
    <row r="35" customFormat="false" ht="27.75" hidden="false" customHeight="true" outlineLevel="0" collapsed="false">
      <c r="A35" s="25" t="n">
        <v>31</v>
      </c>
      <c r="B35" s="38" t="s">
        <v>3236</v>
      </c>
      <c r="C35" s="89" t="n">
        <f aca="false">Cibles!$C$34</f>
        <v>11</v>
      </c>
      <c r="D35" s="89" t="n">
        <f aca="false">Hypothèses!$E$21</f>
        <v>11</v>
      </c>
      <c r="E35" s="136" t="n">
        <v>0.001</v>
      </c>
      <c r="F35" s="111" t="str">
        <f aca="false">IF(ABS(C35-D35)&lt;=E35,"OK","ÉCART")</f>
        <v>OK</v>
      </c>
      <c r="G35" s="24" t="s">
        <v>3204</v>
      </c>
    </row>
    <row r="36" customFormat="false" ht="27.75" hidden="false" customHeight="true" outlineLevel="0" collapsed="false">
      <c r="A36" s="25" t="n">
        <v>32</v>
      </c>
      <c r="B36" s="38" t="s">
        <v>3237</v>
      </c>
      <c r="C36" s="61" t="n">
        <f aca="false">IF(COUNTIF(Hypothèses!$I$5:$I$27,"Bas")+COUNTIF(Hypothèses!$I$5:$I$27,"Haut")=0,Simulation!$BG$15-Trajectoire!$D$58,0)</f>
        <v>0</v>
      </c>
      <c r="D36" s="82" t="n">
        <v>0</v>
      </c>
      <c r="E36" s="82" t="n">
        <v>0.5</v>
      </c>
      <c r="F36" s="111" t="str">
        <f aca="false">IF(ABS(C36-D36)&lt;=E36,"OK","ÉCART")</f>
        <v>OK</v>
      </c>
      <c r="G36" s="24" t="s">
        <v>3204</v>
      </c>
    </row>
    <row r="37" customFormat="false" ht="27.75" hidden="false" customHeight="true" outlineLevel="0" collapsed="false">
      <c r="A37" s="25" t="n">
        <v>33</v>
      </c>
      <c r="B37" s="38" t="s">
        <v>3238</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3204</v>
      </c>
    </row>
    <row r="38" customFormat="false" ht="27.75" hidden="false" customHeight="true" outlineLevel="0" collapsed="false">
      <c r="A38" s="25" t="n">
        <v>34</v>
      </c>
      <c r="B38" s="38" t="s">
        <v>3239</v>
      </c>
      <c r="C38" s="61" t="n">
        <f aca="false">'Pont EBITDA'!$C$49</f>
        <v>7981.43050727668</v>
      </c>
      <c r="D38" s="61" t="n">
        <f aca="false">'Pont EBITDA'!$C$50</f>
        <v>7981.43050727668</v>
      </c>
      <c r="E38" s="82" t="n">
        <v>1</v>
      </c>
      <c r="F38" s="111" t="str">
        <f aca="false">IF(ABS(C38-D38)&lt;=E38,"OK","ÉCART")</f>
        <v>OK</v>
      </c>
      <c r="G38" s="24" t="s">
        <v>3204</v>
      </c>
    </row>
    <row r="39" customFormat="false" ht="27.75" hidden="false" customHeight="true" outlineLevel="0" collapsed="false">
      <c r="A39" s="25" t="n">
        <v>35</v>
      </c>
      <c r="B39" s="38" t="s">
        <v>3240</v>
      </c>
      <c r="C39" s="72" t="n">
        <f aca="false">'Pont EBITDA'!$C$9</f>
        <v>0.0532807756958533</v>
      </c>
      <c r="D39" s="72" t="n">
        <f aca="false">'Pont EBITDA'!$C$10</f>
        <v>0.05</v>
      </c>
      <c r="E39" s="135" t="n">
        <v>0.01</v>
      </c>
      <c r="F39" s="111" t="str">
        <f aca="false">IF(ABS(C39-D39)&lt;=E39,"OK","ÉCART")</f>
        <v>OK</v>
      </c>
      <c r="G39" s="24" t="s">
        <v>3204</v>
      </c>
    </row>
    <row r="40" customFormat="false" ht="27.75" hidden="false" customHeight="true" outlineLevel="0" collapsed="false">
      <c r="A40" s="25" t="n">
        <v>36</v>
      </c>
      <c r="B40" s="38" t="s">
        <v>3241</v>
      </c>
      <c r="C40" s="61" t="n">
        <f aca="false">'Pont EBITDA'!$C$34</f>
        <v>460.212</v>
      </c>
      <c r="D40" s="61" t="n">
        <f aca="false">'Pont EBITDA'!$C$24</f>
        <v>427.644</v>
      </c>
      <c r="E40" s="53" t="s">
        <v>1939</v>
      </c>
      <c r="F40" s="111" t="s">
        <v>3222</v>
      </c>
      <c r="G40" s="24" t="s">
        <v>3223</v>
      </c>
    </row>
    <row r="41" customFormat="false" ht="27.75" hidden="false" customHeight="true" outlineLevel="0" collapsed="false">
      <c r="A41" s="25" t="n">
        <v>37</v>
      </c>
      <c r="B41" s="38" t="s">
        <v>3242</v>
      </c>
      <c r="C41" s="72" t="n">
        <f aca="false">'Pont EBITDA'!$C$13</f>
        <v>0.933333333333333</v>
      </c>
      <c r="D41" s="135" t="n">
        <v>1</v>
      </c>
      <c r="E41" s="53" t="s">
        <v>1939</v>
      </c>
      <c r="F41" s="111" t="s">
        <v>3222</v>
      </c>
      <c r="G41" s="24" t="s">
        <v>3223</v>
      </c>
    </row>
    <row r="42" customFormat="false" ht="27.75" hidden="false" customHeight="true" outlineLevel="0" collapsed="false">
      <c r="A42" s="25" t="n">
        <v>38</v>
      </c>
      <c r="B42" s="38" t="s">
        <v>3243</v>
      </c>
      <c r="C42" s="61" t="n">
        <f aca="false">'Pont EBITDA'!$C$29</f>
        <v>-70.356</v>
      </c>
      <c r="D42" s="82" t="n">
        <v>0</v>
      </c>
      <c r="E42" s="53" t="s">
        <v>1939</v>
      </c>
      <c r="F42" s="111" t="s">
        <v>3222</v>
      </c>
      <c r="G42" s="24" t="s">
        <v>3223</v>
      </c>
    </row>
    <row r="43" customFormat="false" ht="27.75" hidden="false" customHeight="true" outlineLevel="0" collapsed="false">
      <c r="A43" s="25" t="n">
        <v>39</v>
      </c>
      <c r="B43" s="38" t="s">
        <v>3244</v>
      </c>
      <c r="C43" s="61" t="n">
        <f aca="false">Cessions!$C$74</f>
        <v>44394</v>
      </c>
      <c r="D43" s="61" t="n">
        <f aca="false">Cessions!$C$75</f>
        <v>44396</v>
      </c>
      <c r="E43" s="82" t="n">
        <v>5</v>
      </c>
      <c r="F43" s="111" t="str">
        <f aca="false">IF(ABS(C43-D43)&lt;=E43,"OK","ÉCART")</f>
        <v>OK</v>
      </c>
      <c r="G43" s="24" t="s">
        <v>3204</v>
      </c>
    </row>
    <row r="44" customFormat="false" ht="27.75" hidden="false" customHeight="true" outlineLevel="0" collapsed="false">
      <c r="A44" s="25" t="n">
        <v>40</v>
      </c>
      <c r="B44" s="38" t="s">
        <v>3245</v>
      </c>
      <c r="C44" s="61" t="n">
        <f aca="false">Levier!$C$114</f>
        <v>4100</v>
      </c>
      <c r="D44" s="61" t="n">
        <f aca="false">Levier!$C$115</f>
        <v>4100</v>
      </c>
      <c r="E44" s="82" t="n">
        <v>1</v>
      </c>
      <c r="F44" s="111" t="str">
        <f aca="false">IF(ABS(C44-D44)&lt;=E44,"OK","ÉCART")</f>
        <v>OK</v>
      </c>
      <c r="G44" s="24" t="s">
        <v>3204</v>
      </c>
    </row>
    <row r="45" customFormat="false" ht="27.75" hidden="false" customHeight="true" outlineLevel="0" collapsed="false">
      <c r="A45" s="25" t="n">
        <v>41</v>
      </c>
      <c r="B45" s="38" t="s">
        <v>3246</v>
      </c>
      <c r="C45" s="61" t="n">
        <f aca="false">ESG!$F$40</f>
        <v>2100</v>
      </c>
      <c r="D45" s="61" t="n">
        <f aca="false">ESG!$F$41</f>
        <v>2100</v>
      </c>
      <c r="E45" s="82" t="n">
        <v>150</v>
      </c>
      <c r="F45" s="111" t="str">
        <f aca="false">IF(ABS(C45-D45)&lt;=E45,"OK","ÉCART")</f>
        <v>OK</v>
      </c>
      <c r="G45" s="24" t="s">
        <v>3204</v>
      </c>
    </row>
    <row r="46" customFormat="false" ht="27.75" hidden="false" customHeight="true" outlineLevel="0" collapsed="false">
      <c r="A46" s="25" t="n">
        <v>42</v>
      </c>
      <c r="B46" s="38" t="s">
        <v>3247</v>
      </c>
      <c r="C46" s="72" t="n">
        <f aca="false">ESG!$C$43</f>
        <v>0.466666666666667</v>
      </c>
      <c r="D46" s="72" t="n">
        <f aca="false">ESG!$C$44</f>
        <v>0.472</v>
      </c>
      <c r="E46" s="135" t="n">
        <v>0.01</v>
      </c>
      <c r="F46" s="111" t="str">
        <f aca="false">IF(ABS(C46-D46)&lt;=E46,"OK","ÉCART")</f>
        <v>OK</v>
      </c>
      <c r="G46" s="24" t="s">
        <v>3204</v>
      </c>
    </row>
    <row r="47" customFormat="false" ht="27.75" hidden="false" customHeight="true" outlineLevel="0" collapsed="false">
      <c r="A47" s="25" t="n">
        <v>43</v>
      </c>
      <c r="B47" s="38" t="s">
        <v>3248</v>
      </c>
      <c r="C47" s="72" t="n">
        <f aca="false">Cessions!$C$88</f>
        <v>0.127713920817369</v>
      </c>
      <c r="D47" s="135" t="n">
        <v>0</v>
      </c>
      <c r="E47" s="53" t="s">
        <v>1939</v>
      </c>
      <c r="F47" s="111" t="s">
        <v>3222</v>
      </c>
      <c r="G47" s="24" t="s">
        <v>3223</v>
      </c>
    </row>
    <row r="48" customFormat="false" ht="27.75" hidden="false" customHeight="true" outlineLevel="0" collapsed="false">
      <c r="A48" s="25" t="n">
        <v>44</v>
      </c>
      <c r="B48" s="38" t="s">
        <v>3249</v>
      </c>
      <c r="C48" s="72" t="n">
        <f aca="false">Levier!$C$91</f>
        <v>-0.000581395348837166</v>
      </c>
      <c r="D48" s="135" t="n">
        <v>0</v>
      </c>
      <c r="E48" s="135" t="n">
        <v>0.05</v>
      </c>
      <c r="F48" s="111" t="str">
        <f aca="false">IF(ABS(C48-D48)&lt;=E48,"OK","ÉCART")</f>
        <v>OK</v>
      </c>
      <c r="G48" s="24" t="s">
        <v>3204</v>
      </c>
    </row>
    <row r="49" customFormat="false" ht="27.75" hidden="false" customHeight="true" outlineLevel="0" collapsed="false">
      <c r="A49" s="25" t="n">
        <v>45</v>
      </c>
      <c r="B49" s="38" t="s">
        <v>3250</v>
      </c>
      <c r="C49" s="72" t="n">
        <f aca="false">Levier!$D$91</f>
        <v>-0.0194017784963622</v>
      </c>
      <c r="D49" s="135" t="n">
        <v>0</v>
      </c>
      <c r="E49" s="135" t="n">
        <v>0.05</v>
      </c>
      <c r="F49" s="111" t="str">
        <f aca="false">IF(ABS(C49-D49)&lt;=E49,"OK","ÉCART")</f>
        <v>OK</v>
      </c>
      <c r="G49" s="24" t="s">
        <v>3204</v>
      </c>
    </row>
    <row r="50" customFormat="false" ht="27.75" hidden="false" customHeight="true" outlineLevel="0" collapsed="false">
      <c r="A50" s="25" t="n">
        <v>46</v>
      </c>
      <c r="B50" s="38" t="s">
        <v>3251</v>
      </c>
      <c r="C50" s="61" t="n">
        <f aca="false">Échéancier!$C$9</f>
        <v>9642</v>
      </c>
      <c r="D50" s="61" t="n">
        <f aca="false">Échéancier!$C$10</f>
        <v>9642</v>
      </c>
      <c r="E50" s="82" t="n">
        <v>1</v>
      </c>
      <c r="F50" s="111" t="str">
        <f aca="false">IF(ABS(C50-D50)&lt;=E50,"OK","ÉCART")</f>
        <v>OK</v>
      </c>
      <c r="G50" s="24" t="s">
        <v>3204</v>
      </c>
    </row>
    <row r="51" customFormat="false" ht="27.75" hidden="false" customHeight="true" outlineLevel="0" collapsed="false">
      <c r="A51" s="25" t="n">
        <v>47</v>
      </c>
      <c r="B51" s="38" t="s">
        <v>3252</v>
      </c>
      <c r="C51" s="61" t="n">
        <f aca="false">Échéancier!$J$6</f>
        <v>22266</v>
      </c>
      <c r="D51" s="61" t="n">
        <f aca="false">Échéancier!$I$6</f>
        <v>22265</v>
      </c>
      <c r="E51" s="82" t="n">
        <v>1</v>
      </c>
      <c r="F51" s="111" t="str">
        <f aca="false">IF(ABS(C51-D51)&lt;=E51,"OK","ÉCART")</f>
        <v>OK</v>
      </c>
      <c r="G51" s="24" t="s">
        <v>3204</v>
      </c>
    </row>
    <row r="52" customFormat="false" ht="27.75" hidden="false" customHeight="true" outlineLevel="0" collapsed="false">
      <c r="A52" s="25" t="n">
        <v>48</v>
      </c>
      <c r="B52" s="38" t="s">
        <v>3253</v>
      </c>
      <c r="C52" s="61" t="n">
        <f aca="false">Échéancier!$J$10</f>
        <v>34405</v>
      </c>
      <c r="D52" s="61" t="n">
        <f aca="false">Échéancier!$I$10</f>
        <v>34404</v>
      </c>
      <c r="E52" s="82" t="n">
        <v>1</v>
      </c>
      <c r="F52" s="111" t="str">
        <f aca="false">IF(ABS(C52-D52)&lt;=E52,"OK","ÉCART")</f>
        <v>OK</v>
      </c>
      <c r="G52" s="24" t="s">
        <v>3204</v>
      </c>
    </row>
    <row r="53" customFormat="false" ht="27.75" hidden="false" customHeight="true" outlineLevel="0" collapsed="false">
      <c r="A53" s="25" t="n">
        <v>49</v>
      </c>
      <c r="B53" s="38" t="s">
        <v>3254</v>
      </c>
      <c r="C53" s="61" t="n">
        <f aca="false">Échéancier!$C$37</f>
        <v>15911</v>
      </c>
      <c r="D53" s="61" t="n">
        <f aca="false">Échéancier!$C$38</f>
        <v>15911</v>
      </c>
      <c r="E53" s="82" t="n">
        <v>1</v>
      </c>
      <c r="F53" s="111" t="str">
        <f aca="false">IF(ABS(C53-D53)&lt;=E53,"OK","ÉCART")</f>
        <v>OK</v>
      </c>
      <c r="G53" s="24" t="s">
        <v>3204</v>
      </c>
    </row>
    <row r="54" customFormat="false" ht="27.75" hidden="false" customHeight="true" outlineLevel="0" collapsed="false">
      <c r="A54" s="25" t="n">
        <v>50</v>
      </c>
      <c r="B54" s="38" t="s">
        <v>3255</v>
      </c>
      <c r="C54" s="61" t="n">
        <f aca="false">Échéancier!$C$6-Échéancier!$C$16</f>
        <v>473</v>
      </c>
      <c r="D54" s="82" t="n">
        <v>0</v>
      </c>
      <c r="E54" s="53" t="s">
        <v>1939</v>
      </c>
      <c r="F54" s="111" t="s">
        <v>3222</v>
      </c>
      <c r="G54" s="24" t="s">
        <v>3223</v>
      </c>
    </row>
    <row r="55" customFormat="false" ht="27.75" hidden="false" customHeight="true" outlineLevel="0" collapsed="false">
      <c r="A55" s="25" t="n">
        <v>51</v>
      </c>
      <c r="B55" s="38" t="s">
        <v>3256</v>
      </c>
      <c r="C55" s="97" t="n">
        <f aca="false">COUNTIF(Entrées!$L$6:$L$622,"à relire")</f>
        <v>617</v>
      </c>
      <c r="D55" s="23" t="n">
        <v>0</v>
      </c>
      <c r="E55" s="53" t="s">
        <v>1939</v>
      </c>
      <c r="F55" s="111" t="s">
        <v>3222</v>
      </c>
      <c r="G55" s="24" t="s">
        <v>3223</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3257</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3258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3259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3260</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3261</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3262</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3263</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3264</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3265</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3266</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3267</v>
      </c>
      <c r="B11" s="2"/>
      <c r="C11" s="139" t="n">
        <v>0.4</v>
      </c>
      <c r="D11" s="2"/>
      <c r="E11" s="2"/>
      <c r="F11" s="3" t="s">
        <v>3268</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3269</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3270</v>
      </c>
      <c r="B14" s="140" t="s">
        <v>3271</v>
      </c>
      <c r="C14" s="2"/>
      <c r="D14" s="140" t="s">
        <v>3272</v>
      </c>
      <c r="E14" s="140" t="s">
        <v>1932</v>
      </c>
      <c r="F14" s="140" t="s">
        <v>3273</v>
      </c>
      <c r="G14" s="140" t="s">
        <v>1936</v>
      </c>
      <c r="H14" s="140" t="s">
        <v>3274</v>
      </c>
      <c r="I14" s="140" t="s">
        <v>1940</v>
      </c>
      <c r="J14" s="140" t="s">
        <v>3275</v>
      </c>
      <c r="K14" s="140" t="s">
        <v>1943</v>
      </c>
      <c r="L14" s="140" t="s">
        <v>3276</v>
      </c>
      <c r="M14" s="140" t="s">
        <v>1946</v>
      </c>
      <c r="N14" s="140" t="s">
        <v>3277</v>
      </c>
      <c r="O14" s="140" t="s">
        <v>1950</v>
      </c>
      <c r="P14" s="140" t="s">
        <v>3278</v>
      </c>
      <c r="Q14" s="140" t="s">
        <v>1954</v>
      </c>
      <c r="R14" s="140" t="s">
        <v>3279</v>
      </c>
      <c r="S14" s="140" t="s">
        <v>1957</v>
      </c>
      <c r="T14" s="140" t="s">
        <v>3280</v>
      </c>
      <c r="U14" s="140" t="s">
        <v>1960</v>
      </c>
      <c r="V14" s="140" t="s">
        <v>3281</v>
      </c>
      <c r="W14" s="140" t="s">
        <v>1963</v>
      </c>
      <c r="X14" s="140" t="s">
        <v>3282</v>
      </c>
      <c r="Y14" s="140" t="s">
        <v>1966</v>
      </c>
      <c r="Z14" s="140" t="s">
        <v>3283</v>
      </c>
      <c r="AA14" s="140" t="s">
        <v>1970</v>
      </c>
      <c r="AB14" s="140" t="s">
        <v>3284</v>
      </c>
      <c r="AC14" s="140" t="s">
        <v>1984</v>
      </c>
      <c r="AD14" s="140" t="s">
        <v>2481</v>
      </c>
      <c r="AE14" s="140" t="s">
        <v>2483</v>
      </c>
      <c r="AF14" s="140" t="s">
        <v>2485</v>
      </c>
      <c r="AG14" s="140" t="s">
        <v>2487</v>
      </c>
      <c r="AH14" s="140" t="s">
        <v>2489</v>
      </c>
      <c r="AI14" s="140" t="s">
        <v>2491</v>
      </c>
      <c r="AJ14" s="140" t="s">
        <v>2493</v>
      </c>
      <c r="AK14" s="140" t="s">
        <v>2495</v>
      </c>
      <c r="AL14" s="140" t="s">
        <v>2497</v>
      </c>
      <c r="AM14" s="140" t="s">
        <v>2499</v>
      </c>
      <c r="AN14" s="140" t="s">
        <v>2501</v>
      </c>
      <c r="AO14" s="140" t="s">
        <v>2503</v>
      </c>
      <c r="AP14" s="140" t="s">
        <v>2505</v>
      </c>
      <c r="AQ14" s="140" t="s">
        <v>2507</v>
      </c>
      <c r="AR14" s="140" t="s">
        <v>2509</v>
      </c>
      <c r="AS14" s="140" t="s">
        <v>2511</v>
      </c>
      <c r="AT14" s="140" t="s">
        <v>2513</v>
      </c>
      <c r="AU14" s="140" t="s">
        <v>2515</v>
      </c>
      <c r="AV14" s="140" t="s">
        <v>2517</v>
      </c>
      <c r="AW14" s="140" t="s">
        <v>2519</v>
      </c>
      <c r="AX14" s="140" t="s">
        <v>2521</v>
      </c>
      <c r="AY14" s="140" t="s">
        <v>2523</v>
      </c>
      <c r="AZ14" s="140" t="s">
        <v>2525</v>
      </c>
      <c r="BA14" s="140" t="s">
        <v>2527</v>
      </c>
      <c r="BB14" s="140" t="s">
        <v>2529</v>
      </c>
      <c r="BC14" s="140" t="s">
        <v>2531</v>
      </c>
      <c r="BD14" s="140" t="s">
        <v>2533</v>
      </c>
      <c r="BE14" s="140" t="s">
        <v>2535</v>
      </c>
      <c r="BF14" s="140" t="s">
        <v>2537</v>
      </c>
      <c r="BG14" s="140" t="s">
        <v>2539</v>
      </c>
      <c r="BH14" s="140" t="s">
        <v>2543</v>
      </c>
    </row>
    <row r="15" customFormat="false" ht="15" hidden="false" customHeight="false" outlineLevel="0" collapsed="false">
      <c r="A15" s="2" t="s">
        <v>3285</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2026-10-07T14:35:29Z</dcterms:created>
  <dc:creator>openpyxl</dc:creator>
  <dc:description/>
  <dc:language>en-US</dc:language>
  <cp:lastModifiedBy/>
  <dcterms:modified xsi:type="dcterms:W3CDTF">2026-10-07T16:36:12Z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