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Vérifications" sheetId="16" state="visible" r:id="rId18"/>
    <sheet name="Simulation" sheetId="17" state="visible" r:id="rId19"/>
  </sheets>
  <definedNames>
    <definedName function="false" hidden="true" localSheetId="1" name="_xlnm._FilterDatabase" vbProcedure="false">Entrées!$A$5:$L$601</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<sst xmlns="http://schemas.openxmlformats.org/spreadsheetml/2006/main" count="8197" uniqueCount="3083">
  <si>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</si>
  <si>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</si>
  <si>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</si>
  <si>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</si>
  <si>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</si>
  <si>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</si>
  <si>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</si>
  <si>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</si>
  <si>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</si>
  <si>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</si>
  <si>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</si>
  <si>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</si>
  <si>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</si>
  <si>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</si>
  <si>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</si>
  <si>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</si>
  <si>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</si>
  <si>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</si>
  <si>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</si>
  <si>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</si>
  <si>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</si>
  <si>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</si>
  <si>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</si>
  <si>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</si>
  <si>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</si>
  <si>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</si>
  <si>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</si>
  <si>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</si>
  <si>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</si>
  <si>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</si>
  <si>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</si>
  <si>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</si>
  <si>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</si>
  <si>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</si>
  <si>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</si>
  <si>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</si>
  <si>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</si>
  <si>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</si>
  <si>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</si>
  <si>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</si>
  <si>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</si>
  <si>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</si>
  <si>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</si>
  <si>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</si>
  <si>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</si>
  <si>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</si>
  <si>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</si>
  <si>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</si>
  <si>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</si>
  <si>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</si>
  <si>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</si>
  <si>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</si>
  <si>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</si>
  <si>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</si>
  <si>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</si>
  <si>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</si>
  <si>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</si>
  <si>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</si>
  <si>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</si>
  <si>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</si>
  <si>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</si>
  <si>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</si>
  <si>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</si>
  <si>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</si>
  <si>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</si>
  <si>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</si>
  <si>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</si>
  <si>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</si>
  <si>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</si>
  <si>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</si>
  <si>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</si>
  <si>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</si>
  <si>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</si>
  <si>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</si>
  <si>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</si>
  <si>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</si>
  <si>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</si>
  <si>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</si>
  <si>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</si>
  <si>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</si>
  <si>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</si>
  <si>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</si>
  <si>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</si>
  <si>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</si>
  <si>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</si>
  <si>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</si>
  <si>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</si>
  <si>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</si>
  <si>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</si>
  <si>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</si>
  <si>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</si>
  <si>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</si>
  <si>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</si>
  <si>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</si>
  <si>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</si>
  <si>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</si>
  <si>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</si>
  <si>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</si>
  <si>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</si>
  <si>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</si>
  <si>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</si>
  <si>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</si>
  <si>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</si>
  <si>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</si>
  <si>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</si>
  <si>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</si>
  <si>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</si>
  <si>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</si>
  <si>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</si>
  <si>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</si>
  <si>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</si>
  <si>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</si>
  <si>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</si>
  <si>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</si>
  <si>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</si>
  <si>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</si>
  <si>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</si>
  <si>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</si>
  <si>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</si>
  <si>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</si>
  <si>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</si>
  <si>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</si>
  <si>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</si>
  <si>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</si>
  <si>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</si>
  <si>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</si>
  <si>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</si>
  <si>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</si>
  <si>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</si>
  <si>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</si>
  <si>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</si>
  <si>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</si>
  <si>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</si>
  <si>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</si>
  <si>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</si>
  <si>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</si>
  <si>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</si>
  <si>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</si>
  <si>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</si>
  <si>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</si>
  <si>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</si>
  <si>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</si>
  <si>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</si>
  <si>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</si>
  <si>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</si>
  <si>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</si>
  <si>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</si>
  <si>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</si>
  <si>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</si>
  <si>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</si>
  <si>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</si>
  <si>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</si>
  <si>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</si>
  <si>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</si>
  <si>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</si>
  <si>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</si>
  <si>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</si>
  <si>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</si>
  <si>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</si>
  <si>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</si>
  <si>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</si>
  <si>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</si>
  <si>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</si>
  <si>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</si>
  <si>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</si>
  <si>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</si>
  <si>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</si>
  <si>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</si>
  <si>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</si>
  <si>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</si>
  <si>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</si>
  <si>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</si>
  <si>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</si>
  <si>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</si>
  <si>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</si>
  <si>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</si>
  <si>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</si>
  <si>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</si>
  <si>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</si>
  <si>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</si>
  <si>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</si>
  <si>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</si>
  <si>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</si>
  <si>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</si>
  <si>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</si>
  <si>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</si>
  <si>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</si>
  <si>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</si>
  <si>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</si>
  <si>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</si>
  <si>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</si>
  <si>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</si>
  <si>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</si>
  <si>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</si>
  <si>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</si>
  <si>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</si>
  <si>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</si>
  <si>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</si>
  <si>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</si>
  <si>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</si>
  <si>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</si>
  <si>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</si>
  <si>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</si>
  <si>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</si>
  <si>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</si>
  <si>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</si>
  <si>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</si>
  <si>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</si>
  <si>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</si>
  <si>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</si>
  <si>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</si>
  <si>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</si>
  <si>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</si>
  <si>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</si>
  <si>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</si>
  <si>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</si>
  <si>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</si>
  <si>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</si>
  <si>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</si>
  <si>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</si>
  <si>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</si>
  <si>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</si>
  <si>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</si>
  <si>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</si>
  <si>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</si>
  <si>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</si>
  <si>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</si>
  <si>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</si>
  <si>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</si>
  <si>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</si>
  <si>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</si>
  <si>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</si>
  <si>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</si>
  <si>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</si>
  <si>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</si>
  <si>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</si>
  <si>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</si>
  <si>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</si>
  <si>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</si>
  <si>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</si>
  <si>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</si>
  <si>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</si>
  <si>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</si>
  <si>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</si>
  <si>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</si>
  <si>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</si>
  <si>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</si>
  <si>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</si>
  <si>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</si>
  <si>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</si>
  <si>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</si>
  <si>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</si>
  <si>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</si>
  <si>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</si>
  <si>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</si>
  <si>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</si>
  <si>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</si>
  <si>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</si>
  <si>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</si>
  <si>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</si>
  <si>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</si>
  <si>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</si>
  <si>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</si>
  <si>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</si>
  <si>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</si>
  <si>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</si>
  <si>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</si>
  <si>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</si>
  <si>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</si>
  <si>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</si>
  <si>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</si>
  <si>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</si>
  <si>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</si>
  <si>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</si>
  <si>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</si>
  <si>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</si>
  <si>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</si>
  <si>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</si>
  <si>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</si>
  <si>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</si>
  <si>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</si>
  <si>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</si>
  <si>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</si>
  <si>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</si>
  <si>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</si>
  <si>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</si>
  <si>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</si>
  <si>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</si>
  <si>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</si>
  <si>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</si>
  <si>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</si>
  <si>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</si>
  <si>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</si>
  <si>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</si>
  <si>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</si>
  <si>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</si>
  <si>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</si>
  <si>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</si>
  <si>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</si>
  <si>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</si>
  <si>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</si>
  <si>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</si>
  <si>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</si>
  <si>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</si>
  <si>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</si>
  <si>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</si>
  <si>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</si>
  <si>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</si>
  <si>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</si>
  <si>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</si>
  <si>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</si>
  <si>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</si>
  <si>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</si>
  <si>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</si>
  <si>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</si>
  <si>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</si>
  <si>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</si>
  <si>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</si>
  <si>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</si>
  <si>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</si>
  <si>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</si>
  <si>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</si>
  <si>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</si>
  <si>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</si>
  <si>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</si>
  <si>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</si>
  <si>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</si>
  <si>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</si>
  <si>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</si>
  <si>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</si>
  <si>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</si>
  <si>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</si>
  <si>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</si>
  <si>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</si>
  <si>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</si>
  <si>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</si>
  <si>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</si>
  <si>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</si>
  <si>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</si>
  <si>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</si>
  <si>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</si>
  <si>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</si>
  <si>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</si>
  <si>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</si>
  <si>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</si>
  <si>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</si>
  <si>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</si>
  <si>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</si>
  <si>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</si>
  <si>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</si>
  <si>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</si>
  <si>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</si>
  <si>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</si>
  <si>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</si>
  <si>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</si>
  <si>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</si>
  <si>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</si>
  <si>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</si>
  <si>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</si>
  <si>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</si>
  <si>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</si>
  <si>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</si>
  <si>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</si>
  <si>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</si>
  <si>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</si>
  <si>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</si>
  <si>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</si>
  <si>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</si>
  <si>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</si>
  <si>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</si>
  <si>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</si>
  <si>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</si>
  <si>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</si>
  <si>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</si>
  <si>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</si>
  <si>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</si>
  <si>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</si>
  <si>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</si>
  <si>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</si>
  <si>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</si>
  <si>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</si>
  <si>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</si>
  <si>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</si>
  <si>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</si>
  <si>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</si>
  <si>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</si>
  <si>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</si>
  <si>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</si>
  <si>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</si>
  <si>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</si>
  <si>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</si>
  <si>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</si>
  <si>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</si>
  <si>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</si>
  <si>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</si>
  <si>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</si>
  <si>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</si>
  <si>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</si>
  <si>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</si>
  <si>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</si>
  <si>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</si>
  <si>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</si>
  <si>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</si>
  <si>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</si>
  <si>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</si>
  <si>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</si>
  <si>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</si>
  <si>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</si>
  <si>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</si>
  <si>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</si>
  <si>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</si>
  <si>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</si>
  <si>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</si>
  <si>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</si>
  <si>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</si>
  <si>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</si>
  <si>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</si>
  <si>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</si>
  <si>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</si>
  <si>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</si>
  <si>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</si>
  <si>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</si>
  <si>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</si>
  <si>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</si>
  <si>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</si>
  <si>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</si>
  <si>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</si>
  <si>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</si>
  <si>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</si>
  <si>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</si>
  <si>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</si>
  <si>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</si>
  <si>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</si>
  <si>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</si>
  <si>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</si>
  <si>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</si>
  <si>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</si>
  <si>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</si>
  <si>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</si>
  <si>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</si>
  <si>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</si>
  <si>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</si>
  <si>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</si>
  <si>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</si>
  <si>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</si>
  <si>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</si>
  <si>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</si>
  <si>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</si>
  <si>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</si>
  <si>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</si>
  <si>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</si>
  <si>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</si>
  <si>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</si>
  <si>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</si>
  <si>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</si>
  <si>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</si>
  <si>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</si>
  <si>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</si>
  <si>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</si>
  <si>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</si>
  <si>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</si>
  <si>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</si>
  <si>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</si>
  <si>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</si>
  <si>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</si>
  <si>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</si>
  <si>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</si>
  <si>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</si>
  <si>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</si>
  <si>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</si>
  <si>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</si>
  <si>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</si>
  <si>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</si>
  <si>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</si>
  <si>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</si>
  <si>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</si>
  <si>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</si>
  <si>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</si>
  <si>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</si>
  <si>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</si>
  <si>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</si>
  <si>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</si>
  <si>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</si>
  <si>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</si>
  <si>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</si>
  <si>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</si>
  <si>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</si>
  <si>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</si>
  <si>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</si>
  <si>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</si>
  <si>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</si>
  <si>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</si>
  <si>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</si>
  <si>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</si>
  <si>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</si>
  <si>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</si>
  <si>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</si>
  <si>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</si>
  <si>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</si>
  <si>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</si>
  <si>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</si>
  <si>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</si>
  <si>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</si>
  <si>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</si>
  <si>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</si>
  <si>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</si>
  <si>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</si>
  <si>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</si>
  <si>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</si>
  <si>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</si>
  <si>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</si>
  <si>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</si>
  <si>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</si>
  <si>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</si>
  <si>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</si>
  <si>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</si>
  <si>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</si>
  <si>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</si>
  <si>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</si>
  <si>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</si>
  <si>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</si>
  <si>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</si>
  <si>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</si>
  <si>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</si>
  <si>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</si>
  <si>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</si>
  <si>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</si>
  <si>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</si>
  <si>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</si>
  <si>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</si>
  <si>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</si>
  <si>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</si>
  <si>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</si>
  <si>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</si>
  <si>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</si>
  <si>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</si>
  <si>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</si>
  <si>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</si>
  <si>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</si>
  <si>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</si>
  <si>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</si>
  <si>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</si>
  <si>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</si>
  <si>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</si>
  <si>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</si>
  <si>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</si>
  <si>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</si>
  <si>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</si>
  <si>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</si>
  <si>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</si>
  <si>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</si>
  <si>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</si>
  <si>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</si>
  <si>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</si>
  <si>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</si>
  <si>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</si>
  <si>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</si>
  <si>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</si>
  <si>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</si>
  <si>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</si>
  <si>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</si>
  <si>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</si>
  <si>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</si>
  <si>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</si>
  <si>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</si>
  <si>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</si>
  <si>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</si>
  <si>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</si>
  <si>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</si>
  <si>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</si>
  <si>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</si>
  <si>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</si>
  <si>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</si>
  <si>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</si>
  <si>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</si>
  <si>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</si>
  <si>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</si>
  <si>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</si>
  <si>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</si>
  <si>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</si>
  <si>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</si>
  <si>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</si>
  <si>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</si>
  <si>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</si>
  <si>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</si>
  <si>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</si>
  <si>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</si>
  <si>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</si>
  <si>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</si>
  <si>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</si>
  <si>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</si>
  <si>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</si>
  <si>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</si>
  <si>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</si>
  <si>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</si>
  <si>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</si>
  <si>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</si>
  <si>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</si>
  <si>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</si>
  <si>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</si>
  <si>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</si>
  <si>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</si>
  <si>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</si>
  <si>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</si>
  <si>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</si>
  <si>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</si>
  <si>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</si>
  <si>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</si>
  <si>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</si>
  <si>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</si>
  <si>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</si>
  <si>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</si>
  <si>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</si>
  <si>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</si>
  <si>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</si>
  <si>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</si>
  <si>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</si>
  <si>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</si>
  <si>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</si>
  <si>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</si>
  <si>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</si>
  <si>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</si>
  <si>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</si>
  <si>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</si>
  <si>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</si>
  <si>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</si>
  <si>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</si>
  <si>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</si>
  <si>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</si>
  <si>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</si>
  <si>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</si>
  <si>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</si>
  <si>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</si>
  <si>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</si>
  <si>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</si>
  <si>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</si>
  <si>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</si>
  <si>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</si>
  <si>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</si>
  <si>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</si>
  <si>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</si>
  <si>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</si>
  <si>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</si>
  <si>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</si>
  <si>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</si>
  <si>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</si>
  <si>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</si>
  <si>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</si>
  <si>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</si>
  <si>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</si>
  <si>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</si>
  <si>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</si>
  <si>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</si>
  <si>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</si>
  <si>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</si>
  <si>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</si>
  <si>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</si>
  <si>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</si>
  <si>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</si>
  <si>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</si>
  <si>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</si>
  <si>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</si>
  <si>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</si>
  <si>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</si>
  <si>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</si>
  <si>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</si>
  <si>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</si>
  <si>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</si>
  <si>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</si>
  <si>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</si>
  <si>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</si>
  <si>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</si>
  <si>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</si>
  <si>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</si>
  <si>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</si>
  <si>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</si>
  <si>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</si>
  <si>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</si>
  <si>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</si>
  <si>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</si>
  <si>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</si>
  <si>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</si>
  <si>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</si>
  <si>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</si>
  <si>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</si>
  <si>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</si>
  <si>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</si>
  <si>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</si>
  <si>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</si>
  <si>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</si>
  <si>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</si>
  <si>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</si>
  <si>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</si>
  <si>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</si>
  <si>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</si>
  <si>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</si>
  <si>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</si>
  <si>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</si>
  <si>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</si>
  <si>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</si>
  <si>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</si>
  <si>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</si>
  <si>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</si>
  <si>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</si>
  <si>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</si>
  <si>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</si>
  <si>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</si>
  <si>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</si>
  <si>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</si>
  <si>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</si>
  <si>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</si>
  <si>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</si>
  <si>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</si>
  <si>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</si>
  <si>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</si>
  <si>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</si>
  <si>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</si>
  <si>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</si>
  <si>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</si>
  <si>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</si>
  <si>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</si>
  <si>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</si>
  <si>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</si>
  <si>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</si>
  <si>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</si>
  <si>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</si>
  <si>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</si>
  <si>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</si>
  <si>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</si>
  <si>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</si>
  <si>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</si>
  <si>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</si>
  <si>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</si>
  <si>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</si>
  <si>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</si>
  <si>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</si>
  <si>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</si>
  <si>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</si>
  <si>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</si>
  <si>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</si>
  <si>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</si>
  <si>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</si>
  <si>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</si>
  <si>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</si>
  <si>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</si>
  <si>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</si>
  <si>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</si>
  <si>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</si>
  <si>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</si>
  <si>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</si>
  <si>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</si>
  <si>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</si>
  <si>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</si>
  <si>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</si>
  <si>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</si>
  <si>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</si>
  <si>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</si>
  <si>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</si>
  <si>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</si>
  <si>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</si>
  <si>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</si>
  <si>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</si>
  <si>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</si>
  <si>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</si>
  <si>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</si>
  <si>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</si>
  <si>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</si>
  <si>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</si>
  <si>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</si>
  <si>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</si>
  <si>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</si>
  <si>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</si>
  <si>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</si>
  <si>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</si>
  <si>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</si>
  <si>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</si>
  <si>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</si>
  <si>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</si>
  <si>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</si>
  <si>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</si>
  <si>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</si>
  <si>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</si>
  <si>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</si>
  <si>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</si>
  <si>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</si>
  <si>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</si>
  <si>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</si>
  <si>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</si>
  <si>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</si>
  <si>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</si>
  <si>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</si>
  <si>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</si>
  <si>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</si>
  <si>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</si>
  <si>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</si>
  <si>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</si>
  <si>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</si>
  <si>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</si>
  <si>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</si>
  <si>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</si>
  <si>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</si>
  <si>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</si>
  <si>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</si>
  <si>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</si>
  <si>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</si>
  <si>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</si>
  <si>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</si>
  <si>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</si>
  <si>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</si>
  <si>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</si>
  <si>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</si>
  <si>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</si>
  <si>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</si>
  <si>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</si>
  <si>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</si>
  <si>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</si>
  <si>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</si>
  <si>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</si>
  <si>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</si>
  <si>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</si>
  <si>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</si>
  <si>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</si>
  <si>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</si>
  <si>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</si>
  <si>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</si>
  <si>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</si>
  <si>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</si>
  <si>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</si>
  <si>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</si>
  <si>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</si>
  <si>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</si>
  <si>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</si>
  <si>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</si>
  <si>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</si>
  <si>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</si>
  <si>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</si>
  <si>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</si>
  <si>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</si>
  <si>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</si>
  <si>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</si>
  <si>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</si>
  <si>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</si>
  <si>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</si>
  <si>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</si>
  <si>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</si>
  <si>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</si>
  <si>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</si>
  <si>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</si>
  <si>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</si>
  <si>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</si>
  <si>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</si>
  <si>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</si>
  <si>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</si>
  <si>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</si>
  <si>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</si>
  <si>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</si>
  <si>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</si>
  <si>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</si>
  <si>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</si>
  <si>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</si>
  <si>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</si>
  <si>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</si>
  <si>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</si>
  <si>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</si>
  <si>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</si>
  <si>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</si>
  <si>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</si>
  <si>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</si>
  <si>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</si>
  <si>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</si>
  <si>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</si>
  <si>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</si>
  <si>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</si>
  <si>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</si>
  <si>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</si>
  <si>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</si>
  <si>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</si>
  <si>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</si>
  <si>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</si>
  <si>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</si>
  <si>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</si>
  <si>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</si>
  <si>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</si>
  <si>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</si>
  <si>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</si>
  <si>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</si>
  <si>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</si>
  <si>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</si>
  <si>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</si>
  <si>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</si>
  <si>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</si>
  <si>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</si>
  <si>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</si>
  <si>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</si>
  <si>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</si>
  <si>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</si>
  <si>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</si>
  <si>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</si>
  <si>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</si>
  <si>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</si>
  <si>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</si>
  <si>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</si>
  <si>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</si>
  <si>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</si>
  <si>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</si>
  <si>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</si>
  <si>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</si>
  <si>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</si>
  <si>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</si>
  <si>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</si>
  <si>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</si>
  <si>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</si>
  <si>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</si>
  <si>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</si>
  <si>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</si>
  <si>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</si>
  <si>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</si>
  <si>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</si>
  <si>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</si>
  <si>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</si>
  <si>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</si>
  <si>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</si>
  <si>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</si>
  <si>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</si>
  <si>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</si>
  <si>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</si>
  <si>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</si>
  <si>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</si>
  <si>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</si>
  <si>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</si>
  <si>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</si>
  <si>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</si>
  <si>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</si>
  <si>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</si>
  <si>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</si>
  <si>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</si>
  <si>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</si>
  <si>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</si>
  <si>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</si>
  <si>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</si>
  <si>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</si>
  <si>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</si>
  <si>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</si>
  <si>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</si>
  <si>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</si>
  <si>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</si>
  <si>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</si>
  <si>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</si>
  <si>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</si>
  <si>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</si>
  <si>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</si>
  <si>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</si>
  <si>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</si>
  <si>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</si>
  <si>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</si>
  <si>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</si>
  <si>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</si>
  <si>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</si>
  <si>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</si>
  <si>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</si>
  <si>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</si>
  <si>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</si>
  <si>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</si>
  <si>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</si>
  <si>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</si>
  <si>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</si>
  <si>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</si>
  <si>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</si>
  <si>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</si>
  <si>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</si>
  <si>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</si>
  <si>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</si>
  <si>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</si>
  <si>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</si>
  <si>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</si>
  <si>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</si>
  <si>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</si>
  <si>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</si>
  <si>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</si>
  <si>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</si>
  <si>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</si>
  <si>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</si>
  <si>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</si>
  <si>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</si>
  <si>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</si>
  <si>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</si>
  <si>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</si>
  <si>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</si>
  <si>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</si>
  <si>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</si>
  <si>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</si>
  <si>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</si>
  <si>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</si>
  <si>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</si>
  <si>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</si>
  <si>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</si>
  <si>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</si>
  <si>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</si>
  <si>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</si>
  <si>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</si>
  <si>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</si>
  <si>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</si>
  <si>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</si>
  <si>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</si>
  <si>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</si>
  <si>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</si>
  <si>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</si>
  <si>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</si>
  <si>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</si>
  <si>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</si>
  <si>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</si>
  <si>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</si>
  <si>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</si>
  <si>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</si>
  <si>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</si>
  <si>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</si>
  <si>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</si>
  <si>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</si>
  <si>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</si>
  <si>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</si>
  <si>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</si>
  <si>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</si>
  <si>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</si>
  <si>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</si>
  <si>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</si>
  <si>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</si>
  <si>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</si>
  <si>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</si>
  <si>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</si>
  <si>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</si>
  <si>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</si>
  <si>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</si>
  <si>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</si>
  <si>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</si>
  <si>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</si>
  <si>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</si>
  <si>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</si>
  <si>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</si>
  <si>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</si>
  <si>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</si>
  <si>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</si>
  <si>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</si>
  <si>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</si>
  <si>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</si>
  <si>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</si>
  <si>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</si>
  <si>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</si>
  <si>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</si>
  <si>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</si>
  <si>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</si>
  <si>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</si>
  <si>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</si>
  <si>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</si>
  <si>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</si>
  <si>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</si>
  <si>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</si>
  <si>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</si>
  <si>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</si>
  <si>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</si>
  <si>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</si>
  <si>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</si>
  <si>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</si>
  <si>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</si>
  <si>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</si>
  <si>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</si>
  <si>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</si>
  <si>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</si>
  <si>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</si>
  <si>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</si>
  <si>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</si>
  <si>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</si>
  <si>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</si>
  <si>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</si>
  <si>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</si>
  <si>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</si>
  <si>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</si>
  <si>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</si>
  <si>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</si>
  <si>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</si>
  <si>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</si>
  <si>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</si>
  <si>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</si>
  <si>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</si>
  <si>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</si>
  <si>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</si>
  <si>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</si>
  <si>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</si>
  <si>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</si>
  <si>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</si>
  <si>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</si>
  <si>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</si>
  <si>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</si>
  <si>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</si>
  <si>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</si>
  <si>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</si>
  <si>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</si>
  <si>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</si>
  <si>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</si>
  <si>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</si>
  <si>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</si>
  <si>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</si>
  <si>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</si>
  <si>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</si>
  <si>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</si>
  <si>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</si>
  <si>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</si>
  <si>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</si>
  <si>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</si>
  <si>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</si>
  <si>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</si>
  <si>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</si>
  <si>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</si>
  <si>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</si>
  <si>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</si>
  <si>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</si>
  <si>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</si>
  <si>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</si>
  <si>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</si>
  <si>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</si>
  <si>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</si>
  <si>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</si>
  <si>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</si>
  <si>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</si>
  <si>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</si>
  <si>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</si>
  <si>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</si>
  <si>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</si>
  <si>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</si>
  <si>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</si>
  <si>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</si>
  <si>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</si>
  <si>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</si>
  <si>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</si>
  <si>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</si>
  <si>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</si>
  <si>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</si>
  <si>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</si>
  <si>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</si>
  <si>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</si>
  <si>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</si>
  <si>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</si>
  <si>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</si>
  <si>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</si>
  <si>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</si>
  <si>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</si>
  <si>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</si>
  <si>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</si>
  <si>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</si>
  <si>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</si>
  <si>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</si>
  <si>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</si>
  <si>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</si>
  <si>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</si>
  <si>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</si>
  <si>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</si>
  <si>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</si>
  <si>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</si>
  <si>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</si>
  <si>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</si>
  <si>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</si>
  <si>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</si>
  <si>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</si>
  <si>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</si>
  <si>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</si>
  <si>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</si>
  <si>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</si>
  <si>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</si>
  <si>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</si>
  <si>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</si>
  <si>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</si>
  <si>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</si>
  <si>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</si>
  <si>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</si>
  <si>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</si>
  <si>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</si>
  <si>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</si>
  <si>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</si>
  <si>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</si>
  <si>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</si>
  <si>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</si>
  <si>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</si>
  <si>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</si>
  <si>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</si>
  <si>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</si>
  <si>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</si>
  <si>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</si>
  <si>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</si>
  <si>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</si>
  <si>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</si>
  <si>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</si>
  <si>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</si>
  <si>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</si>
  <si>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</si>
  <si>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</si>
  <si>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</si>
  <si>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</si>
  <si>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</si>
  <si>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</si>
  <si>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</si>
  <si>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</si>
  <si>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</si>
  <si>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</si>
  <si>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</si>
  <si>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</si>
  <si>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</si>
  <si>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</si>
  <si>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</si>
  <si>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</si>
  <si>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</si>
  <si>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</si>
  <si>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</si>
  <si>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</si>
  <si>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</si>
  <si>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</si>
  <si>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</si>
  <si>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</si>
  <si>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</si>
  <si>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</si>
  <si>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</si>
  <si>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</si>
  <si>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</si>
  <si>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</si>
  <si>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</si>
  <si>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</si>
  <si>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</si>
  <si>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</si>
  <si>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</si>
  <si>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</si>
  <si>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</si>
  <si>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</si>
  <si>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</si>
  <si>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</si>
  <si>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</si>
  <si>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</si>
  <si>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</si>
  <si>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</si>
  <si>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</si>
  <si>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</si>
  <si>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</si>
  <si>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</si>
  <si>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</si>
  <si>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</si>
  <si>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</si>
  <si>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</si>
  <si>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</si>
  <si>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</si>
  <si>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</si>
  <si>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</si>
  <si>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</si>
  <si>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</si>
  <si>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</si>
  <si>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</si>
  <si>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</si>
  <si>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</si>
  <si>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</si>
  <si>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</si>
  <si>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</si>
  <si>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</si>
  <si>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</si>
  <si>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</si>
  <si>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</si>
  <si>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</si>
  <si>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</si>
  <si>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</si>
  <si>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</si>
  <si>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</si>
  <si>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</si>
  <si>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</si>
  <si>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</si>
  <si>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</si>
  <si>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</si>
  <si>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</si>
  <si>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</si>
  <si>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</si>
  <si>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</si>
  <si>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</si>
  <si>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</si>
  <si>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</si>
  <si>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</si>
  <si>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</si>
  <si>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</si>
  <si>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</si>
  <si>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</si>
  <si>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</si>
  <si>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</si>
  <si>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</si>
  <si>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</si>
  <si>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</si>
  <si>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</si>
  <si>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</si>
  <si>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</si>
  <si>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</si>
  <si>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</si>
  <si>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</si>
  <si>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</si>
  <si>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</si>
  <si>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</si>
  <si>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</si>
  <si>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</si>
  <si>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</si>
  <si>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</si>
  <si>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</si>
  <si>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</si>
  <si>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</si>
  <si>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</si>
  <si>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</si>
  <si>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</si>
  <si>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</si>
  <si>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</si>
  <si>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</si>
  <si>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</si>
  <si>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</si>
  <si>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</si>
  <si>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</si>
  <si>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</si>
  <si>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</si>
  <si>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</si>
  <si>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</si>
  <si>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</si>
  <si>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</si>
  <si>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</si>
  <si>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</si>
  <si>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</si>
  <si>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</si>
  <si>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</si>
  <si>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</si>
  <si>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</si>
  <si>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</si>
  <si>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</si>
  <si>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</si>
  <si>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</si>
  <si>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</si>
  <si>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</si>
  <si>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</si>
  <si>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</si>
  <si>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</si>
  <si>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</si>
  <si>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</si>
  <si>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</si>
  <si>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</si>
  <si>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</si>
  <si>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</si>
  <si>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</si>
  <si>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</si>
  <si>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</si>
  <si>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</si>
  <si>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</si>
  <si>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</si>
  <si>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</si>
  <si>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</si>
  <si>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</si>
  <si>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</si>
  <si>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</si>
  <si>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</si>
  <si>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</si>
  <si>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</si>
  <si>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</si>
  <si>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</si>
  <si>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</si>
  <si>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</si>
  <si>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</si>
  <si>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</si>
  <si>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</si>
  <si>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</si>
  <si>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</si>
  <si>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</si>
  <si>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</si>
  <si>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</si>
  <si>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</si>
  <si>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</si>
  <si>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</si>
  <si>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</si>
  <si>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</si>
  <si>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</si>
  <si>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</si>
  <si>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</si>
  <si>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</si>
  <si>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</si>
  <si>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</si>
  <si>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</si>
  <si>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</si>
  <si>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</si>
  <si>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</si>
  <si>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</si>
  <si>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</si>
  <si>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</si>
  <si>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</si>
  <si>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</si>
  <si>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</si>
  <si>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</si>
  <si>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</si>
  <si>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</si>
  <si>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</si>
  <si>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</si>
  <si>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</si>
  <si>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</si>
  <si>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</si>
  <si>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</si>
  <si>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</si>
  <si>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</si>
  <si>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</si>
  <si>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</si>
  <si>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</si>
  <si>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</si>
  <si>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</si>
  <si>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</si>
  <si>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</si>
  <si>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</si>
  <si>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</si>
  <si>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</si>
  <si>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</si>
  <si>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</si>
  <si>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</si>
  <si>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</si>
  <si>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</si>
  <si>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</si>
  <si>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</si>
  <si>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</si>
  <si>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</si>
  <si>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</si>
  <si>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</si>
  <si>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</si>
  <si>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</si>
  <si>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</si>
  <si>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</si>
  <si>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</si>
  <si>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</si>
  <si>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</si>
  <si>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</si>
  <si>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</si>
  <si>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</si>
  <si>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</si>
  <si>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</si>
  <si>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</si>
  <si>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</si>
  <si>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</si>
  <si>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</si>
  <si>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</si>
  <si>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</si>
  <si>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</si>
  <si>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</si>
  <si>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</si>
  <si>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</si>
  <si>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</si>
  <si>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</si>
  <si>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</si>
  <si>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</si>
  <si>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</si>
  <si>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</si>
  <si>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</si>
  <si>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</si>
  <si>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</si>
  <si>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</si>
  <si>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</si>
  <si>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</si>
  <si>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</si>
  <si>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</si>
  <si>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</si>
  <si>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</si>
  <si>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</si>
  <si>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</si>
  <si>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</si>
  <si>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</si>
  <si>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</si>
  <si>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</si>
  <si>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</si>
  <si>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</si>
  <si>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</si>
  <si>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</si>
  <si>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</si>
  <si>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</si>
  <si>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</si>
  <si>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</si>
  <si>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</si>
  <si>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</si>
  <si>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</si>
  <si>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</si>
  <si>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</si>
  <si>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</si>
  <si>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</si>
  <si>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</si>
  <si>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</si>
  <si>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</si>
  <si>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</si>
  <si>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</si>
  <si>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</si>
  <si>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</si>
  <si>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</si>
  <si>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</si>
  <si>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</si>
  <si>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</si>
  <si>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</si>
  <si>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</si>
  <si>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</si>
  <si>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</si>
  <si>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</si>
  <si>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</si>
  <si>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</si>
  <si>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</si>
  <si>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</si>
  <si>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</si>
  <si>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</si>
  <si>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</si>
  <si>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</si>
  <si>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</si>
  <si>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</si>
  <si>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</si>
  <si>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</si>
  <si>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</si>
  <si>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</si>
  <si>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</si>
  <si>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</si>
  <si>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</si>
  <si>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</si>
  <si>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</si>
  <si>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</si>
  <si>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</si>
  <si>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</si>
  <si>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</si>
  <si>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</si>
  <si>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</si>
  <si>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</si>
  <si>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</si>
  <si>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</si>
  <si>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</si>
  <si>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</si>
  <si>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</si>
  <si>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</si>
  <si>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</si>
  <si>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</si>
  <si>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</si>
  <si>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</si>
  <si>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</si>
  <si>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</si>
  <si>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</si>
  <si>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</si>
  <si>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</si>
  <si>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</si>
  <si>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</si>
  <si>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</si>
  <si>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</si>
  <si>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</si>
  <si>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</si>
  <si>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</si>
  <si>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</si>
  <si>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</si>
  <si>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</si>
  <si>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</si>
  <si>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</si>
  <si>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</si>
  <si>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</si>
  <si>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</si>
  <si>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</si>
  <si>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</si>
  <si>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</si>
  <si>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</si>
  <si>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</si>
  <si>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</si>
  <si>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</si>
  <si>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</si>
  <si>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</si>
  <si>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</si>
  <si>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</si>
  <si>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</si>
  <si>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</si>
  <si>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</si>
  <si>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</si>
  <si>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</si>
  <si>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</si>
  <si>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</si>
  <si>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</si>
  <si>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</si>
  <si>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</si>
  <si>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</si>
  <si>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</si>
  <si>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</si>
  <si>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</si>
  <si>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</si>
  <si>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</si>
  <si>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</si>
  <si>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</si>
  <si>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</si>
  <si>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</si>
  <si>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</si>
  <si>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</si>
  <si>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</si>
  <si>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</si>
  <si>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</si>
  <si>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</si>
  <si>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</si>
  <si>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</si>
  <si>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</si>
  <si>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</si>
  <si>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</si>
  <si>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</si>
  <si>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</si>
  <si>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</si>
  <si>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</si>
  <si>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</si>
  <si>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</si>
  <si>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</si>
  <si>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</si>
  <si>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</si>
  <si>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</si>
  <si>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</si>
  <si>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</si>
  <si>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</si>
  <si>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</si>
  <si>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</si>
  <si>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</si>
  <si>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</si>
  <si>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</si>
  <si>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</si>
  <si>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</si>
  <si>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</si>
  <si>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</si>
  <si>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</si>
  <si>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</si>
  <si>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</si>
  <si>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</si>
  <si>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</si>
  <si>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</si>
  <si>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</si>
  <si>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</si>
  <si>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</si>
  <si>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</si>
  <si>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</si>
  <si>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</si>
  <si>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</si>
  <si>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</si>
  <si>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</si>
  <si>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</si>
  <si>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</si>
  <si>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</si>
  <si>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</si>
  <si>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</si>
  <si>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</si>
  <si>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</si>
  <si>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</si>
  <si>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</si>
  <si>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</si>
  <si>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</si>
  <si>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</si>
  <si>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</si>
  <si>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</si>
  <si>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</si>
  <si>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</si>
  <si>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</si>
  <si>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</si>
  <si>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</si>
  <si>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</si>
  <si>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</si>
  <si>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</si>
  <si>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</si>
  <si>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</si>
  <si>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</si>
  <si>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</si>
  <si>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</si>
  <si>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</si>
  <si>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</si>
  <si>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</si>
  <si>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</si>
  <si>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</si>
  <si>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</si>
  <si>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</si>
  <si>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</si>
  <si>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</si>
  <si>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</si>
  <si>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</si>
  <si>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</si>
  <si>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</si>
  <si>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</si>
  <si>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</si>
  <si>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</si>
  <si>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</si>
  <si>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</si>
  <si>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</si>
  <si>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</si>
  <si>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</si>
  <si>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</si>
  <si>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</si>
  <si>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</si>
  <si>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</si>
  <si>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</si>
  <si>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</si>
  <si>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</si>
  <si>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</si>
  <si>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</si>
  <si>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</si>
  <si>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</si>
  <si>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</si>
  <si>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</si>
  <si>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</si>
  <si>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</si>
  <si>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</si>
  <si>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</si>
  <si>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</si>
  <si>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</si>
  <si>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</si>
  <si>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</si>
  <si>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</si>
  <si>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</si>
  <si>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</si>
  <si>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</si>
  <si>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</si>
  <si>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</si>
  <si>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</si>
  <si>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</si>
  <si>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</si>
  <si>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</si>
  <si>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</si>
  <si>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</si>
  <si>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</si>
  <si>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</si>
  <si>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</si>
  <si>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</si>
  <si>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</si>
  <si>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</si>
  <si>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</si>
  <si>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</si>
  <si>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</si>
  <si>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</si>
  <si>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</si>
  <si>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</si>
  <si>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</si>
  <si>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</si>
  <si>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</si>
  <si>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</si>
  <si>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</si>
  <si>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</si>
  <si>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</si>
  <si>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</si>
  <si>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</si>
  <si>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</si>
  <si>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</si>
  <si>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</si>
  <si>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</si>
  <si>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</si>
  <si>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</si>
  <si>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</si>
  <si>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</si>
  <si>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</si>
  <si>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</si>
  <si>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</si>
  <si>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</si>
  <si>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</si>
  <si>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</si>
  <si>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</si>
  <si>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</si>
  <si>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</si>
  <si>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</si>
  <si>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</si>
  <si>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</si>
  <si>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</si>
  <si>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</si>
  <si>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</si>
  <si>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</si>
  <si>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</si>
  <si>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</si>
  <si>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</si>
  <si>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</si>
  <si>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</si>
  <si>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</si>
  <si>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</si>
  <si>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</si>
  <si>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</si>
  <si>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</si>
  <si>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</si>
  <si>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</si>
  <si>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</si>
  <si>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</si>
  <si>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</si>
  <si>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</si>
  <si>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</si>
  <si>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</si>
  <si>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</si>
  <si>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</si>
  <si>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</si>
  <si>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</si>
  <si>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</si>
  <si>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</si>
  <si>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</si>
  <si>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</si>
  <si>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</si>
  <si>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</si>
  <si>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</si>
  <si>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</si>
  <si>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</si>
  <si>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</si>
  <si>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</si>
  <si>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</si>
  <si>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</si>
  <si>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</si>
  <si>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</si>
  <si>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</si>
  <si>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</si>
  <si>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</si>
  <si>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</si>
  <si>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</si>
  <si>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</si>
  <si>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</si>
  <si>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</si>
  <si>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</si>
  <si>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</si>
  <si>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</si>
  <si>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</si>
  <si>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</si>
  <si>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</si>
  <si>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</si>
  <si>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</si>
  <si>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</si>
  <si>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</si>
  <si>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</si>
  <si>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</si>
  <si>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</si>
  <si>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</si>
  <si>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</si>
  <si>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</si>
  <si>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</si>
  <si>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</si>
  <si>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</si>
  <si>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</si>
  <si>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</si>
  <si>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</si>
  <si>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</si>
  <si>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</si>
  <si>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</si>
  <si>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</si>
  <si>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</si>
  <si>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</si>
  <si>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</si>
  <si>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</si>
  <si>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</si>
  <si>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</si>
  <si>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</si>
  <si>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</si>
  <si>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</si>
  <si>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</si>
  <si>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</si>
  <si>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</si>
  <si>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</si>
  <si>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</si>
  <si>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</si>
  <si>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</si>
  <si>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</si>
  <si>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</si>
  <si>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</si>
  <si>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</si>
  <si>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</si>
  <si>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</si>
  <si>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</si>
  <si>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</si>
  <si>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</si>
  <si>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</si>
  <si>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</si>
  <si>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</si>
  <si>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</si>
  <si>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</si>
  <si>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</si>
  <si>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</si>
  <si>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</si>
  <si>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</si>
  <si>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</si>
  <si>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</si>
  <si>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</si>
  <si>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</si>
  <si>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</si>
  <si>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</si>
  <si>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</si>
  <si>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</si>
  <si>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</si>
  <si>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</si>
  <si>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</si>
  <si>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</si>
  <si>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</si>
  <si>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</si>
  <si>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</si>
  <si>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</si>
  <si>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</si>
  <si>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</si>
  <si>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</si>
  <si>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</si>
  <si>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</si>
  <si>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</si>
  <si>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</si>
  <si>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</si>
  <si>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</si>
  <si>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</si>
  <si>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</si>
  <si>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</si>
  <si>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</si>
  <si>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</si>
  <si>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</si>
  <si>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</si>
  <si>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</si>
  <si>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</si>
  <si>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</si>
  <si>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</si>
  <si>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</si>
  <si>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</si>
  <si>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</si>
  <si>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</si>
  <si>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</si>
  <si>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</si>
  <si>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</si>
  <si>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</si>
  <si>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</si>
  <si>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</si>
  <si>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</si>
  <si>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</si>
  <si>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</si>
  <si>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</si>
  <si>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</si>
  <si>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</si>
  <si>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</si>
  <si>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</si>
  <si>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</si>
  <si>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</si>
  <si>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</si>
  <si>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</si>
  <si>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</si>
  <si>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</si>
  <si>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</si>
  <si>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</si>
  <si>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</si>
  <si>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</si>
  <si>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</si>
  <si>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</si>
  <si>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</si>
  <si>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</si>
  <si>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</si>
  <si>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</si>
  <si>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</si>
  <si>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</si>
  <si>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</si>
  <si>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</si>
  <si>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</si>
  <si>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</si>
  <si>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</si>
  <si>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</si>
  <si>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</si>
  <si>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</si>
  <si>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</si>
  <si>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</si>
  <si>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</si>
  <si>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</si>
  <si>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</si>
  <si>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</si>
  <si>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</si>
  <si>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</si>
  <si>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</si>
  <si>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</si>
  <si>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</si>
  <si>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</si>
  <si>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</si>
  <si>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</si>
  <si>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</si>
  <si>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</si>
  <si>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</si>
  <si>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</si>
  <si>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</si>
  <si>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</si>
  <si>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</si>
  <si>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</si>
  <si>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</si>
  <si>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</si>
  <si>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</si>
  <si>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</si>
  <si>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</si>
  <si>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</si>
  <si>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</si>
  <si>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</si>
  <si>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</si>
  <si>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</si>
  <si>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</si>
  <si>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</si>
  <si>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</si>
  <si>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</si>
  <si>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</si>
  <si>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</si>
  <si>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</si>
  <si>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</si>
  <si>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</si>
  <si>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</si>
  <si>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</si>
  <si>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</si>
  <si>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</si>
  <si>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</si>
  <si>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</si>
  <si>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</si>
  <si>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</si>
  <si>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</si>
  <si>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</si>
  <si>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</si>
  <si>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</si>
  <si>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</si>
  <si>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</si>
  <si>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</si>
  <si>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</si>
  <si>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</si>
  <si>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</si>
  <si>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</si>
  <si>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</si>
  <si>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</si>
  <si>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</si>
  <si>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</si>
  <si>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</si>
  <si>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</si>
  <si>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</si>
  <si>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</si>
  <si>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</si>
  <si>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</si>
  <si>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</si>
  <si>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</si>
  <si>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</si>
  <si>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</si>
  <si>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</si>
  <si>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</si>
  <si>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</si>
  <si>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</si>
  <si>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</si>
  <si>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</si>
  <si>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</si>
  <si>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</si>
  <si>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</si>
  <si>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</si>
  <si>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</si>
  <si>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</si>
  <si>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</si>
  <si>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</si>
  <si>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</si>
  <si>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</si>
  <si>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</si>
  <si>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</si>
  <si>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</si>
  <si>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</si>
  <si>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</si>
  <si>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</si>
  <si>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</si>
  <si>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</si>
  <si>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</si>
  <si>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</si>
  <si>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</si>
  <si>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</si>
  <si>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</si>
  <si>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</si>
  <si>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</si>
  <si>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</si>
  <si>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</si>
  <si>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</si>
  <si>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</si>
  <si>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</si>
  <si>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</si>
  <si>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</si>
  <si>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</si>
  <si>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</si>
  <si>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</si>
  <si>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</si>
  <si>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</si>
  <si>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</si>
  <si>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</si>
  <si>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</si>
  <si>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</si>
  <si>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</si>
  <si>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</si>
  <si>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</si>
  <si>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</si>
  <si>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</si>
  <si>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</si>
  <si>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</si>
  <si>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</si>
  <si>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</si>
  <si>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</si>
  <si>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</si>
  <si>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</si>
  <si>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</si>
  <si>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</si>
  <si>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</si>
  <si>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</si>
  <si>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</si>
  <si>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</si>
  <si>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</si>
  <si>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</si>
  <si>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</si>
  <si>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</si>
  <si>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</si>
  <si>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</si>
  <si>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</si>
  <si>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</si>
  <si>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</si>
  <si>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</si>
  <si>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</si>
  <si>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</si>
  <si>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</si>
  <si>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</si>
  <si>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</si>
  <si>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</si>
  <si>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</si>
  <si>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</si>
  <si>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</si>
  <si>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</si>
  <si>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</si>
  <si>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</si>
  <si>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</si>
  <si>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</si>
  <si>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</si>
  <si>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</si>
  <si>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</si>
  <si>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</si>
  <si>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</si>
  <si>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</si>
  <si>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</si>
  <si>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</si>
  <si>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</si>
  <si>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</si>
  <si>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</si>
  <si>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</si>
  <si>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</si>
  <si>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</si>
  <si>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</si>
  <si>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</si>
  <si>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</si>
  <si>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</si>
  <si>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</si>
  <si>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</si>
  <si>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</si>
  <si>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</si>
  <si>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</si>
  <si>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</si>
  <si>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</si>
  <si>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</si>
  <si>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</si>
  <si>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</si>
  <si>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</si>
  <si>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</si>
  <si>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</si>
  <si>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</si>
  <si>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</si>
  <si>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</si>
  <si>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</si>
  <si>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</si>
  <si>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</si>
  <si>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</si>
  <si>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</si>
  <si>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</si>
  <si>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</si>
  <si>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</si>
  <si>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</si>
  <si>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</si>
  <si>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</si>
  <si>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</si>
  <si>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</si>
  <si>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</si>
  <si>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</si>
  <si>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</si>
  <si>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</si>
  <si>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</si>
  <si>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</si>
  <si>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</si>
  <si>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</si>
  <si>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</si>
  <si>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</si>
  <si>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</si>
  <si>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</si>
  <si>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</si>
  <si>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</si>
  <si>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</si>
  <si>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</si>
  <si>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</si>
  <si>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</si>
  <si>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</si>
  <si>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</si>
  <si>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</si>
  <si>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</si>
  <si>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</si>
  <si>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</si>
  <si>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</si>
  <si>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</si>
  <si>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</si>
  <si>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</si>
  <si>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</si>
  <si>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</si>
  <si>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</si>
  <si>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</si>
  <si>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</si>
  <si>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</si>
  <si>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</si>
  <si>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</si>
  <si>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</si>
  <si>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</si>
  <si>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</si>
  <si>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</si>
  <si>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</si>
  <si>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</si>
  <si>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</si>
  <si>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</si>
  <si>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</si>
  <si>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</si>
  <si>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</si>
  <si>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</si>
  <si>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</si>
  <si>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</si>
  <si>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</si>
  <si>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</si>
  <si>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</si>
  <si>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</si>
  <si>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</si>
  <si>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</si>
  <si>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</si>
  <si>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</si>
  <si>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</si>
  <si>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</si>
  <si>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</si>
  <si>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</si>
  <si>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</si>
  <si>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</si>
  <si>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</si>
  <si>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</si>
  <si>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</si>
  <si>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</si>
  <si>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</si>
  <si>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</si>
  <si>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</si>
  <si>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</si>
  <si>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</si>
  <si>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</si>
  <si>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</si>
  <si>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</si>
  <si>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</si>
  <si>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</si>
  <si>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</si>
  <si>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</si>
  <si>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</si>
  <si>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</si>
  <si>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</si>
  <si>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</si>
  <si>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</si>
  <si>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</si>
  <si>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</si>
  <si>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</si>
  <si>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</si>
  <si>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</si>
  <si>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</si>
  <si>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</si>
  <si>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</si>
  <si>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</si>
  <si>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</si>
  <si>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</si>
  <si>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</si>
  <si>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</si>
  <si>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</si>
  <si>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</si>
  <si>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</si>
  <si>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</si>
  <si>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</si>
  <si>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</si>
  <si>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</si>
  <si>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</si>
  <si>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</si>
  <si>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</si>
  <si>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</si>
  <si>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</si>
  <si>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</si>
  <si>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</si>
  <si>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</si>
  <si>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</si>
  <si>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</si>
  <si>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</si>
  <si>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</si>
  <si>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</si>
  <si>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</si>
  <si>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</si>
  <si>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</si>
  <si>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</si>
  <si>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</si>
  <si>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</si>
  <si>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</si>
  <si>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</si>
  <si>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</si>
  <si>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</si>
  <si>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</si>
  <si>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</si>
  <si>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</si>
  <si>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</si>
  <si>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</si>
  <si>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</si>
  <si>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</si>
  <si>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</si>
  <si>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</si>
  <si>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</si>
  <si>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</si>
  <si>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</si>
  <si>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</si>
  <si>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</si>
  <si>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</si>
  <si>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</si>
  <si>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</si>
  <si>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</si>
  <si>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</si>
  <si>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</si>
  <si>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</si>
  <si>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</si>
  <si>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</si>
  <si>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</si>
  <si>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</si>
  <si>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</si>
  <si>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</si>
  <si>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</si>
  <si>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</si>
  <si>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</si>
  <si>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</si>
  <si>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</si>
  <si>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</si>
  <si>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</si>
  <si>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</si>
  <si>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</si>
  <si>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</si>
  <si>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</si>
  <si>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</si>
  <si>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</si>
  <si>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</si>
  <si>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</si>
  <si>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</si>
  <si>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</si>
  <si>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</si>
  <si>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</si>
  <si>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</si>
  <si>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</si>
  <si>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</si>
  <si>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</si>
  <si>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</si>
  <si>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</si>
  <si>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</si>
  <si>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</si>
  <si>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</si>
  <si>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</si>
  <si>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</si>
  <si>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</si>
  <si>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</si>
  <si>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</si>
  <si>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</si>
  <si>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</si>
  <si>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</si>
  <si>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</si>
  <si>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</si>
  <si>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</si>
  <si>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</si>
  <si>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</si>
  <si>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</si>
  <si>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</si>
  <si>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</si>
  <si>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</si>
  <si>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</si>
  <si>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</si>
  <si>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</si>
  <si>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</si>
  <si>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</si>
  <si>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</si>
  <si>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</si>
  <si>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</si>
  <si>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</si>
  <si>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</si>
  <si>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</si>
  <si>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</si>
  <si>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</si>
  <si>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</si>
  <si>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</si>
  <si>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</si>
  <si>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</si>
  <si>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</si>
  <si>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</si>
  <si>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</si>
  <si>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</si>
  <si>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</si>
  <si>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</si>
  <si>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</si>
  <si>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</si>
  <si>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</si>
  <si>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</si>
  <si>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</si>
  <si>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</si>
  <si>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</si>
  <si>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</si>
  <si>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</si>
  <si>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</si>
  <si>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</si>
  <si>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</si>
  <si>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</si>
  <si>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</si>
  <si>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</si>
  <si>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</si>
  <si>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</si>
  <si>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</si>
  <si>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</si>
  <si>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</si>
  <si>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</si>
  <si>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</si>
  <si>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</si>
  <si>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</si>
  <si>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</si>
  <si>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</si>
  <si>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</si>
  <si>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</si>
  <si>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</si>
  <si>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</si>
  <si>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</si>
  <si>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</si>
  <si>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</si>
  <si>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</si>
  <si>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</si>
  <si>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</si>
  <si>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</si>
  <si>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</si>
  <si>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</si>
  <si>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</si>
  <si>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</si>
  <si>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</si>
  <si>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</si>
  <si>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</si>
  <si>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</si>
  <si>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</si>
  <si>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</si>
  <si>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</si>
  <si>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</si>
  <si>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</si>
  <si>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</si>
  <si>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</si>
  <si>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</si>
  <si>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</si>
  <si>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</si>
  <si>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</si>
  <si>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</si>
  <si>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</si>
  <si>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</si>
  <si>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</si>
  <si>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</si>
  <si>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</si>
  <si>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</si>
  <si>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</si>
  <si>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</si>
  <si>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</si>
  <si>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</si>
  <si>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</si>
  <si>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</si>
  <si>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</si>
  <si>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</si>
  <si>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</si>
  <si>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</si>
  <si>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</si>
  <si>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</si>
  <si>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</si>
  <si>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</si>
  <si>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</si>
  <si>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</si>
  <si>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</si>
  <si>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</si>
  <si>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</si>
  <si>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</si>
  <si>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</si>
  <si>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</si>
  <si>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</si>
  <si>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</si>
  <si>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</si>
  <si>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</si>
  <si>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</si>
  <si>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</si>
  <si>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</si>
  <si>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</si>
  <si>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</si>
  <si>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</si>
  <si>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</si>
  <si>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</si>
  <si>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</si>
  <si>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</si>
  <si>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</si>
  <si>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</si>
  <si>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</si>
  <si>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</si>
  <si>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</si>
  <si>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</si>
  <si>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</si>
  <si>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</si>
  <si>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</si>
  <si>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</si>
  <si>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</si>
  <si>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</si>
  <si>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</si>
  <si>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</si>
  <si>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</si>
  <si>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</si>
  <si>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</si>
  <si>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</si>
  <si>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</si>
  <si>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</si>
  <si>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</si>
  <si>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</si>
  <si>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</si>
  <si>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</si>
  <si>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</si>
  <si>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</si>
  <si>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</si>
  <si>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</si>
  <si>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</si>
  <si>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</si>
  <si>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</si>
  <si>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</si>
  <si>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</si>
  <si>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</si>
  <si>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</si>
  <si>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</si>
  <si>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</si>
  <si>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</si>
  <si>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</si>
  <si>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</si>
  <si>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</si>
  <si>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</si>
  <si>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</si>
  <si>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</si>
  <si>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</si>
  <si>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</si>
  <si>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</si>
  <si>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</si>
  <si>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</si>
  <si>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</si>
  <si>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</si>
  <si>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</si>
  <si>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</si>
  <si>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</si>
  <si>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</si>
  <si>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</si>
  <si>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</si>
  <si>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</si>
  <si>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</si>
  <si>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</si>
  <si>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</si>
  <si>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</si>
  <si>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</si>
  <si>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</si>
  <si>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</si>
  <si>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</si>
  <si>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</si>
  <si>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</si>
  <si>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</si>
  <si>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</si>
  <si>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</si>
  <si>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</si>
  <si>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</si>
  <si>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</si>
  <si>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</si>
  <si>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</si>
  <si>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</si>
  <si>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</si>
  <si>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</si>
  <si>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</si>
  <si>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</si>
  <si>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</si>
  <si>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</si>
  <si>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</si>
  <si>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</si>
  <si>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</si>
  <si>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</si>
  <si>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</si>
  <si>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</si>
  <si>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</si>
  <si>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</si>
  <si>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</si>
  <si>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</si>
  <si>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</si>
  <si>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</si>
  <si>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indépendamment (sauf les deux corrélations déclarées).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</si>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</sst>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8">
    <numFmt numFmtId="164" formatCode="General"/>
    <numFmt numFmtId="165" formatCode="0%"/>
    <numFmt numFmtId="166" formatCode="#,##0;\(#,##0\);\-"/>
    <numFmt numFmtId="167" formatCode="0.00\x;\(0.00&quot;x)&quot;;\-"/>
    <numFmt numFmtId="168" formatCode="#,##0.00;\(#,##0.00\);\-"/>
    <numFmt numFmtId="169" formatCode="0.0\x"/>
    <numFmt numFmtId="170" formatCode="0.0%;\(0.0%\);\-"/>
    <numFmt numFmtId="171" formatCode="#,##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7" fontId="14" fillId="0" borderId="0"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1"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8812493"/>
        <c:axId val="95182241"/>
      </c:barChart>
      <c:catAx>
        <c:axId val="88124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5182241"/>
        <c:crosses val="autoZero"/>
        <c:auto val="1"/>
        <c:lblAlgn val="ctr"/>
        <c:lblOffset val="100"/>
        <c:noMultiLvlLbl val="0"/>
      </c:catAx>
      <c:valAx>
        <c:axId val="9518224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812493"/>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41386012"/>
        <c:axId val="79488987"/>
      </c:barChart>
      <c:catAx>
        <c:axId val="41386012"/>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79488987"/>
        <c:crosses val="autoZero"/>
        <c:auto val="1"/>
        <c:lblAlgn val="ctr"/>
        <c:lblOffset val="100"/>
        <c:noMultiLvlLbl val="0"/>
      </c:catAx>
      <c:valAx>
        <c:axId val="79488987"/>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138601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82852111"/>
        <c:axId val="42224698"/>
      </c:barChart>
      <c:catAx>
        <c:axId val="828521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2224698"/>
        <c:crosses val="autoZero"/>
        <c:auto val="1"/>
        <c:lblAlgn val="ctr"/>
        <c:lblOffset val="100"/>
        <c:noMultiLvlLbl val="0"/>
      </c:catAx>
      <c:valAx>
        <c:axId val="4222469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285211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83780390"/>
        <c:axId val="93025892"/>
      </c:lineChart>
      <c:catAx>
        <c:axId val="837803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3025892"/>
        <c:crosses val="autoZero"/>
        <c:auto val="1"/>
        <c:lblAlgn val="ctr"/>
        <c:lblOffset val="100"/>
        <c:noMultiLvlLbl val="0"/>
      </c:catAx>
      <c:valAx>
        <c:axId val="9302589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3780390"/>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60659928"/>
        <c:axId val="76157389"/>
      </c:barChart>
      <c:catAx>
        <c:axId val="606599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6157389"/>
        <c:crosses val="autoZero"/>
        <c:auto val="1"/>
        <c:lblAlgn val="ctr"/>
        <c:lblOffset val="100"/>
        <c:noMultiLvlLbl val="0"/>
      </c:catAx>
      <c:valAx>
        <c:axId val="76157389"/>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0659928"/>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6" t="n">
        <f aca="false">Distribution!$C$22</f>
        <v>0</v>
      </c>
      <c r="D7" s="2"/>
      <c r="E7" s="2"/>
      <c r="F7" s="2"/>
    </row>
    <row r="8" customFormat="false" ht="15" hidden="false" customHeight="false" outlineLevel="0" collapsed="false">
      <c r="A8" s="2"/>
      <c r="B8" s="5" t="s">
        <v>6</v>
      </c>
      <c r="C8" s="7" t="n">
        <f aca="false">Distribution!$F$13</f>
        <v>2145.19975866013</v>
      </c>
      <c r="D8" s="2"/>
      <c r="E8" s="2"/>
      <c r="F8" s="2"/>
    </row>
    <row r="9" customFormat="false" ht="15" hidden="false" customHeight="false" outlineLevel="0" collapsed="false">
      <c r="A9" s="2"/>
      <c r="B9" s="5" t="s">
        <v>7</v>
      </c>
      <c r="C9" s="8" t="n">
        <f aca="false">Trajectoire!$D$33</f>
        <v>3.01771731406222</v>
      </c>
      <c r="D9" s="2"/>
      <c r="E9" s="2"/>
      <c r="F9" s="2"/>
    </row>
    <row r="10" customFormat="false" ht="15" hidden="false" customHeight="false" outlineLevel="0" collapsed="false">
      <c r="A10" s="2"/>
      <c r="B10" s="5" t="s">
        <v>8</v>
      </c>
      <c r="C10" s="8" t="n">
        <f aca="false">Trajectoire!$D$45</f>
        <v>2.80320887741352</v>
      </c>
      <c r="D10" s="2"/>
      <c r="E10" s="2"/>
      <c r="F10" s="2"/>
    </row>
    <row r="11" customFormat="false" ht="15" hidden="false" customHeight="false" outlineLevel="0" collapsed="false">
      <c r="A11" s="2"/>
      <c r="B11" s="5" t="s">
        <v>9</v>
      </c>
      <c r="C11" s="7" t="n">
        <f aca="false">Trajectoire!$D$46</f>
        <v>1570.67466937297</v>
      </c>
      <c r="D11" s="2"/>
      <c r="E11" s="2"/>
      <c r="F11" s="2"/>
    </row>
    <row r="12" customFormat="false" ht="15" hidden="false" customHeight="false" outlineLevel="0" collapsed="false">
      <c r="A12" s="2"/>
      <c r="B12" s="5" t="s">
        <v>10</v>
      </c>
      <c r="C12" s="7" t="n">
        <f aca="false">Trajectoire!$D$47</f>
        <v>2263.61937644927</v>
      </c>
      <c r="D12" s="2"/>
      <c r="E12" s="2"/>
      <c r="F12" s="2"/>
    </row>
    <row r="13" customFormat="false" ht="15" hidden="false" customHeight="false" outlineLevel="0" collapsed="false">
      <c r="A13" s="2"/>
      <c r="B13" s="5" t="s">
        <v>11</v>
      </c>
      <c r="C13" s="7" t="n">
        <f aca="false">Trajectoire!$D$48</f>
        <v>-18.5694927233199</v>
      </c>
      <c r="D13" s="2"/>
      <c r="E13" s="2"/>
      <c r="F13" s="2"/>
    </row>
    <row r="14" customFormat="false" ht="15" hidden="false" customHeight="false" outlineLevel="0" collapsed="false">
      <c r="A14" s="2"/>
      <c r="B14" s="5" t="s">
        <v>12</v>
      </c>
      <c r="C14" s="7" t="n">
        <f aca="false">Trajectoire!$AE$46</f>
        <v>-534.954329754553</v>
      </c>
      <c r="D14" s="2"/>
      <c r="E14" s="2"/>
      <c r="F14" s="2"/>
    </row>
    <row r="15" customFormat="false" ht="15" hidden="false" customHeight="false" outlineLevel="0" collapsed="false">
      <c r="A15" s="2"/>
      <c r="B15" s="5" t="s">
        <v>13</v>
      </c>
      <c r="C15" s="8" t="n">
        <f aca="false">Levier!$C$126</f>
        <v>3.06005506534074</v>
      </c>
      <c r="D15" s="2"/>
      <c r="E15" s="2"/>
      <c r="F15" s="2"/>
    </row>
    <row r="16" customFormat="false" ht="15" hidden="false" customHeight="false" outlineLevel="0" collapsed="false">
      <c r="A16" s="2"/>
      <c r="B16" s="5" t="s">
        <v>14</v>
      </c>
      <c r="C16" s="9" t="n">
        <f aca="false">Cessions!$C$45</f>
        <v>4.773</v>
      </c>
      <c r="D16" s="2"/>
      <c r="E16" s="2"/>
      <c r="F16" s="2"/>
    </row>
    <row r="17" customFormat="false" ht="15" hidden="false" customHeight="false" outlineLevel="0" collapsed="false">
      <c r="A17" s="2"/>
      <c r="B17" s="5" t="s">
        <v>15</v>
      </c>
      <c r="C17" s="7" t="n">
        <f aca="false">Levier!$C$46</f>
        <v>-63.7999999999993</v>
      </c>
      <c r="D17" s="2"/>
      <c r="E17" s="2"/>
      <c r="F17" s="2"/>
    </row>
    <row r="18" customFormat="false" ht="15" hidden="false" customHeight="false" outlineLevel="0" collapsed="false">
      <c r="A18" s="2"/>
      <c r="B18" s="5" t="s">
        <v>16</v>
      </c>
      <c r="C18" s="7" t="n">
        <f aca="false">Trajectoire!$D$57</f>
        <v>4333.42681779325</v>
      </c>
      <c r="D18" s="2"/>
      <c r="E18" s="2"/>
      <c r="F18" s="2"/>
    </row>
    <row r="19" customFormat="false" ht="15" hidden="false" customHeight="false" outlineLevel="0" collapsed="false">
      <c r="A19" s="2"/>
      <c r="B19" s="5" t="s">
        <v>17</v>
      </c>
      <c r="C19" s="10" t="str">
        <f aca="false">Trajectoire!$D$59</f>
        <v>Veolia : levier ≤ 3x</v>
      </c>
      <c r="D19" s="2"/>
      <c r="E19" s="2"/>
      <c r="F19" s="2"/>
    </row>
    <row r="20" customFormat="false" ht="15" hidden="false" customHeight="false" outlineLevel="0" collapsed="false">
      <c r="A20" s="2"/>
      <c r="B20" s="5" t="s">
        <v>18</v>
      </c>
      <c r="C20" s="7" t="n">
        <f aca="false">Segments!$E$31</f>
        <v>8094.42222686603</v>
      </c>
      <c r="D20" s="2"/>
      <c r="E20" s="2"/>
      <c r="F20" s="2"/>
    </row>
    <row r="21" customFormat="false" ht="15" hidden="false" customHeight="false" outlineLevel="0" collapsed="false">
      <c r="A21" s="2"/>
      <c r="B21" s="5" t="s">
        <v>19</v>
      </c>
      <c r="C21" s="11" t="n">
        <f aca="false">Booster!$C$52</f>
        <v>19.339616559869</v>
      </c>
      <c r="D21" s="2"/>
      <c r="E21" s="2"/>
      <c r="F21" s="2"/>
    </row>
    <row r="22" customFormat="false" ht="15" hidden="false" customHeight="false" outlineLevel="0" collapsed="false">
      <c r="A22" s="2"/>
      <c r="B22" s="5" t="s">
        <v>20</v>
      </c>
      <c r="C22" s="7" t="n">
        <f aca="false">Trajectoire!$D$60</f>
        <v>2263.61937644927</v>
      </c>
      <c r="D22" s="2"/>
      <c r="E22" s="2"/>
      <c r="F22" s="2"/>
    </row>
    <row r="23" customFormat="false" ht="15" hidden="false" customHeight="false" outlineLevel="0" collapsed="false">
      <c r="A23" s="2"/>
      <c r="B23" s="5" t="s">
        <v>21</v>
      </c>
      <c r="C23" s="12" t="n">
        <f aca="false">'Pont EBITDA'!$C$13</f>
        <v>0.933333333333333</v>
      </c>
      <c r="D23" s="2"/>
      <c r="E23" s="2"/>
      <c r="F23" s="2"/>
    </row>
    <row r="24" customFormat="false" ht="15" hidden="false" customHeight="false" outlineLevel="0" collapsed="false">
      <c r="A24" s="2"/>
      <c r="B24" s="5" t="s">
        <v>22</v>
      </c>
      <c r="C24" s="12" t="n">
        <f aca="false">'Pont EBITDA'!$C$28</f>
        <v>0.933019053231192</v>
      </c>
      <c r="D24" s="2"/>
      <c r="E24" s="2"/>
      <c r="F24" s="2"/>
    </row>
    <row r="25" customFormat="false" ht="15" hidden="false" customHeight="false" outlineLevel="0" collapsed="false">
      <c r="A25" s="2"/>
      <c r="B25" s="5" t="s">
        <v>23</v>
      </c>
      <c r="C25" s="7" t="n">
        <f aca="false">'Pont EBITDA'!$E$70</f>
        <v>-529.325330627034</v>
      </c>
      <c r="D25" s="2"/>
      <c r="E25" s="2"/>
      <c r="F25" s="2"/>
    </row>
    <row r="26" customFormat="false" ht="15" hidden="false" customHeight="false" outlineLevel="0" collapsed="false">
      <c r="A26" s="2"/>
      <c r="B26" s="5" t="s">
        <v>24</v>
      </c>
      <c r="C26" s="10" t="str">
        <f aca="false">TEXT(Cibles!$C$32,"0.0")&amp;"x à "&amp;TEXT(Cibles!$C$34,"0.0")&amp;"x"</f>
        <v>7.4x à 11.0x</v>
      </c>
      <c r="D26" s="2"/>
      <c r="E26" s="2"/>
      <c r="F26" s="2"/>
    </row>
    <row r="27" customFormat="false" ht="15" hidden="false" customHeight="false" outlineLevel="0" collapsed="false">
      <c r="A27" s="2"/>
      <c r="B27" s="5" t="s">
        <v>25</v>
      </c>
      <c r="C27" s="10" t="str">
        <f aca="false">TEXT(Cibles!$C$44,"0.0")&amp;"x à "&amp;TEXT(Cibles!$C$45,"0.0")&amp;"x"</f>
        <v>11.1x à 14.1x</v>
      </c>
      <c r="D27" s="2"/>
      <c r="E27" s="2"/>
      <c r="F27" s="2"/>
    </row>
    <row r="28" customFormat="false" ht="15" hidden="false" customHeight="false" outlineLevel="0" collapsed="false">
      <c r="A28" s="2"/>
      <c r="B28" s="5" t="s">
        <v>26</v>
      </c>
      <c r="C28" s="11" t="n">
        <f aca="false">Cibles!$C$46</f>
        <v>0.897435897435898</v>
      </c>
      <c r="D28" s="2"/>
      <c r="E28" s="2"/>
      <c r="F28" s="2"/>
    </row>
    <row r="29" customFormat="false" ht="15" hidden="false" customHeight="false" outlineLevel="0" collapsed="false">
      <c r="A29" s="2"/>
      <c r="B29" s="5" t="s">
        <v>27</v>
      </c>
      <c r="C29" s="12" t="n">
        <f aca="false">Levier!$C$102</f>
        <v>0.089</v>
      </c>
      <c r="D29" s="2"/>
      <c r="E29" s="2"/>
      <c r="F29" s="2"/>
    </row>
    <row r="30" customFormat="false" ht="15" hidden="false" customHeight="false" outlineLevel="0" collapsed="false">
      <c r="A30" s="2"/>
      <c r="B30" s="5" t="s">
        <v>28</v>
      </c>
      <c r="C30" s="10" t="str">
        <f aca="false">'Pont EBITDA'!$C$91</f>
        <v>8 / 8</v>
      </c>
      <c r="D30" s="2"/>
      <c r="E30" s="2"/>
      <c r="F30" s="2"/>
    </row>
    <row r="31" customFormat="false" ht="15" hidden="false" customHeight="false" outlineLevel="0" collapsed="false">
      <c r="A31" s="2"/>
      <c r="B31" s="5" t="s">
        <v>29</v>
      </c>
      <c r="C31" s="7" t="n">
        <f aca="false">Levier!$C$117</f>
        <v>500</v>
      </c>
      <c r="D31" s="2"/>
      <c r="E31" s="2"/>
      <c r="F31" s="2"/>
    </row>
    <row r="32" customFormat="false" ht="15" hidden="false" customHeight="false" outlineLevel="0" collapsed="false">
      <c r="A32" s="2"/>
      <c r="B32" s="5" t="s">
        <v>30</v>
      </c>
      <c r="C32" s="7" t="n">
        <f aca="false">Sensibilité!$E$49</f>
        <v>-360</v>
      </c>
      <c r="D32" s="2"/>
      <c r="E32" s="2"/>
      <c r="F32" s="2"/>
    </row>
    <row r="33" customFormat="false" ht="15" hidden="false" customHeight="false" outlineLevel="0" collapsed="false">
      <c r="A33" s="2"/>
      <c r="B33" s="5" t="s">
        <v>31</v>
      </c>
      <c r="C33" s="7" t="n">
        <f aca="false">Sensibilité!$E$50</f>
        <v>-245.5</v>
      </c>
      <c r="D33" s="2"/>
      <c r="E33" s="2"/>
      <c r="F33" s="2"/>
    </row>
    <row r="34" customFormat="false" ht="15" hidden="false" customHeight="false" outlineLevel="0" collapsed="false">
      <c r="A34" s="2"/>
      <c r="B34" s="5" t="s">
        <v>32</v>
      </c>
      <c r="C34" s="12" t="n">
        <f aca="false">ESG!$C$43</f>
        <v>0.466666666666667</v>
      </c>
      <c r="D34" s="2"/>
      <c r="E34" s="2"/>
      <c r="F34" s="2"/>
    </row>
    <row r="35" customFormat="false" ht="15" hidden="false" customHeight="false" outlineLevel="0" collapsed="false">
      <c r="A35" s="2"/>
      <c r="B35" s="5" t="s">
        <v>33</v>
      </c>
      <c r="C35" s="12" t="n">
        <f aca="false">ESG!$C$46</f>
        <v>0.142857142857143</v>
      </c>
      <c r="D35" s="2"/>
      <c r="E35" s="2"/>
      <c r="F35" s="2"/>
    </row>
    <row r="36" customFormat="false" ht="15" hidden="false" customHeight="false" outlineLevel="0" collapsed="false">
      <c r="A36" s="2"/>
      <c r="B36" s="5" t="s">
        <v>34</v>
      </c>
      <c r="C36" s="12" t="n">
        <f aca="false">Cessions!$C$88</f>
        <v>0.127713920817369</v>
      </c>
      <c r="D36" s="2"/>
      <c r="E36" s="2"/>
      <c r="F36" s="2"/>
    </row>
    <row r="37" customFormat="false" ht="15" hidden="false" customHeight="false" outlineLevel="0" collapsed="false">
      <c r="A37" s="2"/>
      <c r="B37" s="5" t="s">
        <v>35</v>
      </c>
      <c r="C37" s="9" t="n">
        <f aca="false">Cessions!$C$112</f>
        <v>5.34045393858478</v>
      </c>
      <c r="D37" s="2"/>
      <c r="E37" s="2"/>
      <c r="F37" s="2"/>
    </row>
    <row r="38" customFormat="false" ht="15" hidden="false" customHeight="false" outlineLevel="0" collapsed="false">
      <c r="A38" s="2"/>
      <c r="B38" s="5" t="s">
        <v>36</v>
      </c>
      <c r="C38" s="8" t="n">
        <f aca="false">Échéancier!$C$41</f>
        <v>1.65017631196847</v>
      </c>
      <c r="D38" s="2"/>
      <c r="E38" s="2"/>
      <c r="F38" s="2"/>
    </row>
    <row r="39" customFormat="false" ht="15" hidden="false" customHeight="false" outlineLevel="0" collapsed="false">
      <c r="A39" s="2"/>
      <c r="B39" s="5" t="s">
        <v>37</v>
      </c>
      <c r="C39" s="7" t="n">
        <f aca="false">Échéancier!$C$26</f>
        <v>74.4695</v>
      </c>
      <c r="D39" s="2"/>
      <c r="E39" s="2"/>
      <c r="F39" s="2"/>
    </row>
    <row r="40" customFormat="false" ht="15" hidden="false" customHeight="false" outlineLevel="0" collapsed="false">
      <c r="A40" s="2"/>
      <c r="B40" s="5" t="s">
        <v>38</v>
      </c>
      <c r="C40" s="7" t="n">
        <f aca="false">Levier!$C$88</f>
        <v>5157</v>
      </c>
      <c r="D40" s="2"/>
      <c r="E40" s="2"/>
      <c r="F40" s="2"/>
    </row>
    <row r="41" customFormat="false" ht="15" hidden="false" customHeight="false" outlineLevel="0" collapsed="false">
      <c r="A41" s="2"/>
      <c r="B41" s="5" t="s">
        <v>39</v>
      </c>
      <c r="C41" s="10" t="str">
        <f aca="false">Vérifications!$F$57</f>
        <v>OK</v>
      </c>
      <c r="D41" s="2"/>
      <c r="E41" s="2"/>
      <c r="F41" s="2"/>
    </row>
    <row r="42" customFormat="false" ht="15" hidden="false" customHeight="false" outlineLevel="0" collapsed="false">
      <c r="A42" s="2"/>
      <c r="B42" s="5" t="s">
        <v>40</v>
      </c>
      <c r="C42" s="10" t="str">
        <f aca="false">Hypothèses!$A$3</f>
        <v>Scénario actif : base partout</v>
      </c>
      <c r="D42" s="2"/>
      <c r="E42" s="2"/>
      <c r="F42" s="2"/>
    </row>
    <row r="43" customFormat="false" ht="15" hidden="false" customHeight="false" outlineLevel="0" collapsed="false">
      <c r="A43" s="2"/>
      <c r="B43" s="2"/>
      <c r="C43" s="2"/>
      <c r="D43" s="2"/>
      <c r="E43" s="2"/>
      <c r="F43" s="2"/>
    </row>
    <row r="44" customFormat="false" ht="15" hidden="false" customHeight="false" outlineLevel="0" collapsed="false">
      <c r="A44" s="2"/>
      <c r="B44" s="4" t="s">
        <v>41</v>
      </c>
      <c r="C44" s="2"/>
      <c r="D44" s="2"/>
      <c r="E44" s="2"/>
      <c r="F44" s="2"/>
    </row>
    <row r="45" customFormat="false" ht="15" hidden="false" customHeight="true" outlineLevel="0" collapsed="false">
      <c r="A45" s="2"/>
      <c r="B45" s="13" t="s">
        <v>42</v>
      </c>
      <c r="C45" s="14" t="s">
        <v>43</v>
      </c>
      <c r="D45" s="14"/>
      <c r="E45" s="14"/>
      <c r="F45" s="14"/>
    </row>
    <row r="46" customFormat="false" ht="15" hidden="false" customHeight="true" outlineLevel="0" collapsed="false">
      <c r="A46" s="2"/>
      <c r="B46" s="15" t="s">
        <v>44</v>
      </c>
      <c r="C46" s="14" t="s">
        <v>45</v>
      </c>
      <c r="D46" s="14"/>
      <c r="E46" s="14"/>
      <c r="F46" s="14"/>
    </row>
    <row r="47" customFormat="false" ht="15" hidden="false" customHeight="true" outlineLevel="0" collapsed="false">
      <c r="A47" s="2"/>
      <c r="B47" s="16" t="s">
        <v>46</v>
      </c>
      <c r="C47" s="14" t="s">
        <v>47</v>
      </c>
      <c r="D47" s="14"/>
      <c r="E47" s="14"/>
      <c r="F47" s="14"/>
    </row>
    <row r="48" customFormat="false" ht="15" hidden="false" customHeight="true" outlineLevel="0" collapsed="false">
      <c r="A48" s="2"/>
      <c r="B48" s="17" t="s">
        <v>48</v>
      </c>
      <c r="C48" s="14" t="s">
        <v>49</v>
      </c>
      <c r="D48" s="14"/>
      <c r="E48" s="14"/>
      <c r="F48" s="14"/>
    </row>
    <row r="49" customFormat="false" ht="15" hidden="false" customHeight="true" outlineLevel="0" collapsed="false">
      <c r="A49" s="2"/>
      <c r="B49" s="18" t="s">
        <v>50</v>
      </c>
      <c r="C49" s="14" t="s">
        <v>51</v>
      </c>
      <c r="D49" s="14"/>
      <c r="E49" s="14"/>
      <c r="F49" s="14"/>
    </row>
    <row r="50" customFormat="false" ht="15" hidden="false" customHeight="true" outlineLevel="0" collapsed="false">
      <c r="A50" s="2"/>
      <c r="B50" s="19" t="s">
        <v>52</v>
      </c>
      <c r="C50" s="14" t="s">
        <v>53</v>
      </c>
      <c r="D50" s="14"/>
      <c r="E50" s="14"/>
      <c r="F50" s="14"/>
    </row>
    <row r="51" customFormat="false" ht="15" hidden="false" customHeight="false" outlineLevel="0" collapsed="false">
      <c r="A51" s="2"/>
      <c r="B51" s="2"/>
      <c r="C51" s="2"/>
      <c r="D51" s="2"/>
      <c r="E51" s="2"/>
      <c r="F51" s="2"/>
    </row>
    <row r="52" customFormat="false" ht="15" hidden="false" customHeight="false" outlineLevel="0" collapsed="false">
      <c r="A52" s="2"/>
      <c r="B52" s="4" t="s">
        <v>54</v>
      </c>
      <c r="C52" s="2"/>
      <c r="D52" s="2"/>
      <c r="E52" s="2"/>
      <c r="F52" s="2"/>
    </row>
    <row r="53" customFormat="false" ht="15" hidden="false" customHeight="false" outlineLevel="0" collapsed="false">
      <c r="A53" s="20"/>
      <c r="B53" s="20" t="s">
        <v>55</v>
      </c>
      <c r="C53" s="20" t="s">
        <v>56</v>
      </c>
      <c r="D53" s="20" t="s">
        <v>57</v>
      </c>
      <c r="E53" s="2"/>
      <c r="F53" s="2"/>
    </row>
    <row r="54" customFormat="false" ht="27.75" hidden="false" customHeight="true" outlineLevel="0" collapsed="false">
      <c r="A54" s="2"/>
      <c r="B54" s="21" t="s">
        <v>58</v>
      </c>
      <c r="C54" s="5" t="s">
        <v>59</v>
      </c>
      <c r="D54" s="14" t="s">
        <v>60</v>
      </c>
      <c r="E54" s="14"/>
      <c r="F54" s="14"/>
    </row>
    <row r="55" customFormat="false" ht="27.75" hidden="false" customHeight="true" outlineLevel="0" collapsed="false">
      <c r="A55" s="2"/>
      <c r="B55" s="21" t="s">
        <v>61</v>
      </c>
      <c r="C55" s="5" t="s">
        <v>62</v>
      </c>
      <c r="D55" s="14" t="s">
        <v>63</v>
      </c>
      <c r="E55" s="14"/>
      <c r="F55" s="14"/>
    </row>
    <row r="56" customFormat="false" ht="27.75" hidden="false" customHeight="true" outlineLevel="0" collapsed="false">
      <c r="A56" s="2"/>
      <c r="B56" s="21" t="s">
        <v>64</v>
      </c>
      <c r="C56" s="5" t="s">
        <v>65</v>
      </c>
      <c r="D56" s="14" t="s">
        <v>66</v>
      </c>
      <c r="E56" s="14"/>
      <c r="F56" s="14"/>
    </row>
    <row r="57" customFormat="false" ht="27.75" hidden="false" customHeight="true" outlineLevel="0" collapsed="false">
      <c r="A57" s="2"/>
      <c r="B57" s="21" t="s">
        <v>67</v>
      </c>
      <c r="C57" s="5" t="s">
        <v>68</v>
      </c>
      <c r="D57" s="14" t="s">
        <v>69</v>
      </c>
      <c r="E57" s="14"/>
      <c r="F57" s="14"/>
    </row>
    <row r="58" customFormat="false" ht="27.75" hidden="false" customHeight="true" outlineLevel="0" collapsed="false">
      <c r="A58" s="2"/>
      <c r="B58" s="21" t="s">
        <v>70</v>
      </c>
      <c r="C58" s="5" t="s">
        <v>71</v>
      </c>
      <c r="D58" s="14" t="s">
        <v>72</v>
      </c>
      <c r="E58" s="14"/>
      <c r="F58" s="14"/>
    </row>
    <row r="59" customFormat="false" ht="27.75" hidden="false" customHeight="true" outlineLevel="0" collapsed="false">
      <c r="A59" s="2"/>
      <c r="B59" s="21" t="s">
        <v>73</v>
      </c>
      <c r="C59" s="5" t="s">
        <v>74</v>
      </c>
      <c r="D59" s="14" t="s">
        <v>75</v>
      </c>
      <c r="E59" s="14"/>
      <c r="F59" s="14"/>
    </row>
    <row r="60" customFormat="false" ht="15" hidden="false" customHeight="false" outlineLevel="0" collapsed="false">
      <c r="A60" s="2"/>
      <c r="B60" s="2"/>
      <c r="C60" s="2"/>
      <c r="D60" s="2"/>
      <c r="E60" s="2"/>
      <c r="F60" s="2"/>
    </row>
    <row r="61" customFormat="false" ht="15" hidden="false" customHeight="false" outlineLevel="0" collapsed="false">
      <c r="A61" s="2"/>
      <c r="B61" s="4" t="s">
        <v>76</v>
      </c>
      <c r="C61" s="2"/>
      <c r="D61" s="2"/>
      <c r="E61" s="2"/>
      <c r="F61" s="2"/>
    </row>
    <row r="62" customFormat="false" ht="27.75" hidden="false" customHeight="true" outlineLevel="0" collapsed="false">
      <c r="A62" s="2"/>
      <c r="B62" s="14" t="s">
        <v>77</v>
      </c>
      <c r="C62" s="14"/>
      <c r="D62" s="14"/>
      <c r="E62" s="14"/>
      <c r="F62" s="14"/>
    </row>
    <row r="63" customFormat="false" ht="27.75" hidden="false" customHeight="true" outlineLevel="0" collapsed="false">
      <c r="A63" s="2"/>
      <c r="B63" s="14" t="s">
        <v>78</v>
      </c>
      <c r="C63" s="14"/>
      <c r="D63" s="14"/>
      <c r="E63" s="14"/>
      <c r="F63" s="14"/>
    </row>
    <row r="64" customFormat="false" ht="27.75" hidden="false" customHeight="true" outlineLevel="0" collapsed="false">
      <c r="A64" s="2"/>
      <c r="B64" s="14" t="s">
        <v>79</v>
      </c>
      <c r="C64" s="14"/>
      <c r="D64" s="14"/>
      <c r="E64" s="14"/>
      <c r="F64" s="14"/>
    </row>
    <row r="65" customFormat="false" ht="27.75" hidden="false" customHeight="true" outlineLevel="0" collapsed="false">
      <c r="A65" s="2"/>
      <c r="B65" s="14" t="s">
        <v>80</v>
      </c>
      <c r="C65" s="14"/>
      <c r="D65" s="14"/>
      <c r="E65" s="14"/>
      <c r="F65" s="14"/>
    </row>
    <row r="66" customFormat="false" ht="27.75" hidden="false" customHeight="true" outlineLevel="0" collapsed="false">
      <c r="A66" s="2"/>
      <c r="B66" s="14" t="s">
        <v>81</v>
      </c>
      <c r="C66" s="14"/>
      <c r="D66" s="14"/>
      <c r="E66" s="14"/>
      <c r="F66" s="14"/>
    </row>
    <row r="67" customFormat="false" ht="27.75" hidden="false" customHeight="true" outlineLevel="0" collapsed="false">
      <c r="A67" s="2"/>
      <c r="B67" s="14" t="s">
        <v>82</v>
      </c>
      <c r="C67" s="14"/>
      <c r="D67" s="14"/>
      <c r="E67" s="14"/>
      <c r="F67" s="14"/>
    </row>
    <row r="68" customFormat="false" ht="27.75" hidden="false" customHeight="true" outlineLevel="0" collapsed="false">
      <c r="A68" s="2"/>
      <c r="B68" s="14" t="s">
        <v>83</v>
      </c>
      <c r="C68" s="14"/>
      <c r="D68" s="14"/>
      <c r="E68" s="14"/>
      <c r="F68" s="14"/>
    </row>
  </sheetData>
  <mergeCells count="19">
    <mergeCell ref="C45:F45"/>
    <mergeCell ref="C46:F46"/>
    <mergeCell ref="C47:F47"/>
    <mergeCell ref="C48:F48"/>
    <mergeCell ref="C49:F49"/>
    <mergeCell ref="C50:F50"/>
    <mergeCell ref="D54:F54"/>
    <mergeCell ref="D55:F55"/>
    <mergeCell ref="D56:F56"/>
    <mergeCell ref="D57:F57"/>
    <mergeCell ref="D58:F58"/>
    <mergeCell ref="D59:F59"/>
    <mergeCell ref="B62:F62"/>
    <mergeCell ref="B63:F63"/>
    <mergeCell ref="B64:F64"/>
    <mergeCell ref="B65:F65"/>
    <mergeCell ref="B66:F66"/>
    <mergeCell ref="B67:F67"/>
    <mergeCell ref="B68:F6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84</v>
      </c>
      <c r="B1" s="2"/>
      <c r="C1" s="2"/>
      <c r="D1" s="2"/>
      <c r="E1" s="2"/>
      <c r="F1" s="2"/>
      <c r="G1" s="2"/>
      <c r="H1" s="2"/>
      <c r="I1" s="2"/>
      <c r="J1" s="2"/>
      <c r="K1" s="2"/>
      <c r="L1" s="2"/>
    </row>
    <row r="2" customFormat="false" ht="15" hidden="false" customHeight="false" outlineLevel="0" collapsed="false">
      <c r="A2" s="3" t="s">
        <v>85</v>
      </c>
      <c r="B2" s="2"/>
      <c r="C2" s="2"/>
      <c r="D2" s="2"/>
      <c r="E2" s="2"/>
      <c r="F2" s="2"/>
      <c r="G2" s="2"/>
      <c r="H2" s="2"/>
      <c r="I2" s="2"/>
      <c r="J2" s="2"/>
      <c r="K2" s="2"/>
      <c r="L2" s="2"/>
    </row>
    <row r="3" customFormat="false" ht="15" hidden="false" customHeight="false" outlineLevel="0" collapsed="false">
      <c r="A3" s="3" t="s">
        <v>86</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0" t="s">
        <v>87</v>
      </c>
      <c r="B5" s="20" t="s">
        <v>88</v>
      </c>
      <c r="C5" s="20" t="s">
        <v>89</v>
      </c>
      <c r="D5" s="20" t="s">
        <v>90</v>
      </c>
      <c r="E5" s="20" t="s">
        <v>91</v>
      </c>
      <c r="F5" s="20" t="s">
        <v>92</v>
      </c>
      <c r="G5" s="20" t="s">
        <v>93</v>
      </c>
      <c r="H5" s="20" t="s">
        <v>94</v>
      </c>
      <c r="I5" s="20" t="s">
        <v>55</v>
      </c>
      <c r="J5" s="20" t="s">
        <v>95</v>
      </c>
      <c r="K5" s="20" t="s">
        <v>96</v>
      </c>
      <c r="L5" s="20" t="s">
        <v>97</v>
      </c>
    </row>
    <row r="6" customFormat="false" ht="15" hidden="false" customHeight="false" outlineLevel="0" collapsed="false">
      <c r="A6" s="21" t="s">
        <v>98</v>
      </c>
      <c r="B6" s="5" t="s">
        <v>99</v>
      </c>
      <c r="C6" s="22" t="n">
        <v>3552</v>
      </c>
      <c r="D6" s="5" t="s">
        <v>100</v>
      </c>
      <c r="E6" s="5" t="s">
        <v>101</v>
      </c>
      <c r="F6" s="23" t="s">
        <v>102</v>
      </c>
      <c r="G6" s="5" t="s">
        <v>103</v>
      </c>
      <c r="H6" s="24" t="n">
        <v>47</v>
      </c>
      <c r="I6" s="5" t="s">
        <v>104</v>
      </c>
      <c r="J6" s="23" t="s">
        <v>105</v>
      </c>
      <c r="K6" s="23" t="s">
        <v>106</v>
      </c>
      <c r="L6" s="25" t="s">
        <v>107</v>
      </c>
    </row>
    <row r="7" customFormat="false" ht="15" hidden="false" customHeight="false" outlineLevel="0" collapsed="false">
      <c r="A7" s="26" t="s">
        <v>108</v>
      </c>
      <c r="B7" s="27" t="s">
        <v>109</v>
      </c>
      <c r="C7" s="28" t="n">
        <v>0.5</v>
      </c>
      <c r="D7" s="27" t="s">
        <v>110</v>
      </c>
      <c r="E7" s="27" t="s">
        <v>111</v>
      </c>
      <c r="F7" s="29" t="s">
        <v>112</v>
      </c>
      <c r="G7" s="27" t="s">
        <v>113</v>
      </c>
      <c r="H7" s="30" t="n">
        <v>63</v>
      </c>
      <c r="I7" s="27" t="s">
        <v>114</v>
      </c>
      <c r="J7" s="29" t="s">
        <v>115</v>
      </c>
      <c r="K7" s="29" t="s">
        <v>106</v>
      </c>
      <c r="L7" s="31" t="s">
        <v>107</v>
      </c>
    </row>
    <row r="8" customFormat="false" ht="15" hidden="false" customHeight="false" outlineLevel="0" collapsed="false">
      <c r="A8" s="21" t="s">
        <v>116</v>
      </c>
      <c r="B8" s="5" t="s">
        <v>99</v>
      </c>
      <c r="C8" s="22" t="n">
        <v>7050</v>
      </c>
      <c r="D8" s="5" t="s">
        <v>100</v>
      </c>
      <c r="E8" s="5" t="s">
        <v>117</v>
      </c>
      <c r="F8" s="23" t="s">
        <v>118</v>
      </c>
      <c r="G8" s="5" t="s">
        <v>119</v>
      </c>
      <c r="H8" s="24" t="n">
        <v>1</v>
      </c>
      <c r="I8" s="5" t="s">
        <v>104</v>
      </c>
      <c r="J8" s="23" t="s">
        <v>120</v>
      </c>
      <c r="K8" s="23" t="s">
        <v>106</v>
      </c>
      <c r="L8" s="25" t="s">
        <v>107</v>
      </c>
    </row>
    <row r="9" customFormat="false" ht="15" hidden="false" customHeight="false" outlineLevel="0" collapsed="false">
      <c r="A9" s="26" t="s">
        <v>121</v>
      </c>
      <c r="B9" s="27" t="s">
        <v>122</v>
      </c>
      <c r="C9" s="32" t="n">
        <v>3855</v>
      </c>
      <c r="D9" s="27" t="s">
        <v>100</v>
      </c>
      <c r="E9" s="27" t="s">
        <v>117</v>
      </c>
      <c r="F9" s="29" t="s">
        <v>123</v>
      </c>
      <c r="G9" s="27" t="s">
        <v>119</v>
      </c>
      <c r="H9" s="30" t="n">
        <v>1</v>
      </c>
      <c r="I9" s="27" t="s">
        <v>124</v>
      </c>
      <c r="J9" s="29" t="s">
        <v>120</v>
      </c>
      <c r="K9" s="29" t="s">
        <v>106</v>
      </c>
      <c r="L9" s="31" t="s">
        <v>107</v>
      </c>
    </row>
    <row r="10" customFormat="false" ht="15" hidden="false" customHeight="false" outlineLevel="0" collapsed="false">
      <c r="A10" s="21" t="s">
        <v>125</v>
      </c>
      <c r="B10" s="5" t="s">
        <v>126</v>
      </c>
      <c r="C10" s="33" t="n">
        <v>0.5</v>
      </c>
      <c r="D10" s="5" t="s">
        <v>127</v>
      </c>
      <c r="E10" s="5" t="s">
        <v>111</v>
      </c>
      <c r="F10" s="23" t="s">
        <v>112</v>
      </c>
      <c r="G10" s="5" t="s">
        <v>113</v>
      </c>
      <c r="H10" s="24" t="n">
        <v>63</v>
      </c>
      <c r="I10" s="5" t="s">
        <v>124</v>
      </c>
      <c r="J10" s="23" t="s">
        <v>115</v>
      </c>
      <c r="K10" s="23" t="s">
        <v>106</v>
      </c>
      <c r="L10" s="25" t="s">
        <v>107</v>
      </c>
    </row>
    <row r="11" customFormat="false" ht="15" hidden="false" customHeight="false" outlineLevel="0" collapsed="false">
      <c r="A11" s="26" t="s">
        <v>128</v>
      </c>
      <c r="B11" s="27" t="s">
        <v>129</v>
      </c>
      <c r="C11" s="32" t="n">
        <v>3</v>
      </c>
      <c r="D11" s="27" t="s">
        <v>130</v>
      </c>
      <c r="E11" s="27" t="s">
        <v>111</v>
      </c>
      <c r="F11" s="29" t="s">
        <v>131</v>
      </c>
      <c r="G11" s="27" t="s">
        <v>113</v>
      </c>
      <c r="H11" s="30" t="n">
        <v>64</v>
      </c>
      <c r="I11" s="27" t="s">
        <v>104</v>
      </c>
      <c r="J11" s="29" t="s">
        <v>115</v>
      </c>
      <c r="K11" s="29" t="s">
        <v>106</v>
      </c>
      <c r="L11" s="31" t="s">
        <v>107</v>
      </c>
    </row>
    <row r="12" customFormat="false" ht="15" hidden="false" customHeight="false" outlineLevel="0" collapsed="false">
      <c r="A12" s="21" t="s">
        <v>132</v>
      </c>
      <c r="B12" s="5" t="s">
        <v>133</v>
      </c>
      <c r="C12" s="33" t="n">
        <v>3.1</v>
      </c>
      <c r="D12" s="5" t="s">
        <v>110</v>
      </c>
      <c r="E12" s="5" t="s">
        <v>111</v>
      </c>
      <c r="F12" s="23" t="s">
        <v>134</v>
      </c>
      <c r="G12" s="5" t="s">
        <v>113</v>
      </c>
      <c r="H12" s="24" t="n">
        <v>63</v>
      </c>
      <c r="I12" s="5" t="s">
        <v>124</v>
      </c>
      <c r="J12" s="23" t="s">
        <v>115</v>
      </c>
      <c r="K12" s="23" t="s">
        <v>106</v>
      </c>
      <c r="L12" s="25" t="s">
        <v>107</v>
      </c>
    </row>
    <row r="13" customFormat="false" ht="15" hidden="false" customHeight="false" outlineLevel="0" collapsed="false">
      <c r="A13" s="26" t="s">
        <v>135</v>
      </c>
      <c r="B13" s="27" t="s">
        <v>136</v>
      </c>
      <c r="C13" s="32" t="n">
        <v>19657</v>
      </c>
      <c r="D13" s="27" t="s">
        <v>100</v>
      </c>
      <c r="E13" s="27" t="s">
        <v>137</v>
      </c>
      <c r="F13" s="29" t="s">
        <v>138</v>
      </c>
      <c r="G13" s="27" t="s">
        <v>119</v>
      </c>
      <c r="H13" s="30" t="n">
        <v>1</v>
      </c>
      <c r="I13" s="27" t="s">
        <v>104</v>
      </c>
      <c r="J13" s="29" t="s">
        <v>120</v>
      </c>
      <c r="K13" s="29" t="s">
        <v>106</v>
      </c>
      <c r="L13" s="31" t="s">
        <v>107</v>
      </c>
    </row>
    <row r="14" customFormat="false" ht="15" hidden="false" customHeight="false" outlineLevel="0" collapsed="false">
      <c r="A14" s="21" t="s">
        <v>139</v>
      </c>
      <c r="B14" s="5" t="s">
        <v>140</v>
      </c>
      <c r="C14" s="33" t="n">
        <v>0.7</v>
      </c>
      <c r="D14" s="5" t="s">
        <v>110</v>
      </c>
      <c r="E14" s="5" t="s">
        <v>111</v>
      </c>
      <c r="F14" s="23" t="s">
        <v>141</v>
      </c>
      <c r="G14" s="5" t="s">
        <v>113</v>
      </c>
      <c r="H14" s="24" t="n">
        <v>63</v>
      </c>
      <c r="I14" s="5" t="s">
        <v>124</v>
      </c>
      <c r="J14" s="23" t="s">
        <v>115</v>
      </c>
      <c r="K14" s="23" t="s">
        <v>106</v>
      </c>
      <c r="L14" s="25" t="s">
        <v>107</v>
      </c>
    </row>
    <row r="15" customFormat="false" ht="15" hidden="false" customHeight="false" outlineLevel="0" collapsed="false">
      <c r="A15" s="26" t="s">
        <v>142</v>
      </c>
      <c r="B15" s="27" t="s">
        <v>143</v>
      </c>
      <c r="C15" s="28" t="n">
        <v>4.1</v>
      </c>
      <c r="D15" s="27" t="s">
        <v>127</v>
      </c>
      <c r="E15" s="27" t="s">
        <v>144</v>
      </c>
      <c r="F15" s="29" t="s">
        <v>145</v>
      </c>
      <c r="G15" s="27" t="s">
        <v>146</v>
      </c>
      <c r="H15" s="30" t="n">
        <v>64</v>
      </c>
      <c r="I15" s="27" t="s">
        <v>104</v>
      </c>
      <c r="J15" s="29" t="s">
        <v>147</v>
      </c>
      <c r="K15" s="29" t="s">
        <v>106</v>
      </c>
      <c r="L15" s="31" t="s">
        <v>107</v>
      </c>
    </row>
    <row r="16" customFormat="false" ht="15" hidden="false" customHeight="false" outlineLevel="0" collapsed="false">
      <c r="A16" s="21" t="s">
        <v>148</v>
      </c>
      <c r="B16" s="5" t="s">
        <v>149</v>
      </c>
      <c r="C16" s="22" t="n">
        <v>24548</v>
      </c>
      <c r="D16" s="5" t="s">
        <v>100</v>
      </c>
      <c r="E16" s="5" t="s">
        <v>144</v>
      </c>
      <c r="F16" s="23" t="s">
        <v>150</v>
      </c>
      <c r="G16" s="5" t="s">
        <v>103</v>
      </c>
      <c r="H16" s="24" t="n">
        <v>14</v>
      </c>
      <c r="I16" s="5" t="s">
        <v>104</v>
      </c>
      <c r="J16" s="23" t="s">
        <v>105</v>
      </c>
      <c r="K16" s="23" t="s">
        <v>106</v>
      </c>
      <c r="L16" s="25" t="s">
        <v>107</v>
      </c>
    </row>
    <row r="17" customFormat="false" ht="15" hidden="false" customHeight="false" outlineLevel="0" collapsed="false">
      <c r="A17" s="26" t="s">
        <v>151</v>
      </c>
      <c r="B17" s="27" t="s">
        <v>152</v>
      </c>
      <c r="C17" s="32" t="n">
        <v>8</v>
      </c>
      <c r="D17" s="27" t="s">
        <v>127</v>
      </c>
      <c r="E17" s="27" t="s">
        <v>153</v>
      </c>
      <c r="F17" s="29" t="s">
        <v>154</v>
      </c>
      <c r="G17" s="27" t="s">
        <v>113</v>
      </c>
      <c r="H17" s="30" t="n">
        <v>9</v>
      </c>
      <c r="I17" s="27" t="s">
        <v>104</v>
      </c>
      <c r="J17" s="29" t="s">
        <v>115</v>
      </c>
      <c r="K17" s="29" t="s">
        <v>106</v>
      </c>
      <c r="L17" s="31" t="s">
        <v>107</v>
      </c>
    </row>
    <row r="18" customFormat="false" ht="15" hidden="false" customHeight="false" outlineLevel="0" collapsed="false">
      <c r="A18" s="21" t="s">
        <v>155</v>
      </c>
      <c r="B18" s="5" t="s">
        <v>156</v>
      </c>
      <c r="C18" s="22" t="n">
        <v>1156</v>
      </c>
      <c r="D18" s="5" t="s">
        <v>100</v>
      </c>
      <c r="E18" s="5" t="s">
        <v>157</v>
      </c>
      <c r="F18" s="23" t="s">
        <v>158</v>
      </c>
      <c r="G18" s="5" t="s">
        <v>119</v>
      </c>
      <c r="H18" s="24" t="n">
        <v>1</v>
      </c>
      <c r="I18" s="5" t="s">
        <v>124</v>
      </c>
      <c r="J18" s="23" t="s">
        <v>120</v>
      </c>
      <c r="K18" s="23" t="s">
        <v>106</v>
      </c>
      <c r="L18" s="25" t="s">
        <v>107</v>
      </c>
    </row>
    <row r="19" customFormat="false" ht="15" hidden="false" customHeight="false" outlineLevel="0" collapsed="false">
      <c r="A19" s="26" t="s">
        <v>159</v>
      </c>
      <c r="B19" s="27" t="s">
        <v>160</v>
      </c>
      <c r="C19" s="28" t="n">
        <v>2.92</v>
      </c>
      <c r="D19" s="27" t="s">
        <v>130</v>
      </c>
      <c r="E19" s="27" t="s">
        <v>161</v>
      </c>
      <c r="F19" s="29" t="s">
        <v>162</v>
      </c>
      <c r="G19" s="27" t="s">
        <v>163</v>
      </c>
      <c r="H19" s="30" t="n">
        <v>5</v>
      </c>
      <c r="I19" s="27" t="s">
        <v>104</v>
      </c>
      <c r="J19" s="29" t="s">
        <v>164</v>
      </c>
      <c r="K19" s="29" t="s">
        <v>106</v>
      </c>
      <c r="L19" s="31" t="s">
        <v>107</v>
      </c>
    </row>
    <row r="20" customFormat="false" ht="15" hidden="false" customHeight="false" outlineLevel="0" collapsed="false">
      <c r="A20" s="21" t="s">
        <v>165</v>
      </c>
      <c r="B20" s="5" t="s">
        <v>166</v>
      </c>
      <c r="C20" s="22" t="n">
        <v>1023</v>
      </c>
      <c r="D20" s="5" t="s">
        <v>100</v>
      </c>
      <c r="E20" s="5" t="s">
        <v>167</v>
      </c>
      <c r="F20" s="23" t="s">
        <v>168</v>
      </c>
      <c r="G20" s="5" t="s">
        <v>169</v>
      </c>
      <c r="H20" s="24" t="n">
        <v>337</v>
      </c>
      <c r="I20" s="5" t="s">
        <v>124</v>
      </c>
      <c r="J20" s="23" t="s">
        <v>170</v>
      </c>
      <c r="K20" s="23" t="s">
        <v>106</v>
      </c>
      <c r="L20" s="25" t="s">
        <v>107</v>
      </c>
    </row>
    <row r="21" customFormat="false" ht="15" hidden="false" customHeight="false" outlineLevel="0" collapsed="false">
      <c r="A21" s="26" t="s">
        <v>171</v>
      </c>
      <c r="B21" s="27" t="s">
        <v>172</v>
      </c>
      <c r="C21" s="28" t="n">
        <v>2.79</v>
      </c>
      <c r="D21" s="27" t="s">
        <v>130</v>
      </c>
      <c r="E21" s="27" t="s">
        <v>117</v>
      </c>
      <c r="F21" s="29" t="s">
        <v>173</v>
      </c>
      <c r="G21" s="27" t="s">
        <v>119</v>
      </c>
      <c r="H21" s="30" t="n">
        <v>1</v>
      </c>
      <c r="I21" s="27" t="s">
        <v>104</v>
      </c>
      <c r="J21" s="29" t="s">
        <v>120</v>
      </c>
      <c r="K21" s="29" t="s">
        <v>106</v>
      </c>
      <c r="L21" s="31" t="s">
        <v>107</v>
      </c>
    </row>
    <row r="22" customFormat="false" ht="15" hidden="false" customHeight="false" outlineLevel="0" collapsed="false">
      <c r="A22" s="21" t="s">
        <v>174</v>
      </c>
      <c r="B22" s="5" t="s">
        <v>99</v>
      </c>
      <c r="C22" s="22" t="n">
        <v>6788</v>
      </c>
      <c r="D22" s="5" t="s">
        <v>100</v>
      </c>
      <c r="E22" s="5" t="s">
        <v>157</v>
      </c>
      <c r="F22" s="23" t="s">
        <v>175</v>
      </c>
      <c r="G22" s="5" t="s">
        <v>119</v>
      </c>
      <c r="H22" s="24" t="n">
        <v>1</v>
      </c>
      <c r="I22" s="5" t="s">
        <v>104</v>
      </c>
      <c r="J22" s="23" t="s">
        <v>120</v>
      </c>
      <c r="K22" s="23" t="s">
        <v>106</v>
      </c>
      <c r="L22" s="25" t="s">
        <v>107</v>
      </c>
    </row>
    <row r="23" customFormat="false" ht="15" hidden="false" customHeight="false" outlineLevel="0" collapsed="false">
      <c r="A23" s="26" t="s">
        <v>176</v>
      </c>
      <c r="B23" s="27" t="s">
        <v>177</v>
      </c>
      <c r="C23" s="28" t="n">
        <v>0.5</v>
      </c>
      <c r="D23" s="27" t="s">
        <v>127</v>
      </c>
      <c r="E23" s="27" t="s">
        <v>111</v>
      </c>
      <c r="F23" s="29" t="s">
        <v>112</v>
      </c>
      <c r="G23" s="27" t="s">
        <v>113</v>
      </c>
      <c r="H23" s="30" t="n">
        <v>63</v>
      </c>
      <c r="I23" s="27" t="s">
        <v>114</v>
      </c>
      <c r="J23" s="29" t="s">
        <v>115</v>
      </c>
      <c r="K23" s="29" t="s">
        <v>106</v>
      </c>
      <c r="L23" s="31" t="s">
        <v>107</v>
      </c>
    </row>
    <row r="24" customFormat="false" ht="15" hidden="false" customHeight="false" outlineLevel="0" collapsed="false">
      <c r="A24" s="21" t="s">
        <v>178</v>
      </c>
      <c r="B24" s="5" t="s">
        <v>99</v>
      </c>
      <c r="C24" s="22" t="n">
        <v>3367</v>
      </c>
      <c r="D24" s="5" t="s">
        <v>100</v>
      </c>
      <c r="E24" s="5" t="s">
        <v>179</v>
      </c>
      <c r="F24" s="23" t="s">
        <v>180</v>
      </c>
      <c r="G24" s="5" t="s">
        <v>103</v>
      </c>
      <c r="H24" s="24" t="n">
        <v>47</v>
      </c>
      <c r="I24" s="5" t="s">
        <v>104</v>
      </c>
      <c r="J24" s="23" t="s">
        <v>105</v>
      </c>
      <c r="K24" s="23" t="s">
        <v>106</v>
      </c>
      <c r="L24" s="25" t="s">
        <v>107</v>
      </c>
    </row>
    <row r="25" customFormat="false" ht="15" hidden="false" customHeight="false" outlineLevel="0" collapsed="false">
      <c r="A25" s="26" t="s">
        <v>181</v>
      </c>
      <c r="B25" s="27" t="s">
        <v>172</v>
      </c>
      <c r="C25" s="28" t="n">
        <v>2.63</v>
      </c>
      <c r="D25" s="27" t="s">
        <v>130</v>
      </c>
      <c r="E25" s="27" t="s">
        <v>157</v>
      </c>
      <c r="F25" s="29" t="s">
        <v>182</v>
      </c>
      <c r="G25" s="27" t="s">
        <v>119</v>
      </c>
      <c r="H25" s="30" t="n">
        <v>1</v>
      </c>
      <c r="I25" s="27" t="s">
        <v>104</v>
      </c>
      <c r="J25" s="29" t="s">
        <v>120</v>
      </c>
      <c r="K25" s="29" t="s">
        <v>106</v>
      </c>
      <c r="L25" s="31" t="s">
        <v>107</v>
      </c>
    </row>
    <row r="26" customFormat="false" ht="15" hidden="false" customHeight="false" outlineLevel="0" collapsed="false">
      <c r="A26" s="21" t="s">
        <v>183</v>
      </c>
      <c r="B26" s="5" t="s">
        <v>184</v>
      </c>
      <c r="C26" s="22" t="n">
        <v>1</v>
      </c>
      <c r="D26" s="5" t="s">
        <v>127</v>
      </c>
      <c r="E26" s="5" t="s">
        <v>111</v>
      </c>
      <c r="F26" s="23" t="s">
        <v>185</v>
      </c>
      <c r="G26" s="5" t="s">
        <v>113</v>
      </c>
      <c r="H26" s="24" t="n">
        <v>63</v>
      </c>
      <c r="I26" s="5" t="s">
        <v>124</v>
      </c>
      <c r="J26" s="23" t="s">
        <v>115</v>
      </c>
      <c r="K26" s="23" t="s">
        <v>106</v>
      </c>
      <c r="L26" s="25" t="s">
        <v>107</v>
      </c>
    </row>
    <row r="27" customFormat="false" ht="15" hidden="false" customHeight="false" outlineLevel="0" collapsed="false">
      <c r="A27" s="26" t="s">
        <v>186</v>
      </c>
      <c r="B27" s="27" t="s">
        <v>187</v>
      </c>
      <c r="C27" s="32" t="n">
        <v>3</v>
      </c>
      <c r="D27" s="27" t="s">
        <v>130</v>
      </c>
      <c r="E27" s="27" t="s">
        <v>188</v>
      </c>
      <c r="F27" s="29" t="s">
        <v>131</v>
      </c>
      <c r="G27" s="27" t="s">
        <v>103</v>
      </c>
      <c r="H27" s="30" t="n">
        <v>29</v>
      </c>
      <c r="I27" s="27" t="s">
        <v>104</v>
      </c>
      <c r="J27" s="29" t="s">
        <v>105</v>
      </c>
      <c r="K27" s="29" t="s">
        <v>106</v>
      </c>
      <c r="L27" s="31" t="s">
        <v>107</v>
      </c>
    </row>
    <row r="28" customFormat="false" ht="15" hidden="false" customHeight="false" outlineLevel="0" collapsed="false">
      <c r="A28" s="21" t="s">
        <v>189</v>
      </c>
      <c r="B28" s="5" t="s">
        <v>136</v>
      </c>
      <c r="C28" s="22" t="n">
        <v>17819</v>
      </c>
      <c r="D28" s="5" t="s">
        <v>100</v>
      </c>
      <c r="E28" s="5" t="s">
        <v>190</v>
      </c>
      <c r="F28" s="23" t="s">
        <v>191</v>
      </c>
      <c r="G28" s="5" t="s">
        <v>119</v>
      </c>
      <c r="H28" s="24" t="n">
        <v>1</v>
      </c>
      <c r="I28" s="5" t="s">
        <v>104</v>
      </c>
      <c r="J28" s="23" t="s">
        <v>120</v>
      </c>
      <c r="K28" s="23" t="s">
        <v>106</v>
      </c>
      <c r="L28" s="25" t="s">
        <v>107</v>
      </c>
    </row>
    <row r="29" customFormat="false" ht="15" hidden="false" customHeight="false" outlineLevel="0" collapsed="false">
      <c r="A29" s="26" t="s">
        <v>192</v>
      </c>
      <c r="B29" s="27" t="s">
        <v>193</v>
      </c>
      <c r="C29" s="28" t="n">
        <v>0.5</v>
      </c>
      <c r="D29" s="27" t="s">
        <v>110</v>
      </c>
      <c r="E29" s="27" t="s">
        <v>111</v>
      </c>
      <c r="F29" s="29" t="s">
        <v>112</v>
      </c>
      <c r="G29" s="27" t="s">
        <v>113</v>
      </c>
      <c r="H29" s="30" t="n">
        <v>63</v>
      </c>
      <c r="I29" s="27" t="s">
        <v>124</v>
      </c>
      <c r="J29" s="29" t="s">
        <v>115</v>
      </c>
      <c r="K29" s="29" t="s">
        <v>106</v>
      </c>
      <c r="L29" s="31" t="s">
        <v>107</v>
      </c>
    </row>
    <row r="30" customFormat="false" ht="15" hidden="false" customHeight="false" outlineLevel="0" collapsed="false">
      <c r="A30" s="21" t="s">
        <v>194</v>
      </c>
      <c r="B30" s="5" t="s">
        <v>195</v>
      </c>
      <c r="C30" s="22" t="n">
        <v>2</v>
      </c>
      <c r="D30" s="5" t="s">
        <v>127</v>
      </c>
      <c r="E30" s="5" t="s">
        <v>196</v>
      </c>
      <c r="F30" s="23" t="s">
        <v>197</v>
      </c>
      <c r="G30" s="5" t="s">
        <v>103</v>
      </c>
      <c r="H30" s="24" t="n">
        <v>29</v>
      </c>
      <c r="I30" s="5" t="s">
        <v>124</v>
      </c>
      <c r="J30" s="23" t="s">
        <v>105</v>
      </c>
      <c r="K30" s="23" t="s">
        <v>106</v>
      </c>
      <c r="L30" s="25" t="s">
        <v>107</v>
      </c>
    </row>
    <row r="31" customFormat="false" ht="15" hidden="false" customHeight="false" outlineLevel="0" collapsed="false">
      <c r="A31" s="26" t="s">
        <v>198</v>
      </c>
      <c r="B31" s="27" t="s">
        <v>199</v>
      </c>
      <c r="C31" s="32" t="n">
        <v>9332</v>
      </c>
      <c r="D31" s="27" t="s">
        <v>100</v>
      </c>
      <c r="E31" s="27" t="s">
        <v>144</v>
      </c>
      <c r="F31" s="29" t="s">
        <v>200</v>
      </c>
      <c r="G31" s="27" t="s">
        <v>103</v>
      </c>
      <c r="H31" s="30" t="n">
        <v>14</v>
      </c>
      <c r="I31" s="27" t="s">
        <v>104</v>
      </c>
      <c r="J31" s="29" t="s">
        <v>105</v>
      </c>
      <c r="K31" s="29" t="s">
        <v>106</v>
      </c>
      <c r="L31" s="31" t="s">
        <v>107</v>
      </c>
    </row>
    <row r="32" customFormat="false" ht="15" hidden="false" customHeight="false" outlineLevel="0" collapsed="false">
      <c r="A32" s="21" t="s">
        <v>201</v>
      </c>
      <c r="B32" s="5" t="s">
        <v>202</v>
      </c>
      <c r="C32" s="33" t="n">
        <v>1.5</v>
      </c>
      <c r="D32" s="5" t="s">
        <v>203</v>
      </c>
      <c r="E32" s="5" t="s">
        <v>167</v>
      </c>
      <c r="F32" s="23" t="s">
        <v>204</v>
      </c>
      <c r="G32" s="5" t="s">
        <v>169</v>
      </c>
      <c r="H32" s="24" t="n">
        <v>337</v>
      </c>
      <c r="I32" s="5" t="s">
        <v>124</v>
      </c>
      <c r="J32" s="23" t="s">
        <v>170</v>
      </c>
      <c r="K32" s="23" t="s">
        <v>106</v>
      </c>
      <c r="L32" s="25" t="s">
        <v>107</v>
      </c>
    </row>
    <row r="33" customFormat="false" ht="15" hidden="false" customHeight="false" outlineLevel="0" collapsed="false">
      <c r="A33" s="26" t="s">
        <v>205</v>
      </c>
      <c r="B33" s="27" t="s">
        <v>206</v>
      </c>
      <c r="C33" s="32" t="n">
        <v>-288</v>
      </c>
      <c r="D33" s="27" t="s">
        <v>100</v>
      </c>
      <c r="E33" s="27" t="s">
        <v>101</v>
      </c>
      <c r="F33" s="29" t="s">
        <v>207</v>
      </c>
      <c r="G33" s="27" t="s">
        <v>146</v>
      </c>
      <c r="H33" s="30" t="n">
        <v>25</v>
      </c>
      <c r="I33" s="27" t="s">
        <v>124</v>
      </c>
      <c r="J33" s="29" t="s">
        <v>147</v>
      </c>
      <c r="K33" s="29" t="s">
        <v>106</v>
      </c>
      <c r="L33" s="31" t="s">
        <v>107</v>
      </c>
    </row>
    <row r="34" customFormat="false" ht="15" hidden="false" customHeight="false" outlineLevel="0" collapsed="false">
      <c r="A34" s="21" t="s">
        <v>208</v>
      </c>
      <c r="B34" s="5" t="s">
        <v>156</v>
      </c>
      <c r="C34" s="22" t="n">
        <v>1178</v>
      </c>
      <c r="D34" s="5" t="s">
        <v>100</v>
      </c>
      <c r="E34" s="5" t="s">
        <v>117</v>
      </c>
      <c r="F34" s="23" t="s">
        <v>209</v>
      </c>
      <c r="G34" s="5" t="s">
        <v>119</v>
      </c>
      <c r="H34" s="24" t="n">
        <v>1</v>
      </c>
      <c r="I34" s="5" t="s">
        <v>124</v>
      </c>
      <c r="J34" s="23" t="s">
        <v>120</v>
      </c>
      <c r="K34" s="23" t="s">
        <v>106</v>
      </c>
      <c r="L34" s="25" t="s">
        <v>107</v>
      </c>
    </row>
    <row r="35" customFormat="false" ht="15" hidden="false" customHeight="false" outlineLevel="0" collapsed="false">
      <c r="A35" s="26" t="s">
        <v>210</v>
      </c>
      <c r="B35" s="27" t="s">
        <v>211</v>
      </c>
      <c r="C35" s="28" t="n">
        <v>0.1</v>
      </c>
      <c r="D35" s="27" t="s">
        <v>127</v>
      </c>
      <c r="E35" s="27" t="s">
        <v>101</v>
      </c>
      <c r="F35" s="29" t="s">
        <v>212</v>
      </c>
      <c r="G35" s="27" t="s">
        <v>213</v>
      </c>
      <c r="H35" s="30" t="n">
        <v>14</v>
      </c>
      <c r="I35" s="27" t="s">
        <v>124</v>
      </c>
      <c r="J35" s="29" t="s">
        <v>214</v>
      </c>
      <c r="K35" s="29" t="s">
        <v>106</v>
      </c>
      <c r="L35" s="31" t="s">
        <v>107</v>
      </c>
    </row>
    <row r="36" customFormat="false" ht="15" hidden="false" customHeight="false" outlineLevel="0" collapsed="false">
      <c r="A36" s="21" t="s">
        <v>215</v>
      </c>
      <c r="B36" s="5" t="s">
        <v>216</v>
      </c>
      <c r="C36" s="33" t="n">
        <v>0.5</v>
      </c>
      <c r="D36" s="5" t="s">
        <v>127</v>
      </c>
      <c r="E36" s="5" t="s">
        <v>188</v>
      </c>
      <c r="F36" s="23" t="s">
        <v>112</v>
      </c>
      <c r="G36" s="5" t="s">
        <v>213</v>
      </c>
      <c r="H36" s="24" t="n">
        <v>14</v>
      </c>
      <c r="I36" s="5" t="s">
        <v>124</v>
      </c>
      <c r="J36" s="23" t="s">
        <v>214</v>
      </c>
      <c r="K36" s="23" t="s">
        <v>106</v>
      </c>
      <c r="L36" s="25" t="s">
        <v>107</v>
      </c>
    </row>
    <row r="37" customFormat="false" ht="15" hidden="false" customHeight="false" outlineLevel="0" collapsed="false">
      <c r="A37" s="26" t="s">
        <v>217</v>
      </c>
      <c r="B37" s="27" t="s">
        <v>218</v>
      </c>
      <c r="C37" s="32" t="n">
        <v>8</v>
      </c>
      <c r="D37" s="27" t="s">
        <v>127</v>
      </c>
      <c r="E37" s="27" t="s">
        <v>111</v>
      </c>
      <c r="F37" s="29" t="s">
        <v>154</v>
      </c>
      <c r="G37" s="27" t="s">
        <v>213</v>
      </c>
      <c r="H37" s="30" t="n">
        <v>4</v>
      </c>
      <c r="I37" s="27" t="s">
        <v>114</v>
      </c>
      <c r="J37" s="29" t="s">
        <v>214</v>
      </c>
      <c r="K37" s="29" t="s">
        <v>106</v>
      </c>
      <c r="L37" s="31" t="s">
        <v>107</v>
      </c>
    </row>
    <row r="38" customFormat="false" ht="15" hidden="false" customHeight="false" outlineLevel="0" collapsed="false">
      <c r="A38" s="21" t="s">
        <v>219</v>
      </c>
      <c r="B38" s="5" t="s">
        <v>220</v>
      </c>
      <c r="C38" s="22" t="n">
        <v>9196</v>
      </c>
      <c r="D38" s="5" t="s">
        <v>221</v>
      </c>
      <c r="E38" s="5" t="s">
        <v>222</v>
      </c>
      <c r="F38" s="23" t="s">
        <v>223</v>
      </c>
      <c r="G38" s="5" t="s">
        <v>169</v>
      </c>
      <c r="H38" s="24" t="n">
        <v>226</v>
      </c>
      <c r="I38" s="5" t="s">
        <v>224</v>
      </c>
      <c r="J38" s="23" t="s">
        <v>170</v>
      </c>
      <c r="K38" s="23" t="s">
        <v>106</v>
      </c>
      <c r="L38" s="25" t="s">
        <v>107</v>
      </c>
    </row>
    <row r="39" customFormat="false" ht="15" hidden="false" customHeight="false" outlineLevel="0" collapsed="false">
      <c r="A39" s="26" t="s">
        <v>225</v>
      </c>
      <c r="B39" s="27" t="s">
        <v>220</v>
      </c>
      <c r="C39" s="32" t="n">
        <v>9181</v>
      </c>
      <c r="D39" s="27" t="s">
        <v>221</v>
      </c>
      <c r="E39" s="27" t="s">
        <v>167</v>
      </c>
      <c r="F39" s="29" t="s">
        <v>226</v>
      </c>
      <c r="G39" s="27" t="s">
        <v>169</v>
      </c>
      <c r="H39" s="30" t="n">
        <v>226</v>
      </c>
      <c r="I39" s="27" t="s">
        <v>224</v>
      </c>
      <c r="J39" s="29" t="s">
        <v>170</v>
      </c>
      <c r="K39" s="29" t="s">
        <v>106</v>
      </c>
      <c r="L39" s="31" t="s">
        <v>107</v>
      </c>
    </row>
    <row r="40" customFormat="false" ht="15" hidden="false" customHeight="false" outlineLevel="0" collapsed="false">
      <c r="A40" s="21" t="s">
        <v>227</v>
      </c>
      <c r="B40" s="5" t="s">
        <v>228</v>
      </c>
      <c r="C40" s="22" t="n">
        <v>9</v>
      </c>
      <c r="D40" s="5" t="s">
        <v>229</v>
      </c>
      <c r="E40" s="5" t="s">
        <v>153</v>
      </c>
      <c r="F40" s="23" t="s">
        <v>230</v>
      </c>
      <c r="G40" s="5" t="s">
        <v>169</v>
      </c>
      <c r="H40" s="24" t="n">
        <v>226</v>
      </c>
      <c r="I40" s="5" t="s">
        <v>224</v>
      </c>
      <c r="J40" s="23" t="s">
        <v>170</v>
      </c>
      <c r="K40" s="23" t="s">
        <v>106</v>
      </c>
      <c r="L40" s="25" t="s">
        <v>107</v>
      </c>
    </row>
    <row r="41" customFormat="false" ht="15" hidden="false" customHeight="false" outlineLevel="0" collapsed="false">
      <c r="A41" s="26" t="s">
        <v>231</v>
      </c>
      <c r="B41" s="27" t="s">
        <v>232</v>
      </c>
      <c r="C41" s="32" t="n">
        <v>10</v>
      </c>
      <c r="D41" s="27" t="s">
        <v>229</v>
      </c>
      <c r="E41" s="27" t="s">
        <v>153</v>
      </c>
      <c r="F41" s="29" t="s">
        <v>233</v>
      </c>
      <c r="G41" s="27" t="s">
        <v>113</v>
      </c>
      <c r="H41" s="30" t="n">
        <v>9</v>
      </c>
      <c r="I41" s="27" t="s">
        <v>224</v>
      </c>
      <c r="J41" s="29" t="s">
        <v>115</v>
      </c>
      <c r="K41" s="29" t="s">
        <v>106</v>
      </c>
      <c r="L41" s="31" t="s">
        <v>107</v>
      </c>
    </row>
    <row r="42" customFormat="false" ht="15" hidden="false" customHeight="false" outlineLevel="0" collapsed="false">
      <c r="A42" s="21" t="s">
        <v>234</v>
      </c>
      <c r="B42" s="5" t="s">
        <v>235</v>
      </c>
      <c r="C42" s="22" t="n">
        <v>1392</v>
      </c>
      <c r="D42" s="5" t="s">
        <v>100</v>
      </c>
      <c r="E42" s="5" t="s">
        <v>157</v>
      </c>
      <c r="F42" s="23" t="s">
        <v>236</v>
      </c>
      <c r="G42" s="5" t="s">
        <v>119</v>
      </c>
      <c r="H42" s="24" t="n">
        <v>9</v>
      </c>
      <c r="I42" s="5" t="s">
        <v>224</v>
      </c>
      <c r="J42" s="23" t="s">
        <v>120</v>
      </c>
      <c r="K42" s="23" t="s">
        <v>106</v>
      </c>
      <c r="L42" s="25" t="s">
        <v>107</v>
      </c>
    </row>
    <row r="43" customFormat="false" ht="15" hidden="false" customHeight="false" outlineLevel="0" collapsed="false">
      <c r="A43" s="26" t="s">
        <v>237</v>
      </c>
      <c r="B43" s="27" t="s">
        <v>235</v>
      </c>
      <c r="C43" s="32" t="n">
        <v>1475</v>
      </c>
      <c r="D43" s="27" t="s">
        <v>100</v>
      </c>
      <c r="E43" s="27" t="s">
        <v>117</v>
      </c>
      <c r="F43" s="29" t="s">
        <v>238</v>
      </c>
      <c r="G43" s="27" t="s">
        <v>119</v>
      </c>
      <c r="H43" s="30" t="n">
        <v>9</v>
      </c>
      <c r="I43" s="27" t="s">
        <v>224</v>
      </c>
      <c r="J43" s="29" t="s">
        <v>120</v>
      </c>
      <c r="K43" s="29" t="s">
        <v>106</v>
      </c>
      <c r="L43" s="31" t="s">
        <v>107</v>
      </c>
    </row>
    <row r="44" customFormat="false" ht="15" hidden="false" customHeight="false" outlineLevel="0" collapsed="false">
      <c r="A44" s="21" t="s">
        <v>239</v>
      </c>
      <c r="B44" s="5" t="s">
        <v>240</v>
      </c>
      <c r="C44" s="22" t="n">
        <v>1189</v>
      </c>
      <c r="D44" s="5" t="s">
        <v>100</v>
      </c>
      <c r="E44" s="5" t="s">
        <v>101</v>
      </c>
      <c r="F44" s="23" t="s">
        <v>241</v>
      </c>
      <c r="G44" s="5" t="s">
        <v>242</v>
      </c>
      <c r="H44" s="24" t="n">
        <v>7</v>
      </c>
      <c r="I44" s="5" t="s">
        <v>224</v>
      </c>
      <c r="J44" s="23" t="s">
        <v>243</v>
      </c>
      <c r="K44" s="23" t="s">
        <v>106</v>
      </c>
      <c r="L44" s="25" t="s">
        <v>107</v>
      </c>
    </row>
    <row r="45" customFormat="false" ht="15" hidden="false" customHeight="false" outlineLevel="0" collapsed="false">
      <c r="A45" s="26" t="s">
        <v>244</v>
      </c>
      <c r="B45" s="27" t="s">
        <v>245</v>
      </c>
      <c r="C45" s="32" t="n">
        <v>2989</v>
      </c>
      <c r="D45" s="27" t="s">
        <v>246</v>
      </c>
      <c r="E45" s="27" t="s">
        <v>247</v>
      </c>
      <c r="F45" s="29" t="s">
        <v>248</v>
      </c>
      <c r="G45" s="27" t="s">
        <v>103</v>
      </c>
      <c r="H45" s="30" t="n">
        <v>46</v>
      </c>
      <c r="I45" s="27" t="s">
        <v>224</v>
      </c>
      <c r="J45" s="29" t="s">
        <v>105</v>
      </c>
      <c r="K45" s="29" t="s">
        <v>106</v>
      </c>
      <c r="L45" s="31" t="s">
        <v>107</v>
      </c>
    </row>
    <row r="46" customFormat="false" ht="15" hidden="false" customHeight="false" outlineLevel="0" collapsed="false">
      <c r="A46" s="21" t="s">
        <v>249</v>
      </c>
      <c r="B46" s="5" t="s">
        <v>245</v>
      </c>
      <c r="C46" s="22" t="n">
        <v>2542</v>
      </c>
      <c r="D46" s="5" t="s">
        <v>100</v>
      </c>
      <c r="E46" s="5" t="s">
        <v>247</v>
      </c>
      <c r="F46" s="23" t="s">
        <v>250</v>
      </c>
      <c r="G46" s="5" t="s">
        <v>103</v>
      </c>
      <c r="H46" s="24" t="n">
        <v>46</v>
      </c>
      <c r="I46" s="5" t="s">
        <v>224</v>
      </c>
      <c r="J46" s="23" t="s">
        <v>105</v>
      </c>
      <c r="K46" s="23" t="s">
        <v>106</v>
      </c>
      <c r="L46" s="25" t="s">
        <v>107</v>
      </c>
    </row>
    <row r="47" customFormat="false" ht="15" hidden="false" customHeight="false" outlineLevel="0" collapsed="false">
      <c r="A47" s="26" t="s">
        <v>251</v>
      </c>
      <c r="B47" s="27" t="s">
        <v>252</v>
      </c>
      <c r="C47" s="32" t="n">
        <v>1106</v>
      </c>
      <c r="D47" s="27" t="s">
        <v>100</v>
      </c>
      <c r="E47" s="27" t="s">
        <v>137</v>
      </c>
      <c r="F47" s="29" t="s">
        <v>253</v>
      </c>
      <c r="G47" s="27" t="s">
        <v>169</v>
      </c>
      <c r="H47" s="30" t="n">
        <v>432</v>
      </c>
      <c r="I47" s="27" t="s">
        <v>254</v>
      </c>
      <c r="J47" s="29" t="s">
        <v>170</v>
      </c>
      <c r="K47" s="29" t="s">
        <v>106</v>
      </c>
      <c r="L47" s="31" t="s">
        <v>107</v>
      </c>
    </row>
    <row r="48" customFormat="false" ht="15" hidden="false" customHeight="false" outlineLevel="0" collapsed="false">
      <c r="A48" s="21" t="s">
        <v>255</v>
      </c>
      <c r="B48" s="5" t="s">
        <v>256</v>
      </c>
      <c r="C48" s="22" t="n">
        <v>53</v>
      </c>
      <c r="D48" s="5" t="s">
        <v>100</v>
      </c>
      <c r="E48" s="5" t="s">
        <v>137</v>
      </c>
      <c r="F48" s="23" t="s">
        <v>257</v>
      </c>
      <c r="G48" s="5" t="s">
        <v>169</v>
      </c>
      <c r="H48" s="24" t="n">
        <v>432</v>
      </c>
      <c r="I48" s="5" t="s">
        <v>254</v>
      </c>
      <c r="J48" s="23" t="s">
        <v>170</v>
      </c>
      <c r="K48" s="23" t="s">
        <v>106</v>
      </c>
      <c r="L48" s="25" t="s">
        <v>107</v>
      </c>
    </row>
    <row r="49" customFormat="false" ht="15" hidden="false" customHeight="false" outlineLevel="0" collapsed="false">
      <c r="A49" s="26" t="s">
        <v>258</v>
      </c>
      <c r="B49" s="27" t="s">
        <v>259</v>
      </c>
      <c r="C49" s="32" t="n">
        <v>1290</v>
      </c>
      <c r="D49" s="27" t="s">
        <v>100</v>
      </c>
      <c r="E49" s="27" t="s">
        <v>144</v>
      </c>
      <c r="F49" s="29" t="s">
        <v>260</v>
      </c>
      <c r="G49" s="27" t="s">
        <v>146</v>
      </c>
      <c r="H49" s="30" t="n">
        <v>65</v>
      </c>
      <c r="I49" s="27" t="s">
        <v>254</v>
      </c>
      <c r="J49" s="29" t="s">
        <v>147</v>
      </c>
      <c r="K49" s="29" t="s">
        <v>106</v>
      </c>
      <c r="L49" s="31" t="s">
        <v>107</v>
      </c>
    </row>
    <row r="50" customFormat="false" ht="15" hidden="false" customHeight="false" outlineLevel="0" collapsed="false">
      <c r="A50" s="21" t="s">
        <v>261</v>
      </c>
      <c r="B50" s="5" t="s">
        <v>262</v>
      </c>
      <c r="C50" s="22" t="n">
        <v>461</v>
      </c>
      <c r="D50" s="5" t="s">
        <v>100</v>
      </c>
      <c r="E50" s="5" t="s">
        <v>144</v>
      </c>
      <c r="F50" s="23" t="s">
        <v>263</v>
      </c>
      <c r="G50" s="5" t="s">
        <v>146</v>
      </c>
      <c r="H50" s="24" t="n">
        <v>65</v>
      </c>
      <c r="I50" s="5" t="s">
        <v>254</v>
      </c>
      <c r="J50" s="23" t="s">
        <v>147</v>
      </c>
      <c r="K50" s="23" t="s">
        <v>106</v>
      </c>
      <c r="L50" s="25" t="s">
        <v>107</v>
      </c>
    </row>
    <row r="51" customFormat="false" ht="15" hidden="false" customHeight="false" outlineLevel="0" collapsed="false">
      <c r="A51" s="26" t="s">
        <v>264</v>
      </c>
      <c r="B51" s="27" t="s">
        <v>265</v>
      </c>
      <c r="C51" s="32" t="n">
        <v>3</v>
      </c>
      <c r="D51" s="27" t="s">
        <v>266</v>
      </c>
      <c r="E51" s="27" t="s">
        <v>267</v>
      </c>
      <c r="F51" s="29" t="s">
        <v>268</v>
      </c>
      <c r="G51" s="27" t="s">
        <v>269</v>
      </c>
      <c r="H51" s="30" t="n">
        <v>3</v>
      </c>
      <c r="I51" s="27" t="s">
        <v>270</v>
      </c>
      <c r="J51" s="29" t="s">
        <v>271</v>
      </c>
      <c r="K51" s="29" t="s">
        <v>106</v>
      </c>
      <c r="L51" s="31" t="s">
        <v>107</v>
      </c>
    </row>
    <row r="52" customFormat="false" ht="15" hidden="false" customHeight="false" outlineLevel="0" collapsed="false">
      <c r="A52" s="21" t="s">
        <v>272</v>
      </c>
      <c r="B52" s="5" t="s">
        <v>273</v>
      </c>
      <c r="C52" s="33" t="n">
        <v>2.6</v>
      </c>
      <c r="D52" s="5" t="s">
        <v>127</v>
      </c>
      <c r="E52" s="5" t="s">
        <v>267</v>
      </c>
      <c r="F52" s="23" t="s">
        <v>274</v>
      </c>
      <c r="G52" s="5" t="s">
        <v>269</v>
      </c>
      <c r="H52" s="24" t="n">
        <v>3</v>
      </c>
      <c r="I52" s="5" t="s">
        <v>270</v>
      </c>
      <c r="J52" s="23" t="s">
        <v>271</v>
      </c>
      <c r="K52" s="23" t="s">
        <v>106</v>
      </c>
      <c r="L52" s="25" t="s">
        <v>107</v>
      </c>
    </row>
    <row r="53" customFormat="false" ht="15" hidden="false" customHeight="false" outlineLevel="0" collapsed="false">
      <c r="A53" s="26" t="s">
        <v>275</v>
      </c>
      <c r="B53" s="27" t="s">
        <v>276</v>
      </c>
      <c r="C53" s="28" t="n">
        <v>9.8</v>
      </c>
      <c r="D53" s="27" t="s">
        <v>130</v>
      </c>
      <c r="E53" s="27" t="s">
        <v>277</v>
      </c>
      <c r="F53" s="29" t="s">
        <v>278</v>
      </c>
      <c r="G53" s="27" t="s">
        <v>269</v>
      </c>
      <c r="H53" s="30" t="n">
        <v>3</v>
      </c>
      <c r="I53" s="27" t="s">
        <v>270</v>
      </c>
      <c r="J53" s="29" t="s">
        <v>271</v>
      </c>
      <c r="K53" s="29" t="s">
        <v>106</v>
      </c>
      <c r="L53" s="31" t="s">
        <v>107</v>
      </c>
    </row>
    <row r="54" customFormat="false" ht="15" hidden="false" customHeight="false" outlineLevel="0" collapsed="false">
      <c r="A54" s="21" t="s">
        <v>279</v>
      </c>
      <c r="B54" s="5" t="s">
        <v>280</v>
      </c>
      <c r="C54" s="22" t="n">
        <v>120</v>
      </c>
      <c r="D54" s="5" t="s">
        <v>246</v>
      </c>
      <c r="E54" s="5" t="s">
        <v>281</v>
      </c>
      <c r="F54" s="23" t="s">
        <v>282</v>
      </c>
      <c r="G54" s="5" t="s">
        <v>269</v>
      </c>
      <c r="H54" s="24" t="n">
        <v>13</v>
      </c>
      <c r="I54" s="5" t="s">
        <v>270</v>
      </c>
      <c r="J54" s="23" t="s">
        <v>271</v>
      </c>
      <c r="K54" s="23" t="s">
        <v>106</v>
      </c>
      <c r="L54" s="25" t="s">
        <v>107</v>
      </c>
    </row>
    <row r="55" customFormat="false" ht="15" hidden="false" customHeight="false" outlineLevel="0" collapsed="false">
      <c r="A55" s="26" t="s">
        <v>283</v>
      </c>
      <c r="B55" s="27" t="s">
        <v>284</v>
      </c>
      <c r="C55" s="32" t="n">
        <v>90</v>
      </c>
      <c r="D55" s="27" t="s">
        <v>246</v>
      </c>
      <c r="E55" s="27" t="s">
        <v>285</v>
      </c>
      <c r="F55" s="29" t="s">
        <v>286</v>
      </c>
      <c r="G55" s="27" t="s">
        <v>269</v>
      </c>
      <c r="H55" s="30" t="n">
        <v>13</v>
      </c>
      <c r="I55" s="27" t="s">
        <v>270</v>
      </c>
      <c r="J55" s="29" t="s">
        <v>271</v>
      </c>
      <c r="K55" s="29" t="s">
        <v>106</v>
      </c>
      <c r="L55" s="31" t="s">
        <v>107</v>
      </c>
    </row>
    <row r="56" customFormat="false" ht="15" hidden="false" customHeight="false" outlineLevel="0" collapsed="false">
      <c r="A56" s="21" t="s">
        <v>287</v>
      </c>
      <c r="B56" s="5" t="s">
        <v>288</v>
      </c>
      <c r="C56" s="22" t="n">
        <v>200</v>
      </c>
      <c r="D56" s="5" t="s">
        <v>246</v>
      </c>
      <c r="E56" s="5" t="s">
        <v>289</v>
      </c>
      <c r="F56" s="23" t="s">
        <v>290</v>
      </c>
      <c r="G56" s="5" t="s">
        <v>269</v>
      </c>
      <c r="H56" s="24" t="n">
        <v>6</v>
      </c>
      <c r="I56" s="5" t="s">
        <v>104</v>
      </c>
      <c r="J56" s="23" t="s">
        <v>271</v>
      </c>
      <c r="K56" s="23" t="s">
        <v>106</v>
      </c>
      <c r="L56" s="25" t="s">
        <v>107</v>
      </c>
    </row>
    <row r="57" customFormat="false" ht="15" hidden="false" customHeight="false" outlineLevel="0" collapsed="false">
      <c r="A57" s="26" t="s">
        <v>291</v>
      </c>
      <c r="B57" s="27" t="s">
        <v>292</v>
      </c>
      <c r="C57" s="32" t="n">
        <v>1030</v>
      </c>
      <c r="D57" s="27" t="s">
        <v>246</v>
      </c>
      <c r="E57" s="27" t="s">
        <v>289</v>
      </c>
      <c r="F57" s="29" t="s">
        <v>293</v>
      </c>
      <c r="G57" s="27" t="s">
        <v>269</v>
      </c>
      <c r="H57" s="30" t="n">
        <v>6</v>
      </c>
      <c r="I57" s="27" t="s">
        <v>224</v>
      </c>
      <c r="J57" s="29" t="s">
        <v>271</v>
      </c>
      <c r="K57" s="29" t="s">
        <v>106</v>
      </c>
      <c r="L57" s="31" t="s">
        <v>107</v>
      </c>
    </row>
    <row r="58" customFormat="false" ht="15" hidden="false" customHeight="false" outlineLevel="0" collapsed="false">
      <c r="A58" s="21" t="s">
        <v>294</v>
      </c>
      <c r="B58" s="5" t="s">
        <v>295</v>
      </c>
      <c r="C58" s="22" t="n">
        <v>60</v>
      </c>
      <c r="D58" s="5" t="s">
        <v>296</v>
      </c>
      <c r="E58" s="5" t="s">
        <v>289</v>
      </c>
      <c r="F58" s="23" t="s">
        <v>297</v>
      </c>
      <c r="G58" s="5" t="s">
        <v>269</v>
      </c>
      <c r="H58" s="24" t="n">
        <v>6</v>
      </c>
      <c r="I58" s="5" t="s">
        <v>124</v>
      </c>
      <c r="J58" s="23" t="s">
        <v>271</v>
      </c>
      <c r="K58" s="23" t="s">
        <v>106</v>
      </c>
      <c r="L58" s="25" t="s">
        <v>107</v>
      </c>
    </row>
    <row r="59" customFormat="false" ht="15" hidden="false" customHeight="false" outlineLevel="0" collapsed="false">
      <c r="A59" s="26" t="s">
        <v>298</v>
      </c>
      <c r="B59" s="27" t="s">
        <v>292</v>
      </c>
      <c r="C59" s="32" t="n">
        <v>980</v>
      </c>
      <c r="D59" s="27" t="s">
        <v>246</v>
      </c>
      <c r="E59" s="27" t="s">
        <v>299</v>
      </c>
      <c r="F59" s="29" t="s">
        <v>300</v>
      </c>
      <c r="G59" s="27" t="s">
        <v>269</v>
      </c>
      <c r="H59" s="30" t="n">
        <v>7</v>
      </c>
      <c r="I59" s="27" t="s">
        <v>224</v>
      </c>
      <c r="J59" s="29" t="s">
        <v>271</v>
      </c>
      <c r="K59" s="29" t="s">
        <v>106</v>
      </c>
      <c r="L59" s="31" t="s">
        <v>107</v>
      </c>
    </row>
    <row r="60" customFormat="false" ht="15" hidden="false" customHeight="false" outlineLevel="0" collapsed="false">
      <c r="A60" s="21" t="s">
        <v>301</v>
      </c>
      <c r="B60" s="5" t="s">
        <v>302</v>
      </c>
      <c r="C60" s="22" t="n">
        <v>3</v>
      </c>
      <c r="D60" s="5" t="s">
        <v>130</v>
      </c>
      <c r="E60" s="5" t="s">
        <v>188</v>
      </c>
      <c r="F60" s="23" t="s">
        <v>131</v>
      </c>
      <c r="G60" s="5" t="s">
        <v>269</v>
      </c>
      <c r="H60" s="24" t="n">
        <v>16</v>
      </c>
      <c r="I60" s="5" t="s">
        <v>104</v>
      </c>
      <c r="J60" s="23" t="s">
        <v>271</v>
      </c>
      <c r="K60" s="23" t="s">
        <v>106</v>
      </c>
      <c r="L60" s="25" t="s">
        <v>107</v>
      </c>
    </row>
    <row r="61" customFormat="false" ht="15" hidden="false" customHeight="false" outlineLevel="0" collapsed="false">
      <c r="A61" s="26" t="s">
        <v>303</v>
      </c>
      <c r="B61" s="27" t="s">
        <v>304</v>
      </c>
      <c r="C61" s="32" t="n">
        <v>3</v>
      </c>
      <c r="D61" s="27" t="s">
        <v>130</v>
      </c>
      <c r="E61" s="27" t="s">
        <v>153</v>
      </c>
      <c r="F61" s="29" t="s">
        <v>131</v>
      </c>
      <c r="G61" s="27" t="s">
        <v>269</v>
      </c>
      <c r="H61" s="30" t="n">
        <v>16</v>
      </c>
      <c r="I61" s="27" t="s">
        <v>104</v>
      </c>
      <c r="J61" s="29" t="s">
        <v>271</v>
      </c>
      <c r="K61" s="29" t="s">
        <v>106</v>
      </c>
      <c r="L61" s="31" t="s">
        <v>107</v>
      </c>
    </row>
    <row r="62" customFormat="false" ht="15" hidden="false" customHeight="false" outlineLevel="0" collapsed="false">
      <c r="A62" s="21" t="s">
        <v>305</v>
      </c>
      <c r="B62" s="5" t="s">
        <v>306</v>
      </c>
      <c r="C62" s="22" t="n">
        <v>3</v>
      </c>
      <c r="D62" s="5" t="s">
        <v>130</v>
      </c>
      <c r="E62" s="5" t="s">
        <v>307</v>
      </c>
      <c r="F62" s="23" t="s">
        <v>131</v>
      </c>
      <c r="G62" s="5" t="s">
        <v>242</v>
      </c>
      <c r="H62" s="24" t="n">
        <v>3</v>
      </c>
      <c r="I62" s="5" t="s">
        <v>104</v>
      </c>
      <c r="J62" s="23" t="s">
        <v>243</v>
      </c>
      <c r="K62" s="23" t="s">
        <v>106</v>
      </c>
      <c r="L62" s="25" t="s">
        <v>107</v>
      </c>
    </row>
    <row r="63" customFormat="false" ht="15" hidden="false" customHeight="false" outlineLevel="0" collapsed="false">
      <c r="A63" s="26" t="s">
        <v>308</v>
      </c>
      <c r="B63" s="27" t="s">
        <v>309</v>
      </c>
      <c r="C63" s="28" t="n">
        <v>4.3</v>
      </c>
      <c r="D63" s="27" t="s">
        <v>127</v>
      </c>
      <c r="E63" s="27" t="s">
        <v>222</v>
      </c>
      <c r="F63" s="29" t="s">
        <v>310</v>
      </c>
      <c r="G63" s="27" t="s">
        <v>269</v>
      </c>
      <c r="H63" s="30" t="n">
        <v>4</v>
      </c>
      <c r="I63" s="27" t="s">
        <v>224</v>
      </c>
      <c r="J63" s="29" t="s">
        <v>271</v>
      </c>
      <c r="K63" s="29" t="s">
        <v>106</v>
      </c>
      <c r="L63" s="31" t="s">
        <v>107</v>
      </c>
    </row>
    <row r="64" customFormat="false" ht="15" hidden="false" customHeight="false" outlineLevel="0" collapsed="false">
      <c r="A64" s="21" t="s">
        <v>311</v>
      </c>
      <c r="B64" s="5" t="s">
        <v>312</v>
      </c>
      <c r="C64" s="33" t="n">
        <v>5.2</v>
      </c>
      <c r="D64" s="5" t="s">
        <v>127</v>
      </c>
      <c r="E64" s="5" t="s">
        <v>299</v>
      </c>
      <c r="F64" s="23" t="s">
        <v>313</v>
      </c>
      <c r="G64" s="5" t="s">
        <v>269</v>
      </c>
      <c r="H64" s="24" t="n">
        <v>9</v>
      </c>
      <c r="I64" s="5" t="s">
        <v>224</v>
      </c>
      <c r="J64" s="23" t="s">
        <v>271</v>
      </c>
      <c r="K64" s="23" t="s">
        <v>106</v>
      </c>
      <c r="L64" s="25" t="s">
        <v>107</v>
      </c>
    </row>
    <row r="65" customFormat="false" ht="15" hidden="false" customHeight="false" outlineLevel="0" collapsed="false">
      <c r="A65" s="26" t="s">
        <v>314</v>
      </c>
      <c r="B65" s="27" t="s">
        <v>315</v>
      </c>
      <c r="C65" s="28" t="n">
        <v>0.9</v>
      </c>
      <c r="D65" s="27" t="s">
        <v>127</v>
      </c>
      <c r="E65" s="27" t="s">
        <v>299</v>
      </c>
      <c r="F65" s="29" t="s">
        <v>316</v>
      </c>
      <c r="G65" s="27" t="s">
        <v>269</v>
      </c>
      <c r="H65" s="30" t="n">
        <v>9</v>
      </c>
      <c r="I65" s="27" t="s">
        <v>224</v>
      </c>
      <c r="J65" s="29" t="s">
        <v>271</v>
      </c>
      <c r="K65" s="29" t="s">
        <v>106</v>
      </c>
      <c r="L65" s="31" t="s">
        <v>107</v>
      </c>
    </row>
    <row r="66" customFormat="false" ht="15" hidden="false" customHeight="false" outlineLevel="0" collapsed="false">
      <c r="A66" s="21" t="s">
        <v>317</v>
      </c>
      <c r="B66" s="5" t="s">
        <v>318</v>
      </c>
      <c r="C66" s="22" t="n">
        <v>17</v>
      </c>
      <c r="D66" s="5" t="s">
        <v>296</v>
      </c>
      <c r="E66" s="5" t="s">
        <v>299</v>
      </c>
      <c r="F66" s="23" t="s">
        <v>319</v>
      </c>
      <c r="G66" s="5" t="s">
        <v>269</v>
      </c>
      <c r="H66" s="24" t="n">
        <v>9</v>
      </c>
      <c r="I66" s="5" t="s">
        <v>224</v>
      </c>
      <c r="J66" s="23" t="s">
        <v>271</v>
      </c>
      <c r="K66" s="23" t="s">
        <v>106</v>
      </c>
      <c r="L66" s="25" t="s">
        <v>107</v>
      </c>
    </row>
    <row r="67" customFormat="false" ht="15" hidden="false" customHeight="false" outlineLevel="0" collapsed="false">
      <c r="A67" s="26" t="s">
        <v>320</v>
      </c>
      <c r="B67" s="27" t="s">
        <v>321</v>
      </c>
      <c r="C67" s="32" t="n">
        <v>10</v>
      </c>
      <c r="D67" s="27" t="s">
        <v>322</v>
      </c>
      <c r="E67" s="27" t="s">
        <v>111</v>
      </c>
      <c r="F67" s="29" t="s">
        <v>233</v>
      </c>
      <c r="G67" s="27" t="s">
        <v>269</v>
      </c>
      <c r="H67" s="30" t="n">
        <v>9</v>
      </c>
      <c r="I67" s="27" t="s">
        <v>224</v>
      </c>
      <c r="J67" s="29" t="s">
        <v>271</v>
      </c>
      <c r="K67" s="29" t="s">
        <v>106</v>
      </c>
      <c r="L67" s="31" t="s">
        <v>107</v>
      </c>
    </row>
    <row r="68" customFormat="false" ht="15" hidden="false" customHeight="false" outlineLevel="0" collapsed="false">
      <c r="A68" s="21" t="s">
        <v>323</v>
      </c>
      <c r="B68" s="5" t="s">
        <v>324</v>
      </c>
      <c r="C68" s="22" t="n">
        <v>430</v>
      </c>
      <c r="D68" s="5" t="s">
        <v>221</v>
      </c>
      <c r="E68" s="5" t="s">
        <v>325</v>
      </c>
      <c r="F68" s="23" t="s">
        <v>326</v>
      </c>
      <c r="G68" s="5" t="s">
        <v>269</v>
      </c>
      <c r="H68" s="24" t="n">
        <v>9</v>
      </c>
      <c r="I68" s="5" t="s">
        <v>224</v>
      </c>
      <c r="J68" s="23" t="s">
        <v>271</v>
      </c>
      <c r="K68" s="23" t="s">
        <v>106</v>
      </c>
      <c r="L68" s="25" t="s">
        <v>107</v>
      </c>
    </row>
    <row r="69" customFormat="false" ht="15" hidden="false" customHeight="false" outlineLevel="0" collapsed="false">
      <c r="A69" s="26" t="s">
        <v>327</v>
      </c>
      <c r="B69" s="27" t="s">
        <v>328</v>
      </c>
      <c r="C69" s="32" t="n">
        <v>-2301</v>
      </c>
      <c r="D69" s="27" t="s">
        <v>100</v>
      </c>
      <c r="E69" s="27" t="s">
        <v>117</v>
      </c>
      <c r="F69" s="29" t="s">
        <v>329</v>
      </c>
      <c r="G69" s="27" t="s">
        <v>119</v>
      </c>
      <c r="H69" s="30" t="n">
        <v>14</v>
      </c>
      <c r="I69" s="27" t="s">
        <v>124</v>
      </c>
      <c r="J69" s="29" t="s">
        <v>120</v>
      </c>
      <c r="K69" s="29" t="s">
        <v>106</v>
      </c>
      <c r="L69" s="31" t="s">
        <v>107</v>
      </c>
    </row>
    <row r="70" customFormat="false" ht="15" hidden="false" customHeight="false" outlineLevel="0" collapsed="false">
      <c r="A70" s="21" t="s">
        <v>330</v>
      </c>
      <c r="B70" s="5" t="s">
        <v>331</v>
      </c>
      <c r="C70" s="22" t="n">
        <v>-1023</v>
      </c>
      <c r="D70" s="5" t="s">
        <v>100</v>
      </c>
      <c r="E70" s="5" t="s">
        <v>117</v>
      </c>
      <c r="F70" s="23" t="s">
        <v>332</v>
      </c>
      <c r="G70" s="5" t="s">
        <v>119</v>
      </c>
      <c r="H70" s="24" t="n">
        <v>15</v>
      </c>
      <c r="I70" s="5" t="s">
        <v>124</v>
      </c>
      <c r="J70" s="23" t="s">
        <v>120</v>
      </c>
      <c r="K70" s="23" t="s">
        <v>106</v>
      </c>
      <c r="L70" s="25" t="s">
        <v>107</v>
      </c>
    </row>
    <row r="71" customFormat="false" ht="15" hidden="false" customHeight="false" outlineLevel="0" collapsed="false">
      <c r="A71" s="26" t="s">
        <v>333</v>
      </c>
      <c r="B71" s="27" t="s">
        <v>334</v>
      </c>
      <c r="C71" s="32" t="n">
        <v>497</v>
      </c>
      <c r="D71" s="27" t="s">
        <v>100</v>
      </c>
      <c r="E71" s="27" t="s">
        <v>117</v>
      </c>
      <c r="F71" s="29" t="s">
        <v>335</v>
      </c>
      <c r="G71" s="27" t="s">
        <v>119</v>
      </c>
      <c r="H71" s="30" t="n">
        <v>15</v>
      </c>
      <c r="I71" s="27" t="s">
        <v>104</v>
      </c>
      <c r="J71" s="29" t="s">
        <v>120</v>
      </c>
      <c r="K71" s="29" t="s">
        <v>106</v>
      </c>
      <c r="L71" s="31" t="s">
        <v>107</v>
      </c>
    </row>
    <row r="72" customFormat="false" ht="15" hidden="false" customHeight="false" outlineLevel="0" collapsed="false">
      <c r="A72" s="21" t="s">
        <v>336</v>
      </c>
      <c r="B72" s="5" t="s">
        <v>337</v>
      </c>
      <c r="C72" s="22" t="n">
        <v>318</v>
      </c>
      <c r="D72" s="5" t="s">
        <v>100</v>
      </c>
      <c r="E72" s="5" t="s">
        <v>117</v>
      </c>
      <c r="F72" s="23" t="s">
        <v>338</v>
      </c>
      <c r="G72" s="5" t="s">
        <v>119</v>
      </c>
      <c r="H72" s="24" t="n">
        <v>15</v>
      </c>
      <c r="I72" s="5" t="s">
        <v>124</v>
      </c>
      <c r="J72" s="23" t="s">
        <v>120</v>
      </c>
      <c r="K72" s="23" t="s">
        <v>106</v>
      </c>
      <c r="L72" s="25" t="s">
        <v>107</v>
      </c>
    </row>
    <row r="73" customFormat="false" ht="15" hidden="false" customHeight="false" outlineLevel="0" collapsed="false">
      <c r="A73" s="26" t="s">
        <v>339</v>
      </c>
      <c r="B73" s="27" t="s">
        <v>340</v>
      </c>
      <c r="C73" s="32" t="n">
        <v>-402</v>
      </c>
      <c r="D73" s="27" t="s">
        <v>100</v>
      </c>
      <c r="E73" s="27" t="s">
        <v>117</v>
      </c>
      <c r="F73" s="29" t="s">
        <v>341</v>
      </c>
      <c r="G73" s="27" t="s">
        <v>119</v>
      </c>
      <c r="H73" s="30" t="n">
        <v>15</v>
      </c>
      <c r="I73" s="27" t="s">
        <v>124</v>
      </c>
      <c r="J73" s="29" t="s">
        <v>120</v>
      </c>
      <c r="K73" s="29" t="s">
        <v>106</v>
      </c>
      <c r="L73" s="31" t="s">
        <v>107</v>
      </c>
    </row>
    <row r="74" customFormat="false" ht="15" hidden="false" customHeight="false" outlineLevel="0" collapsed="false">
      <c r="A74" s="21" t="s">
        <v>342</v>
      </c>
      <c r="B74" s="5" t="s">
        <v>343</v>
      </c>
      <c r="C74" s="22" t="n">
        <v>293</v>
      </c>
      <c r="D74" s="5" t="s">
        <v>100</v>
      </c>
      <c r="E74" s="5" t="s">
        <v>117</v>
      </c>
      <c r="F74" s="23" t="s">
        <v>344</v>
      </c>
      <c r="G74" s="5" t="s">
        <v>119</v>
      </c>
      <c r="H74" s="24" t="n">
        <v>15</v>
      </c>
      <c r="I74" s="5" t="s">
        <v>124</v>
      </c>
      <c r="J74" s="23" t="s">
        <v>120</v>
      </c>
      <c r="K74" s="23" t="s">
        <v>106</v>
      </c>
      <c r="L74" s="25" t="s">
        <v>107</v>
      </c>
    </row>
    <row r="75" customFormat="false" ht="15" hidden="false" customHeight="false" outlineLevel="0" collapsed="false">
      <c r="A75" s="26" t="s">
        <v>345</v>
      </c>
      <c r="B75" s="27" t="s">
        <v>206</v>
      </c>
      <c r="C75" s="32" t="n">
        <v>-451</v>
      </c>
      <c r="D75" s="27" t="s">
        <v>100</v>
      </c>
      <c r="E75" s="27" t="s">
        <v>179</v>
      </c>
      <c r="F75" s="29" t="s">
        <v>346</v>
      </c>
      <c r="G75" s="27" t="s">
        <v>146</v>
      </c>
      <c r="H75" s="30" t="n">
        <v>25</v>
      </c>
      <c r="I75" s="27" t="s">
        <v>124</v>
      </c>
      <c r="J75" s="29" t="s">
        <v>147</v>
      </c>
      <c r="K75" s="29" t="s">
        <v>106</v>
      </c>
      <c r="L75" s="31" t="s">
        <v>107</v>
      </c>
    </row>
    <row r="76" customFormat="false" ht="15" hidden="false" customHeight="false" outlineLevel="0" collapsed="false">
      <c r="A76" s="21" t="s">
        <v>347</v>
      </c>
      <c r="B76" s="5" t="s">
        <v>136</v>
      </c>
      <c r="C76" s="22" t="n">
        <v>20764</v>
      </c>
      <c r="D76" s="5" t="s">
        <v>100</v>
      </c>
      <c r="E76" s="5" t="s">
        <v>348</v>
      </c>
      <c r="F76" s="23" t="s">
        <v>349</v>
      </c>
      <c r="G76" s="5" t="s">
        <v>146</v>
      </c>
      <c r="H76" s="24" t="n">
        <v>26</v>
      </c>
      <c r="I76" s="5" t="s">
        <v>104</v>
      </c>
      <c r="J76" s="23" t="s">
        <v>147</v>
      </c>
      <c r="K76" s="23" t="s">
        <v>106</v>
      </c>
      <c r="L76" s="25" t="s">
        <v>107</v>
      </c>
    </row>
    <row r="77" customFormat="false" ht="15" hidden="false" customHeight="false" outlineLevel="0" collapsed="false">
      <c r="A77" s="26" t="s">
        <v>350</v>
      </c>
      <c r="B77" s="27" t="s">
        <v>351</v>
      </c>
      <c r="C77" s="32" t="n">
        <v>-1394</v>
      </c>
      <c r="D77" s="27" t="s">
        <v>100</v>
      </c>
      <c r="E77" s="27" t="s">
        <v>101</v>
      </c>
      <c r="F77" s="29" t="s">
        <v>352</v>
      </c>
      <c r="G77" s="27" t="s">
        <v>146</v>
      </c>
      <c r="H77" s="30" t="n">
        <v>26</v>
      </c>
      <c r="I77" s="27" t="s">
        <v>124</v>
      </c>
      <c r="J77" s="29" t="s">
        <v>147</v>
      </c>
      <c r="K77" s="29" t="s">
        <v>106</v>
      </c>
      <c r="L77" s="31" t="s">
        <v>107</v>
      </c>
    </row>
    <row r="78" customFormat="false" ht="15" hidden="false" customHeight="false" outlineLevel="0" collapsed="false">
      <c r="A78" s="21" t="s">
        <v>353</v>
      </c>
      <c r="B78" s="5" t="s">
        <v>354</v>
      </c>
      <c r="C78" s="22" t="n">
        <v>-1267</v>
      </c>
      <c r="D78" s="5" t="s">
        <v>100</v>
      </c>
      <c r="E78" s="5" t="s">
        <v>179</v>
      </c>
      <c r="F78" s="23" t="s">
        <v>355</v>
      </c>
      <c r="G78" s="5" t="s">
        <v>146</v>
      </c>
      <c r="H78" s="24" t="n">
        <v>26</v>
      </c>
      <c r="I78" s="5" t="s">
        <v>124</v>
      </c>
      <c r="J78" s="23" t="s">
        <v>147</v>
      </c>
      <c r="K78" s="23" t="s">
        <v>106</v>
      </c>
      <c r="L78" s="25" t="s">
        <v>107</v>
      </c>
    </row>
    <row r="79" customFormat="false" ht="15" hidden="false" customHeight="false" outlineLevel="0" collapsed="false">
      <c r="A79" s="26" t="s">
        <v>356</v>
      </c>
      <c r="B79" s="27" t="s">
        <v>357</v>
      </c>
      <c r="C79" s="32" t="n">
        <v>1099</v>
      </c>
      <c r="D79" s="27" t="s">
        <v>100</v>
      </c>
      <c r="E79" s="27" t="s">
        <v>188</v>
      </c>
      <c r="F79" s="29" t="s">
        <v>358</v>
      </c>
      <c r="G79" s="27" t="s">
        <v>146</v>
      </c>
      <c r="H79" s="30" t="n">
        <v>25</v>
      </c>
      <c r="I79" s="27" t="s">
        <v>124</v>
      </c>
      <c r="J79" s="29" t="s">
        <v>147</v>
      </c>
      <c r="K79" s="29" t="s">
        <v>106</v>
      </c>
      <c r="L79" s="31" t="s">
        <v>107</v>
      </c>
    </row>
    <row r="80" customFormat="false" ht="15" hidden="false" customHeight="false" outlineLevel="0" collapsed="false">
      <c r="A80" s="21" t="s">
        <v>359</v>
      </c>
      <c r="B80" s="5" t="s">
        <v>360</v>
      </c>
      <c r="C80" s="22" t="n">
        <v>-2869</v>
      </c>
      <c r="D80" s="5" t="s">
        <v>100</v>
      </c>
      <c r="E80" s="5" t="s">
        <v>101</v>
      </c>
      <c r="F80" s="23" t="s">
        <v>361</v>
      </c>
      <c r="G80" s="5" t="s">
        <v>146</v>
      </c>
      <c r="H80" s="24" t="n">
        <v>25</v>
      </c>
      <c r="I80" s="5" t="s">
        <v>124</v>
      </c>
      <c r="J80" s="23" t="s">
        <v>147</v>
      </c>
      <c r="K80" s="23" t="s">
        <v>106</v>
      </c>
      <c r="L80" s="25" t="s">
        <v>107</v>
      </c>
    </row>
    <row r="81" customFormat="false" ht="15" hidden="false" customHeight="false" outlineLevel="0" collapsed="false">
      <c r="A81" s="26" t="s">
        <v>362</v>
      </c>
      <c r="B81" s="27" t="s">
        <v>363</v>
      </c>
      <c r="C81" s="32" t="n">
        <v>-2778</v>
      </c>
      <c r="D81" s="27" t="s">
        <v>100</v>
      </c>
      <c r="E81" s="27" t="s">
        <v>101</v>
      </c>
      <c r="F81" s="29" t="s">
        <v>364</v>
      </c>
      <c r="G81" s="27" t="s">
        <v>146</v>
      </c>
      <c r="H81" s="30" t="n">
        <v>25</v>
      </c>
      <c r="I81" s="27" t="s">
        <v>270</v>
      </c>
      <c r="J81" s="29" t="s">
        <v>147</v>
      </c>
      <c r="K81" s="29" t="s">
        <v>106</v>
      </c>
      <c r="L81" s="31" t="s">
        <v>107</v>
      </c>
    </row>
    <row r="82" customFormat="false" ht="15" hidden="false" customHeight="false" outlineLevel="0" collapsed="false">
      <c r="A82" s="21" t="s">
        <v>365</v>
      </c>
      <c r="B82" s="5" t="s">
        <v>366</v>
      </c>
      <c r="C82" s="22" t="n">
        <v>-137</v>
      </c>
      <c r="D82" s="5" t="s">
        <v>100</v>
      </c>
      <c r="E82" s="5" t="s">
        <v>101</v>
      </c>
      <c r="F82" s="23" t="s">
        <v>367</v>
      </c>
      <c r="G82" s="5" t="s">
        <v>146</v>
      </c>
      <c r="H82" s="24" t="n">
        <v>25</v>
      </c>
      <c r="I82" s="5" t="s">
        <v>270</v>
      </c>
      <c r="J82" s="23" t="s">
        <v>147</v>
      </c>
      <c r="K82" s="23" t="s">
        <v>106</v>
      </c>
      <c r="L82" s="25" t="s">
        <v>107</v>
      </c>
    </row>
    <row r="83" customFormat="false" ht="15" hidden="false" customHeight="false" outlineLevel="0" collapsed="false">
      <c r="A83" s="26" t="s">
        <v>368</v>
      </c>
      <c r="B83" s="27" t="s">
        <v>369</v>
      </c>
      <c r="C83" s="32" t="n">
        <v>-260</v>
      </c>
      <c r="D83" s="27" t="s">
        <v>100</v>
      </c>
      <c r="E83" s="27" t="s">
        <v>101</v>
      </c>
      <c r="F83" s="29" t="s">
        <v>370</v>
      </c>
      <c r="G83" s="27" t="s">
        <v>146</v>
      </c>
      <c r="H83" s="30" t="n">
        <v>25</v>
      </c>
      <c r="I83" s="27" t="s">
        <v>104</v>
      </c>
      <c r="J83" s="29" t="s">
        <v>147</v>
      </c>
      <c r="K83" s="29" t="s">
        <v>106</v>
      </c>
      <c r="L83" s="31" t="s">
        <v>107</v>
      </c>
    </row>
    <row r="84" customFormat="false" ht="15" hidden="false" customHeight="false" outlineLevel="0" collapsed="false">
      <c r="A84" s="21" t="s">
        <v>371</v>
      </c>
      <c r="B84" s="5" t="s">
        <v>372</v>
      </c>
      <c r="C84" s="22" t="n">
        <v>-70</v>
      </c>
      <c r="D84" s="5" t="s">
        <v>100</v>
      </c>
      <c r="E84" s="5" t="s">
        <v>101</v>
      </c>
      <c r="F84" s="23" t="s">
        <v>373</v>
      </c>
      <c r="G84" s="5" t="s">
        <v>146</v>
      </c>
      <c r="H84" s="24" t="n">
        <v>26</v>
      </c>
      <c r="I84" s="5" t="s">
        <v>124</v>
      </c>
      <c r="J84" s="23" t="s">
        <v>147</v>
      </c>
      <c r="K84" s="23" t="s">
        <v>106</v>
      </c>
      <c r="L84" s="25" t="s">
        <v>107</v>
      </c>
    </row>
    <row r="85" customFormat="false" ht="15" hidden="false" customHeight="false" outlineLevel="0" collapsed="false">
      <c r="A85" s="26" t="s">
        <v>374</v>
      </c>
      <c r="B85" s="27" t="s">
        <v>375</v>
      </c>
      <c r="C85" s="32" t="n">
        <v>10</v>
      </c>
      <c r="D85" s="27" t="s">
        <v>100</v>
      </c>
      <c r="E85" s="27" t="s">
        <v>101</v>
      </c>
      <c r="F85" s="29" t="s">
        <v>233</v>
      </c>
      <c r="G85" s="27" t="s">
        <v>146</v>
      </c>
      <c r="H85" s="30" t="n">
        <v>26</v>
      </c>
      <c r="I85" s="27" t="s">
        <v>124</v>
      </c>
      <c r="J85" s="29" t="s">
        <v>147</v>
      </c>
      <c r="K85" s="29" t="s">
        <v>106</v>
      </c>
      <c r="L85" s="31" t="s">
        <v>107</v>
      </c>
    </row>
    <row r="86" customFormat="false" ht="15" hidden="false" customHeight="false" outlineLevel="0" collapsed="false">
      <c r="A86" s="21" t="s">
        <v>376</v>
      </c>
      <c r="B86" s="5" t="s">
        <v>377</v>
      </c>
      <c r="C86" s="22" t="n">
        <v>2</v>
      </c>
      <c r="D86" s="5" t="s">
        <v>100</v>
      </c>
      <c r="E86" s="5" t="s">
        <v>101</v>
      </c>
      <c r="F86" s="23" t="s">
        <v>197</v>
      </c>
      <c r="G86" s="5" t="s">
        <v>146</v>
      </c>
      <c r="H86" s="24" t="n">
        <v>26</v>
      </c>
      <c r="I86" s="5" t="s">
        <v>124</v>
      </c>
      <c r="J86" s="23" t="s">
        <v>147</v>
      </c>
      <c r="K86" s="23" t="s">
        <v>106</v>
      </c>
      <c r="L86" s="25" t="s">
        <v>107</v>
      </c>
    </row>
    <row r="87" customFormat="false" ht="15" hidden="false" customHeight="false" outlineLevel="0" collapsed="false">
      <c r="A87" s="26" t="s">
        <v>378</v>
      </c>
      <c r="B87" s="27" t="s">
        <v>379</v>
      </c>
      <c r="C87" s="32" t="n">
        <v>-21</v>
      </c>
      <c r="D87" s="27" t="s">
        <v>100</v>
      </c>
      <c r="E87" s="27" t="s">
        <v>101</v>
      </c>
      <c r="F87" s="29" t="s">
        <v>380</v>
      </c>
      <c r="G87" s="27" t="s">
        <v>146</v>
      </c>
      <c r="H87" s="30" t="n">
        <v>26</v>
      </c>
      <c r="I87" s="27" t="s">
        <v>104</v>
      </c>
      <c r="J87" s="29" t="s">
        <v>147</v>
      </c>
      <c r="K87" s="29" t="s">
        <v>106</v>
      </c>
      <c r="L87" s="31" t="s">
        <v>107</v>
      </c>
    </row>
    <row r="88" customFormat="false" ht="15" hidden="false" customHeight="false" outlineLevel="0" collapsed="false">
      <c r="A88" s="21" t="s">
        <v>381</v>
      </c>
      <c r="B88" s="5" t="s">
        <v>382</v>
      </c>
      <c r="C88" s="22" t="n">
        <v>-1238</v>
      </c>
      <c r="D88" s="5" t="s">
        <v>100</v>
      </c>
      <c r="E88" s="5" t="s">
        <v>101</v>
      </c>
      <c r="F88" s="23" t="s">
        <v>383</v>
      </c>
      <c r="G88" s="5" t="s">
        <v>146</v>
      </c>
      <c r="H88" s="24" t="n">
        <v>26</v>
      </c>
      <c r="I88" s="5" t="s">
        <v>124</v>
      </c>
      <c r="J88" s="23" t="s">
        <v>147</v>
      </c>
      <c r="K88" s="23" t="s">
        <v>106</v>
      </c>
      <c r="L88" s="25" t="s">
        <v>107</v>
      </c>
    </row>
    <row r="89" customFormat="false" ht="15" hidden="false" customHeight="false" outlineLevel="0" collapsed="false">
      <c r="A89" s="26" t="s">
        <v>384</v>
      </c>
      <c r="B89" s="27" t="s">
        <v>382</v>
      </c>
      <c r="C89" s="32" t="n">
        <v>-1171</v>
      </c>
      <c r="D89" s="27" t="s">
        <v>100</v>
      </c>
      <c r="E89" s="27" t="s">
        <v>179</v>
      </c>
      <c r="F89" s="29" t="s">
        <v>385</v>
      </c>
      <c r="G89" s="27" t="s">
        <v>146</v>
      </c>
      <c r="H89" s="30" t="n">
        <v>26</v>
      </c>
      <c r="I89" s="27" t="s">
        <v>124</v>
      </c>
      <c r="J89" s="29" t="s">
        <v>147</v>
      </c>
      <c r="K89" s="29" t="s">
        <v>106</v>
      </c>
      <c r="L89" s="31" t="s">
        <v>107</v>
      </c>
    </row>
    <row r="90" customFormat="false" ht="15" hidden="false" customHeight="false" outlineLevel="0" collapsed="false">
      <c r="A90" s="21" t="s">
        <v>386</v>
      </c>
      <c r="B90" s="5" t="s">
        <v>387</v>
      </c>
      <c r="C90" s="22" t="n">
        <v>-1630</v>
      </c>
      <c r="D90" s="5" t="s">
        <v>100</v>
      </c>
      <c r="E90" s="5" t="s">
        <v>101</v>
      </c>
      <c r="F90" s="23" t="s">
        <v>388</v>
      </c>
      <c r="G90" s="5" t="s">
        <v>146</v>
      </c>
      <c r="H90" s="24" t="n">
        <v>26</v>
      </c>
      <c r="I90" s="5" t="s">
        <v>124</v>
      </c>
      <c r="J90" s="23" t="s">
        <v>147</v>
      </c>
      <c r="K90" s="23" t="s">
        <v>106</v>
      </c>
      <c r="L90" s="25" t="s">
        <v>107</v>
      </c>
    </row>
    <row r="91" customFormat="false" ht="15" hidden="false" customHeight="false" outlineLevel="0" collapsed="false">
      <c r="A91" s="26" t="s">
        <v>389</v>
      </c>
      <c r="B91" s="27" t="s">
        <v>390</v>
      </c>
      <c r="C91" s="32" t="n">
        <v>731697339</v>
      </c>
      <c r="D91" s="27" t="s">
        <v>391</v>
      </c>
      <c r="E91" s="27" t="s">
        <v>101</v>
      </c>
      <c r="F91" s="29" t="s">
        <v>392</v>
      </c>
      <c r="G91" s="27" t="s">
        <v>146</v>
      </c>
      <c r="H91" s="30" t="n">
        <v>64</v>
      </c>
      <c r="I91" s="27" t="s">
        <v>124</v>
      </c>
      <c r="J91" s="29" t="s">
        <v>147</v>
      </c>
      <c r="K91" s="29" t="s">
        <v>106</v>
      </c>
      <c r="L91" s="31" t="s">
        <v>107</v>
      </c>
    </row>
    <row r="92" customFormat="false" ht="15" hidden="false" customHeight="false" outlineLevel="0" collapsed="false">
      <c r="A92" s="21" t="s">
        <v>393</v>
      </c>
      <c r="B92" s="5" t="s">
        <v>394</v>
      </c>
      <c r="C92" s="22" t="n">
        <v>5</v>
      </c>
      <c r="D92" s="5" t="s">
        <v>296</v>
      </c>
      <c r="E92" s="5" t="s">
        <v>188</v>
      </c>
      <c r="F92" s="23" t="s">
        <v>395</v>
      </c>
      <c r="G92" s="5" t="s">
        <v>242</v>
      </c>
      <c r="H92" s="24" t="n">
        <v>3</v>
      </c>
      <c r="I92" s="5" t="s">
        <v>124</v>
      </c>
      <c r="J92" s="23" t="s">
        <v>243</v>
      </c>
      <c r="K92" s="23" t="s">
        <v>106</v>
      </c>
      <c r="L92" s="25" t="s">
        <v>107</v>
      </c>
    </row>
    <row r="93" customFormat="false" ht="15" hidden="false" customHeight="false" outlineLevel="0" collapsed="false">
      <c r="A93" s="26" t="s">
        <v>396</v>
      </c>
      <c r="B93" s="27" t="s">
        <v>397</v>
      </c>
      <c r="C93" s="32" t="n">
        <v>6</v>
      </c>
      <c r="D93" s="27" t="s">
        <v>296</v>
      </c>
      <c r="E93" s="27" t="s">
        <v>188</v>
      </c>
      <c r="F93" s="29" t="s">
        <v>398</v>
      </c>
      <c r="G93" s="27" t="s">
        <v>242</v>
      </c>
      <c r="H93" s="30" t="n">
        <v>3</v>
      </c>
      <c r="I93" s="27" t="s">
        <v>124</v>
      </c>
      <c r="J93" s="29" t="s">
        <v>243</v>
      </c>
      <c r="K93" s="29" t="s">
        <v>106</v>
      </c>
      <c r="L93" s="31" t="s">
        <v>107</v>
      </c>
    </row>
    <row r="94" customFormat="false" ht="15" hidden="false" customHeight="false" outlineLevel="0" collapsed="false">
      <c r="A94" s="21" t="s">
        <v>399</v>
      </c>
      <c r="B94" s="5" t="s">
        <v>400</v>
      </c>
      <c r="C94" s="22" t="n">
        <v>8</v>
      </c>
      <c r="D94" s="5" t="s">
        <v>296</v>
      </c>
      <c r="E94" s="5" t="s">
        <v>188</v>
      </c>
      <c r="F94" s="23" t="s">
        <v>154</v>
      </c>
      <c r="G94" s="5" t="s">
        <v>242</v>
      </c>
      <c r="H94" s="24" t="n">
        <v>3</v>
      </c>
      <c r="I94" s="5" t="s">
        <v>124</v>
      </c>
      <c r="J94" s="23" t="s">
        <v>243</v>
      </c>
      <c r="K94" s="23" t="s">
        <v>106</v>
      </c>
      <c r="L94" s="25" t="s">
        <v>107</v>
      </c>
    </row>
    <row r="95" customFormat="false" ht="15" hidden="false" customHeight="false" outlineLevel="0" collapsed="false">
      <c r="A95" s="26" t="s">
        <v>401</v>
      </c>
      <c r="B95" s="27" t="s">
        <v>402</v>
      </c>
      <c r="C95" s="28" t="n">
        <v>1.9</v>
      </c>
      <c r="D95" s="27" t="s">
        <v>110</v>
      </c>
      <c r="E95" s="27" t="s">
        <v>111</v>
      </c>
      <c r="F95" s="29" t="s">
        <v>403</v>
      </c>
      <c r="G95" s="27" t="s">
        <v>113</v>
      </c>
      <c r="H95" s="30" t="n">
        <v>63</v>
      </c>
      <c r="I95" s="27" t="s">
        <v>114</v>
      </c>
      <c r="J95" s="29" t="s">
        <v>115</v>
      </c>
      <c r="K95" s="29" t="s">
        <v>106</v>
      </c>
      <c r="L95" s="31" t="s">
        <v>107</v>
      </c>
    </row>
    <row r="96" customFormat="false" ht="15" hidden="false" customHeight="false" outlineLevel="0" collapsed="false">
      <c r="A96" s="21" t="s">
        <v>404</v>
      </c>
      <c r="B96" s="5" t="s">
        <v>405</v>
      </c>
      <c r="C96" s="33" t="n">
        <v>1.5</v>
      </c>
      <c r="D96" s="5" t="s">
        <v>110</v>
      </c>
      <c r="E96" s="5" t="s">
        <v>111</v>
      </c>
      <c r="F96" s="23" t="s">
        <v>406</v>
      </c>
      <c r="G96" s="5" t="s">
        <v>113</v>
      </c>
      <c r="H96" s="24" t="n">
        <v>63</v>
      </c>
      <c r="I96" s="5" t="s">
        <v>114</v>
      </c>
      <c r="J96" s="23" t="s">
        <v>115</v>
      </c>
      <c r="K96" s="23" t="s">
        <v>106</v>
      </c>
      <c r="L96" s="25" t="s">
        <v>107</v>
      </c>
    </row>
    <row r="97" customFormat="false" ht="15" hidden="false" customHeight="false" outlineLevel="0" collapsed="false">
      <c r="A97" s="26" t="s">
        <v>407</v>
      </c>
      <c r="B97" s="27" t="s">
        <v>408</v>
      </c>
      <c r="C97" s="28" t="n">
        <v>0.3</v>
      </c>
      <c r="D97" s="27" t="s">
        <v>110</v>
      </c>
      <c r="E97" s="27" t="s">
        <v>111</v>
      </c>
      <c r="F97" s="29" t="s">
        <v>409</v>
      </c>
      <c r="G97" s="27" t="s">
        <v>113</v>
      </c>
      <c r="H97" s="30" t="n">
        <v>63</v>
      </c>
      <c r="I97" s="27" t="s">
        <v>114</v>
      </c>
      <c r="J97" s="29" t="s">
        <v>115</v>
      </c>
      <c r="K97" s="29" t="s">
        <v>106</v>
      </c>
      <c r="L97" s="31" t="s">
        <v>107</v>
      </c>
    </row>
    <row r="98" customFormat="false" ht="15" hidden="false" customHeight="false" outlineLevel="0" collapsed="false">
      <c r="A98" s="21" t="s">
        <v>410</v>
      </c>
      <c r="B98" s="5" t="s">
        <v>411</v>
      </c>
      <c r="C98" s="33" t="n">
        <v>-0.2</v>
      </c>
      <c r="D98" s="5" t="s">
        <v>296</v>
      </c>
      <c r="E98" s="5" t="s">
        <v>101</v>
      </c>
      <c r="F98" s="23" t="s">
        <v>412</v>
      </c>
      <c r="G98" s="5" t="s">
        <v>242</v>
      </c>
      <c r="H98" s="24" t="n">
        <v>7</v>
      </c>
      <c r="I98" s="5" t="s">
        <v>224</v>
      </c>
      <c r="J98" s="23" t="s">
        <v>243</v>
      </c>
      <c r="K98" s="23" t="s">
        <v>106</v>
      </c>
      <c r="L98" s="25" t="s">
        <v>107</v>
      </c>
    </row>
    <row r="99" customFormat="false" ht="15" hidden="false" customHeight="false" outlineLevel="0" collapsed="false">
      <c r="A99" s="26" t="s">
        <v>413</v>
      </c>
      <c r="B99" s="27" t="s">
        <v>235</v>
      </c>
      <c r="C99" s="32" t="n">
        <v>653</v>
      </c>
      <c r="D99" s="27" t="s">
        <v>100</v>
      </c>
      <c r="E99" s="27" t="s">
        <v>179</v>
      </c>
      <c r="F99" s="29" t="s">
        <v>414</v>
      </c>
      <c r="G99" s="27" t="s">
        <v>242</v>
      </c>
      <c r="H99" s="30" t="n">
        <v>7</v>
      </c>
      <c r="I99" s="27" t="s">
        <v>224</v>
      </c>
      <c r="J99" s="29" t="s">
        <v>243</v>
      </c>
      <c r="K99" s="29" t="s">
        <v>106</v>
      </c>
      <c r="L99" s="31" t="s">
        <v>107</v>
      </c>
    </row>
    <row r="100" customFormat="false" ht="15" hidden="false" customHeight="false" outlineLevel="0" collapsed="false">
      <c r="A100" s="21" t="s">
        <v>415</v>
      </c>
      <c r="B100" s="5" t="s">
        <v>235</v>
      </c>
      <c r="C100" s="22" t="n">
        <v>676</v>
      </c>
      <c r="D100" s="5" t="s">
        <v>100</v>
      </c>
      <c r="E100" s="5" t="s">
        <v>101</v>
      </c>
      <c r="F100" s="23" t="s">
        <v>416</v>
      </c>
      <c r="G100" s="5" t="s">
        <v>242</v>
      </c>
      <c r="H100" s="24" t="n">
        <v>7</v>
      </c>
      <c r="I100" s="5" t="s">
        <v>224</v>
      </c>
      <c r="J100" s="23" t="s">
        <v>243</v>
      </c>
      <c r="K100" s="23" t="s">
        <v>106</v>
      </c>
      <c r="L100" s="25" t="s">
        <v>107</v>
      </c>
    </row>
    <row r="101" customFormat="false" ht="15" hidden="false" customHeight="false" outlineLevel="0" collapsed="false">
      <c r="A101" s="26" t="s">
        <v>417</v>
      </c>
      <c r="B101" s="27" t="s">
        <v>418</v>
      </c>
      <c r="C101" s="32" t="n">
        <v>894</v>
      </c>
      <c r="D101" s="27" t="s">
        <v>100</v>
      </c>
      <c r="E101" s="27" t="s">
        <v>179</v>
      </c>
      <c r="F101" s="29" t="s">
        <v>419</v>
      </c>
      <c r="G101" s="27" t="s">
        <v>242</v>
      </c>
      <c r="H101" s="30" t="n">
        <v>7</v>
      </c>
      <c r="I101" s="27" t="s">
        <v>224</v>
      </c>
      <c r="J101" s="29" t="s">
        <v>243</v>
      </c>
      <c r="K101" s="29" t="s">
        <v>106</v>
      </c>
      <c r="L101" s="31" t="s">
        <v>107</v>
      </c>
    </row>
    <row r="102" customFormat="false" ht="15" hidden="false" customHeight="false" outlineLevel="0" collapsed="false">
      <c r="A102" s="21" t="s">
        <v>420</v>
      </c>
      <c r="B102" s="5" t="s">
        <v>418</v>
      </c>
      <c r="C102" s="22" t="n">
        <v>991</v>
      </c>
      <c r="D102" s="5" t="s">
        <v>100</v>
      </c>
      <c r="E102" s="5" t="s">
        <v>101</v>
      </c>
      <c r="F102" s="23" t="s">
        <v>421</v>
      </c>
      <c r="G102" s="5" t="s">
        <v>242</v>
      </c>
      <c r="H102" s="24" t="n">
        <v>7</v>
      </c>
      <c r="I102" s="5" t="s">
        <v>224</v>
      </c>
      <c r="J102" s="23" t="s">
        <v>243</v>
      </c>
      <c r="K102" s="23" t="s">
        <v>106</v>
      </c>
      <c r="L102" s="25" t="s">
        <v>107</v>
      </c>
    </row>
    <row r="103" customFormat="false" ht="15" hidden="false" customHeight="false" outlineLevel="0" collapsed="false">
      <c r="A103" s="26" t="s">
        <v>422</v>
      </c>
      <c r="B103" s="27" t="s">
        <v>423</v>
      </c>
      <c r="C103" s="32" t="n">
        <v>2066</v>
      </c>
      <c r="D103" s="27" t="s">
        <v>100</v>
      </c>
      <c r="E103" s="27" t="s">
        <v>144</v>
      </c>
      <c r="F103" s="29" t="s">
        <v>424</v>
      </c>
      <c r="G103" s="27" t="s">
        <v>146</v>
      </c>
      <c r="H103" s="30" t="n">
        <v>53</v>
      </c>
      <c r="I103" s="27" t="s">
        <v>254</v>
      </c>
      <c r="J103" s="29" t="s">
        <v>147</v>
      </c>
      <c r="K103" s="29" t="s">
        <v>106</v>
      </c>
      <c r="L103" s="31" t="s">
        <v>107</v>
      </c>
    </row>
    <row r="104" customFormat="false" ht="15" hidden="false" customHeight="false" outlineLevel="0" collapsed="false">
      <c r="A104" s="21" t="s">
        <v>425</v>
      </c>
      <c r="B104" s="5" t="s">
        <v>426</v>
      </c>
      <c r="C104" s="22" t="n">
        <v>1220</v>
      </c>
      <c r="D104" s="5" t="s">
        <v>100</v>
      </c>
      <c r="E104" s="5" t="s">
        <v>190</v>
      </c>
      <c r="F104" s="23" t="s">
        <v>427</v>
      </c>
      <c r="G104" s="5" t="s">
        <v>169</v>
      </c>
      <c r="H104" s="24" t="n">
        <v>432</v>
      </c>
      <c r="I104" s="5" t="s">
        <v>254</v>
      </c>
      <c r="J104" s="23" t="s">
        <v>170</v>
      </c>
      <c r="K104" s="23" t="s">
        <v>106</v>
      </c>
      <c r="L104" s="25" t="s">
        <v>107</v>
      </c>
    </row>
    <row r="105" customFormat="false" ht="15" hidden="false" customHeight="false" outlineLevel="0" collapsed="false">
      <c r="A105" s="26" t="s">
        <v>428</v>
      </c>
      <c r="B105" s="27" t="s">
        <v>426</v>
      </c>
      <c r="C105" s="32" t="n">
        <v>1214</v>
      </c>
      <c r="D105" s="27" t="s">
        <v>100</v>
      </c>
      <c r="E105" s="27" t="s">
        <v>137</v>
      </c>
      <c r="F105" s="29" t="s">
        <v>429</v>
      </c>
      <c r="G105" s="27" t="s">
        <v>169</v>
      </c>
      <c r="H105" s="30" t="n">
        <v>432</v>
      </c>
      <c r="I105" s="27" t="s">
        <v>254</v>
      </c>
      <c r="J105" s="29" t="s">
        <v>170</v>
      </c>
      <c r="K105" s="29" t="s">
        <v>106</v>
      </c>
      <c r="L105" s="31" t="s">
        <v>107</v>
      </c>
    </row>
    <row r="106" customFormat="false" ht="15" hidden="false" customHeight="false" outlineLevel="0" collapsed="false">
      <c r="A106" s="21" t="s">
        <v>430</v>
      </c>
      <c r="B106" s="5" t="s">
        <v>431</v>
      </c>
      <c r="C106" s="22" t="n">
        <v>418</v>
      </c>
      <c r="D106" s="5" t="s">
        <v>100</v>
      </c>
      <c r="E106" s="5" t="s">
        <v>137</v>
      </c>
      <c r="F106" s="23" t="s">
        <v>432</v>
      </c>
      <c r="G106" s="5" t="s">
        <v>169</v>
      </c>
      <c r="H106" s="24" t="n">
        <v>432</v>
      </c>
      <c r="I106" s="5" t="s">
        <v>254</v>
      </c>
      <c r="J106" s="23" t="s">
        <v>170</v>
      </c>
      <c r="K106" s="23" t="s">
        <v>106</v>
      </c>
      <c r="L106" s="25" t="s">
        <v>107</v>
      </c>
    </row>
    <row r="107" customFormat="false" ht="15" hidden="false" customHeight="false" outlineLevel="0" collapsed="false">
      <c r="A107" s="26" t="s">
        <v>433</v>
      </c>
      <c r="B107" s="27" t="s">
        <v>431</v>
      </c>
      <c r="C107" s="32" t="n">
        <v>472</v>
      </c>
      <c r="D107" s="27" t="s">
        <v>100</v>
      </c>
      <c r="E107" s="27" t="s">
        <v>144</v>
      </c>
      <c r="F107" s="29" t="s">
        <v>434</v>
      </c>
      <c r="G107" s="27" t="s">
        <v>146</v>
      </c>
      <c r="H107" s="30" t="n">
        <v>65</v>
      </c>
      <c r="I107" s="27" t="s">
        <v>254</v>
      </c>
      <c r="J107" s="29" t="s">
        <v>147</v>
      </c>
      <c r="K107" s="29" t="s">
        <v>106</v>
      </c>
      <c r="L107" s="31" t="s">
        <v>107</v>
      </c>
    </row>
    <row r="108" customFormat="false" ht="15" hidden="false" customHeight="false" outlineLevel="0" collapsed="false">
      <c r="A108" s="21" t="s">
        <v>435</v>
      </c>
      <c r="B108" s="5" t="s">
        <v>436</v>
      </c>
      <c r="C108" s="22" t="n">
        <v>454</v>
      </c>
      <c r="D108" s="5" t="s">
        <v>100</v>
      </c>
      <c r="E108" s="5" t="s">
        <v>137</v>
      </c>
      <c r="F108" s="23" t="s">
        <v>437</v>
      </c>
      <c r="G108" s="5" t="s">
        <v>169</v>
      </c>
      <c r="H108" s="24" t="n">
        <v>432</v>
      </c>
      <c r="I108" s="5" t="s">
        <v>254</v>
      </c>
      <c r="J108" s="23" t="s">
        <v>170</v>
      </c>
      <c r="K108" s="23" t="s">
        <v>106</v>
      </c>
      <c r="L108" s="25" t="s">
        <v>107</v>
      </c>
    </row>
    <row r="109" customFormat="false" ht="15" hidden="false" customHeight="false" outlineLevel="0" collapsed="false">
      <c r="A109" s="26" t="s">
        <v>438</v>
      </c>
      <c r="B109" s="27" t="s">
        <v>439</v>
      </c>
      <c r="C109" s="32" t="n">
        <v>315</v>
      </c>
      <c r="D109" s="27" t="s">
        <v>100</v>
      </c>
      <c r="E109" s="27" t="s">
        <v>137</v>
      </c>
      <c r="F109" s="29" t="s">
        <v>440</v>
      </c>
      <c r="G109" s="27" t="s">
        <v>169</v>
      </c>
      <c r="H109" s="30" t="n">
        <v>432</v>
      </c>
      <c r="I109" s="27" t="s">
        <v>254</v>
      </c>
      <c r="J109" s="29" t="s">
        <v>170</v>
      </c>
      <c r="K109" s="29" t="s">
        <v>106</v>
      </c>
      <c r="L109" s="31" t="s">
        <v>107</v>
      </c>
    </row>
    <row r="110" customFormat="false" ht="15" hidden="false" customHeight="false" outlineLevel="0" collapsed="false">
      <c r="A110" s="21" t="s">
        <v>441</v>
      </c>
      <c r="B110" s="5" t="s">
        <v>439</v>
      </c>
      <c r="C110" s="22" t="n">
        <v>328</v>
      </c>
      <c r="D110" s="5" t="s">
        <v>100</v>
      </c>
      <c r="E110" s="5" t="s">
        <v>144</v>
      </c>
      <c r="F110" s="23" t="s">
        <v>442</v>
      </c>
      <c r="G110" s="5" t="s">
        <v>146</v>
      </c>
      <c r="H110" s="24" t="n">
        <v>65</v>
      </c>
      <c r="I110" s="5" t="s">
        <v>254</v>
      </c>
      <c r="J110" s="23" t="s">
        <v>147</v>
      </c>
      <c r="K110" s="23" t="s">
        <v>106</v>
      </c>
      <c r="L110" s="25" t="s">
        <v>107</v>
      </c>
    </row>
    <row r="111" customFormat="false" ht="15" hidden="false" customHeight="false" outlineLevel="0" collapsed="false">
      <c r="A111" s="26" t="s">
        <v>443</v>
      </c>
      <c r="B111" s="27" t="s">
        <v>444</v>
      </c>
      <c r="C111" s="32" t="n">
        <v>55</v>
      </c>
      <c r="D111" s="27" t="s">
        <v>100</v>
      </c>
      <c r="E111" s="27" t="s">
        <v>137</v>
      </c>
      <c r="F111" s="29" t="s">
        <v>445</v>
      </c>
      <c r="G111" s="27" t="s">
        <v>169</v>
      </c>
      <c r="H111" s="30" t="n">
        <v>432</v>
      </c>
      <c r="I111" s="27" t="s">
        <v>254</v>
      </c>
      <c r="J111" s="29" t="s">
        <v>170</v>
      </c>
      <c r="K111" s="29" t="s">
        <v>106</v>
      </c>
      <c r="L111" s="31" t="s">
        <v>107</v>
      </c>
    </row>
    <row r="112" customFormat="false" ht="15" hidden="false" customHeight="false" outlineLevel="0" collapsed="false">
      <c r="A112" s="21" t="s">
        <v>446</v>
      </c>
      <c r="B112" s="5" t="s">
        <v>447</v>
      </c>
      <c r="C112" s="22" t="n">
        <v>72</v>
      </c>
      <c r="D112" s="5" t="s">
        <v>100</v>
      </c>
      <c r="E112" s="5" t="s">
        <v>117</v>
      </c>
      <c r="F112" s="23" t="s">
        <v>448</v>
      </c>
      <c r="G112" s="5" t="s">
        <v>169</v>
      </c>
      <c r="H112" s="24" t="n">
        <v>432</v>
      </c>
      <c r="I112" s="5" t="s">
        <v>254</v>
      </c>
      <c r="J112" s="23" t="s">
        <v>170</v>
      </c>
      <c r="K112" s="23" t="s">
        <v>106</v>
      </c>
      <c r="L112" s="25" t="s">
        <v>107</v>
      </c>
    </row>
    <row r="113" customFormat="false" ht="15" hidden="false" customHeight="false" outlineLevel="0" collapsed="false">
      <c r="A113" s="26" t="s">
        <v>449</v>
      </c>
      <c r="B113" s="27" t="s">
        <v>450</v>
      </c>
      <c r="C113" s="32" t="n">
        <v>45</v>
      </c>
      <c r="D113" s="27" t="s">
        <v>100</v>
      </c>
      <c r="E113" s="27" t="s">
        <v>137</v>
      </c>
      <c r="F113" s="29" t="s">
        <v>451</v>
      </c>
      <c r="G113" s="27" t="s">
        <v>103</v>
      </c>
      <c r="H113" s="30" t="n">
        <v>46</v>
      </c>
      <c r="I113" s="27" t="s">
        <v>254</v>
      </c>
      <c r="J113" s="29" t="s">
        <v>105</v>
      </c>
      <c r="K113" s="29" t="s">
        <v>106</v>
      </c>
      <c r="L113" s="31" t="s">
        <v>107</v>
      </c>
    </row>
    <row r="114" customFormat="false" ht="15" hidden="false" customHeight="false" outlineLevel="0" collapsed="false">
      <c r="A114" s="21" t="s">
        <v>452</v>
      </c>
      <c r="B114" s="5" t="s">
        <v>450</v>
      </c>
      <c r="C114" s="22" t="n">
        <v>75</v>
      </c>
      <c r="D114" s="5" t="s">
        <v>100</v>
      </c>
      <c r="E114" s="5" t="s">
        <v>144</v>
      </c>
      <c r="F114" s="23" t="s">
        <v>453</v>
      </c>
      <c r="G114" s="5" t="s">
        <v>103</v>
      </c>
      <c r="H114" s="24" t="n">
        <v>46</v>
      </c>
      <c r="I114" s="5" t="s">
        <v>254</v>
      </c>
      <c r="J114" s="23" t="s">
        <v>105</v>
      </c>
      <c r="K114" s="23" t="s">
        <v>106</v>
      </c>
      <c r="L114" s="25" t="s">
        <v>107</v>
      </c>
    </row>
    <row r="115" customFormat="false" ht="15" hidden="false" customHeight="false" outlineLevel="0" collapsed="false">
      <c r="A115" s="26" t="s">
        <v>454</v>
      </c>
      <c r="B115" s="27" t="s">
        <v>455</v>
      </c>
      <c r="C115" s="32" t="n">
        <v>82</v>
      </c>
      <c r="D115" s="27" t="s">
        <v>456</v>
      </c>
      <c r="E115" s="27" t="s">
        <v>267</v>
      </c>
      <c r="F115" s="29" t="s">
        <v>457</v>
      </c>
      <c r="G115" s="27" t="s">
        <v>269</v>
      </c>
      <c r="H115" s="30" t="n">
        <v>4</v>
      </c>
      <c r="I115" s="27" t="s">
        <v>254</v>
      </c>
      <c r="J115" s="29" t="s">
        <v>271</v>
      </c>
      <c r="K115" s="29" t="s">
        <v>106</v>
      </c>
      <c r="L115" s="31" t="s">
        <v>107</v>
      </c>
    </row>
    <row r="116" customFormat="false" ht="15" hidden="false" customHeight="false" outlineLevel="0" collapsed="false">
      <c r="A116" s="21" t="s">
        <v>458</v>
      </c>
      <c r="B116" s="5" t="s">
        <v>459</v>
      </c>
      <c r="C116" s="22" t="n">
        <v>700</v>
      </c>
      <c r="D116" s="5" t="s">
        <v>460</v>
      </c>
      <c r="E116" s="5" t="s">
        <v>267</v>
      </c>
      <c r="F116" s="23" t="s">
        <v>461</v>
      </c>
      <c r="G116" s="5" t="s">
        <v>269</v>
      </c>
      <c r="H116" s="24" t="n">
        <v>4</v>
      </c>
      <c r="I116" s="5" t="s">
        <v>254</v>
      </c>
      <c r="J116" s="23" t="s">
        <v>271</v>
      </c>
      <c r="K116" s="23" t="s">
        <v>106</v>
      </c>
      <c r="L116" s="25" t="s">
        <v>107</v>
      </c>
    </row>
    <row r="117" customFormat="false" ht="15" hidden="false" customHeight="false" outlineLevel="0" collapsed="false">
      <c r="A117" s="26" t="s">
        <v>462</v>
      </c>
      <c r="B117" s="27" t="s">
        <v>463</v>
      </c>
      <c r="C117" s="32" t="n">
        <v>4</v>
      </c>
      <c r="D117" s="27" t="s">
        <v>127</v>
      </c>
      <c r="E117" s="27" t="s">
        <v>111</v>
      </c>
      <c r="F117" s="29" t="s">
        <v>464</v>
      </c>
      <c r="G117" s="27" t="s">
        <v>113</v>
      </c>
      <c r="H117" s="30" t="n">
        <v>44</v>
      </c>
      <c r="I117" s="27" t="s">
        <v>114</v>
      </c>
      <c r="J117" s="29" t="s">
        <v>115</v>
      </c>
      <c r="K117" s="29" t="s">
        <v>106</v>
      </c>
      <c r="L117" s="31" t="s">
        <v>107</v>
      </c>
    </row>
    <row r="118" customFormat="false" ht="15" hidden="false" customHeight="false" outlineLevel="0" collapsed="false">
      <c r="A118" s="21" t="s">
        <v>465</v>
      </c>
      <c r="B118" s="5" t="s">
        <v>466</v>
      </c>
      <c r="C118" s="22" t="n">
        <v>2</v>
      </c>
      <c r="D118" s="5" t="s">
        <v>127</v>
      </c>
      <c r="E118" s="5" t="s">
        <v>111</v>
      </c>
      <c r="F118" s="23" t="s">
        <v>197</v>
      </c>
      <c r="G118" s="5" t="s">
        <v>113</v>
      </c>
      <c r="H118" s="24" t="n">
        <v>44</v>
      </c>
      <c r="I118" s="5" t="s">
        <v>114</v>
      </c>
      <c r="J118" s="23" t="s">
        <v>115</v>
      </c>
      <c r="K118" s="23" t="s">
        <v>106</v>
      </c>
      <c r="L118" s="25" t="s">
        <v>107</v>
      </c>
    </row>
    <row r="119" customFormat="false" ht="15" hidden="false" customHeight="false" outlineLevel="0" collapsed="false">
      <c r="A119" s="26" t="s">
        <v>467</v>
      </c>
      <c r="B119" s="27" t="s">
        <v>468</v>
      </c>
      <c r="C119" s="32" t="n">
        <v>4</v>
      </c>
      <c r="D119" s="27" t="s">
        <v>127</v>
      </c>
      <c r="E119" s="27" t="s">
        <v>469</v>
      </c>
      <c r="F119" s="29" t="s">
        <v>464</v>
      </c>
      <c r="G119" s="27" t="s">
        <v>269</v>
      </c>
      <c r="H119" s="30" t="n">
        <v>17</v>
      </c>
      <c r="I119" s="27" t="s">
        <v>114</v>
      </c>
      <c r="J119" s="29" t="s">
        <v>271</v>
      </c>
      <c r="K119" s="29" t="s">
        <v>106</v>
      </c>
      <c r="L119" s="31" t="s">
        <v>107</v>
      </c>
    </row>
    <row r="120" customFormat="false" ht="15" hidden="false" customHeight="false" outlineLevel="0" collapsed="false">
      <c r="A120" s="21" t="s">
        <v>470</v>
      </c>
      <c r="B120" s="5" t="s">
        <v>471</v>
      </c>
      <c r="C120" s="22" t="n">
        <v>2</v>
      </c>
      <c r="D120" s="5" t="s">
        <v>127</v>
      </c>
      <c r="E120" s="5" t="s">
        <v>196</v>
      </c>
      <c r="F120" s="23" t="s">
        <v>197</v>
      </c>
      <c r="G120" s="5" t="s">
        <v>269</v>
      </c>
      <c r="H120" s="24" t="n">
        <v>17</v>
      </c>
      <c r="I120" s="5" t="s">
        <v>114</v>
      </c>
      <c r="J120" s="23" t="s">
        <v>271</v>
      </c>
      <c r="K120" s="23" t="s">
        <v>106</v>
      </c>
      <c r="L120" s="25" t="s">
        <v>107</v>
      </c>
    </row>
    <row r="121" customFormat="false" ht="15" hidden="false" customHeight="false" outlineLevel="0" collapsed="false">
      <c r="A121" s="26" t="s">
        <v>472</v>
      </c>
      <c r="B121" s="27" t="s">
        <v>473</v>
      </c>
      <c r="C121" s="28" t="n">
        <v>8.5</v>
      </c>
      <c r="D121" s="27" t="s">
        <v>127</v>
      </c>
      <c r="E121" s="27" t="s">
        <v>474</v>
      </c>
      <c r="F121" s="29" t="s">
        <v>475</v>
      </c>
      <c r="G121" s="27" t="s">
        <v>269</v>
      </c>
      <c r="H121" s="30" t="n">
        <v>17</v>
      </c>
      <c r="I121" s="27" t="s">
        <v>114</v>
      </c>
      <c r="J121" s="29" t="s">
        <v>271</v>
      </c>
      <c r="K121" s="29" t="s">
        <v>106</v>
      </c>
      <c r="L121" s="31" t="s">
        <v>107</v>
      </c>
    </row>
    <row r="122" customFormat="false" ht="15" hidden="false" customHeight="false" outlineLevel="0" collapsed="false">
      <c r="A122" s="21" t="s">
        <v>476</v>
      </c>
      <c r="B122" s="5" t="s">
        <v>477</v>
      </c>
      <c r="C122" s="22" t="n">
        <v>90</v>
      </c>
      <c r="D122" s="5" t="s">
        <v>296</v>
      </c>
      <c r="E122" s="5" t="s">
        <v>469</v>
      </c>
      <c r="F122" s="23" t="s">
        <v>286</v>
      </c>
      <c r="G122" s="5" t="s">
        <v>269</v>
      </c>
      <c r="H122" s="24" t="n">
        <v>17</v>
      </c>
      <c r="I122" s="5" t="s">
        <v>114</v>
      </c>
      <c r="J122" s="23" t="s">
        <v>271</v>
      </c>
      <c r="K122" s="23" t="s">
        <v>106</v>
      </c>
      <c r="L122" s="25" t="s">
        <v>107</v>
      </c>
    </row>
    <row r="123" customFormat="false" ht="15" hidden="false" customHeight="false" outlineLevel="0" collapsed="false">
      <c r="A123" s="26" t="s">
        <v>478</v>
      </c>
      <c r="B123" s="27" t="s">
        <v>479</v>
      </c>
      <c r="C123" s="32" t="n">
        <v>80</v>
      </c>
      <c r="D123" s="27" t="s">
        <v>296</v>
      </c>
      <c r="E123" s="27" t="s">
        <v>469</v>
      </c>
      <c r="F123" s="29" t="s">
        <v>480</v>
      </c>
      <c r="G123" s="27" t="s">
        <v>269</v>
      </c>
      <c r="H123" s="30" t="n">
        <v>17</v>
      </c>
      <c r="I123" s="27" t="s">
        <v>114</v>
      </c>
      <c r="J123" s="29" t="s">
        <v>271</v>
      </c>
      <c r="K123" s="29" t="s">
        <v>106</v>
      </c>
      <c r="L123" s="31" t="s">
        <v>107</v>
      </c>
    </row>
    <row r="124" customFormat="false" ht="15" hidden="false" customHeight="false" outlineLevel="0" collapsed="false">
      <c r="A124" s="21" t="s">
        <v>481</v>
      </c>
      <c r="B124" s="5" t="s">
        <v>482</v>
      </c>
      <c r="C124" s="33" t="n">
        <v>-0.4</v>
      </c>
      <c r="D124" s="5" t="s">
        <v>127</v>
      </c>
      <c r="E124" s="5" t="s">
        <v>157</v>
      </c>
      <c r="F124" s="23" t="s">
        <v>483</v>
      </c>
      <c r="G124" s="5" t="s">
        <v>269</v>
      </c>
      <c r="H124" s="24" t="n">
        <v>17</v>
      </c>
      <c r="I124" s="5" t="s">
        <v>114</v>
      </c>
      <c r="J124" s="23" t="s">
        <v>271</v>
      </c>
      <c r="K124" s="23" t="s">
        <v>106</v>
      </c>
      <c r="L124" s="25" t="s">
        <v>107</v>
      </c>
    </row>
    <row r="125" customFormat="false" ht="15" hidden="false" customHeight="false" outlineLevel="0" collapsed="false">
      <c r="A125" s="26" t="s">
        <v>484</v>
      </c>
      <c r="B125" s="27" t="s">
        <v>485</v>
      </c>
      <c r="C125" s="28" t="n">
        <v>2.3</v>
      </c>
      <c r="D125" s="27" t="s">
        <v>127</v>
      </c>
      <c r="E125" s="27" t="s">
        <v>486</v>
      </c>
      <c r="F125" s="29" t="s">
        <v>487</v>
      </c>
      <c r="G125" s="27" t="s">
        <v>269</v>
      </c>
      <c r="H125" s="30" t="n">
        <v>17</v>
      </c>
      <c r="I125" s="27" t="s">
        <v>114</v>
      </c>
      <c r="J125" s="29" t="s">
        <v>271</v>
      </c>
      <c r="K125" s="29" t="s">
        <v>106</v>
      </c>
      <c r="L125" s="31" t="s">
        <v>107</v>
      </c>
    </row>
    <row r="126" customFormat="false" ht="15" hidden="false" customHeight="false" outlineLevel="0" collapsed="false">
      <c r="A126" s="21" t="s">
        <v>488</v>
      </c>
      <c r="B126" s="5" t="s">
        <v>489</v>
      </c>
      <c r="C126" s="22" t="n">
        <v>397</v>
      </c>
      <c r="D126" s="5" t="s">
        <v>100</v>
      </c>
      <c r="E126" s="5" t="s">
        <v>157</v>
      </c>
      <c r="F126" s="23" t="s">
        <v>490</v>
      </c>
      <c r="G126" s="5" t="s">
        <v>491</v>
      </c>
      <c r="H126" s="24" t="n">
        <v>9</v>
      </c>
      <c r="I126" s="5" t="s">
        <v>114</v>
      </c>
      <c r="J126" s="23" t="s">
        <v>492</v>
      </c>
      <c r="K126" s="23" t="s">
        <v>106</v>
      </c>
      <c r="L126" s="25" t="s">
        <v>107</v>
      </c>
    </row>
    <row r="127" customFormat="false" ht="15" hidden="false" customHeight="false" outlineLevel="0" collapsed="false">
      <c r="A127" s="26" t="s">
        <v>493</v>
      </c>
      <c r="B127" s="27" t="s">
        <v>494</v>
      </c>
      <c r="C127" s="32" t="n">
        <v>-895</v>
      </c>
      <c r="D127" s="27" t="s">
        <v>100</v>
      </c>
      <c r="E127" s="27" t="s">
        <v>157</v>
      </c>
      <c r="F127" s="29" t="s">
        <v>495</v>
      </c>
      <c r="G127" s="27" t="s">
        <v>491</v>
      </c>
      <c r="H127" s="30" t="n">
        <v>9</v>
      </c>
      <c r="I127" s="27" t="s">
        <v>124</v>
      </c>
      <c r="J127" s="29" t="s">
        <v>492</v>
      </c>
      <c r="K127" s="29" t="s">
        <v>106</v>
      </c>
      <c r="L127" s="31" t="s">
        <v>107</v>
      </c>
    </row>
    <row r="128" customFormat="false" ht="15" hidden="false" customHeight="false" outlineLevel="0" collapsed="false">
      <c r="A128" s="21" t="s">
        <v>496</v>
      </c>
      <c r="B128" s="5" t="s">
        <v>497</v>
      </c>
      <c r="C128" s="22" t="n">
        <v>-203</v>
      </c>
      <c r="D128" s="5" t="s">
        <v>100</v>
      </c>
      <c r="E128" s="5" t="s">
        <v>157</v>
      </c>
      <c r="F128" s="23" t="s">
        <v>498</v>
      </c>
      <c r="G128" s="5" t="s">
        <v>491</v>
      </c>
      <c r="H128" s="24" t="n">
        <v>9</v>
      </c>
      <c r="I128" s="5" t="s">
        <v>104</v>
      </c>
      <c r="J128" s="23" t="s">
        <v>492</v>
      </c>
      <c r="K128" s="23" t="s">
        <v>106</v>
      </c>
      <c r="L128" s="25" t="s">
        <v>107</v>
      </c>
    </row>
    <row r="129" customFormat="false" ht="15" hidden="false" customHeight="false" outlineLevel="0" collapsed="false">
      <c r="A129" s="26" t="s">
        <v>499</v>
      </c>
      <c r="B129" s="27" t="s">
        <v>500</v>
      </c>
      <c r="C129" s="32" t="n">
        <v>336</v>
      </c>
      <c r="D129" s="27" t="s">
        <v>100</v>
      </c>
      <c r="E129" s="27" t="s">
        <v>157</v>
      </c>
      <c r="F129" s="29" t="s">
        <v>501</v>
      </c>
      <c r="G129" s="27" t="s">
        <v>491</v>
      </c>
      <c r="H129" s="30" t="n">
        <v>9</v>
      </c>
      <c r="I129" s="27" t="s">
        <v>124</v>
      </c>
      <c r="J129" s="29" t="s">
        <v>492</v>
      </c>
      <c r="K129" s="29" t="s">
        <v>106</v>
      </c>
      <c r="L129" s="31" t="s">
        <v>107</v>
      </c>
    </row>
    <row r="130" customFormat="false" ht="15" hidden="false" customHeight="false" outlineLevel="0" collapsed="false">
      <c r="A130" s="21" t="s">
        <v>502</v>
      </c>
      <c r="B130" s="5" t="s">
        <v>503</v>
      </c>
      <c r="C130" s="22" t="n">
        <v>-157</v>
      </c>
      <c r="D130" s="5" t="s">
        <v>100</v>
      </c>
      <c r="E130" s="5" t="s">
        <v>157</v>
      </c>
      <c r="F130" s="23" t="s">
        <v>504</v>
      </c>
      <c r="G130" s="5" t="s">
        <v>491</v>
      </c>
      <c r="H130" s="24" t="n">
        <v>9</v>
      </c>
      <c r="I130" s="5" t="s">
        <v>104</v>
      </c>
      <c r="J130" s="23" t="s">
        <v>492</v>
      </c>
      <c r="K130" s="23" t="s">
        <v>106</v>
      </c>
      <c r="L130" s="25" t="s">
        <v>107</v>
      </c>
    </row>
    <row r="131" customFormat="false" ht="15" hidden="false" customHeight="false" outlineLevel="0" collapsed="false">
      <c r="A131" s="26" t="s">
        <v>505</v>
      </c>
      <c r="B131" s="27" t="s">
        <v>122</v>
      </c>
      <c r="C131" s="32" t="n">
        <v>3836</v>
      </c>
      <c r="D131" s="27" t="s">
        <v>100</v>
      </c>
      <c r="E131" s="27" t="s">
        <v>157</v>
      </c>
      <c r="F131" s="29" t="s">
        <v>506</v>
      </c>
      <c r="G131" s="27" t="s">
        <v>491</v>
      </c>
      <c r="H131" s="30" t="n">
        <v>9</v>
      </c>
      <c r="I131" s="27" t="s">
        <v>124</v>
      </c>
      <c r="J131" s="29" t="s">
        <v>492</v>
      </c>
      <c r="K131" s="29" t="s">
        <v>106</v>
      </c>
      <c r="L131" s="31" t="s">
        <v>107</v>
      </c>
    </row>
    <row r="132" customFormat="false" ht="15" hidden="false" customHeight="false" outlineLevel="0" collapsed="false">
      <c r="A132" s="21" t="s">
        <v>507</v>
      </c>
      <c r="B132" s="5" t="s">
        <v>508</v>
      </c>
      <c r="C132" s="33" t="n">
        <v>6.5</v>
      </c>
      <c r="D132" s="5" t="s">
        <v>509</v>
      </c>
      <c r="E132" s="5" t="s">
        <v>137</v>
      </c>
      <c r="F132" s="23" t="s">
        <v>510</v>
      </c>
      <c r="G132" s="5" t="s">
        <v>169</v>
      </c>
      <c r="H132" s="24" t="n">
        <v>351</v>
      </c>
      <c r="I132" s="5" t="s">
        <v>104</v>
      </c>
      <c r="J132" s="23" t="s">
        <v>170</v>
      </c>
      <c r="K132" s="23" t="s">
        <v>106</v>
      </c>
      <c r="L132" s="25" t="s">
        <v>107</v>
      </c>
    </row>
    <row r="133" customFormat="false" ht="15" hidden="false" customHeight="false" outlineLevel="0" collapsed="false">
      <c r="A133" s="26" t="s">
        <v>511</v>
      </c>
      <c r="B133" s="27" t="s">
        <v>508</v>
      </c>
      <c r="C133" s="28" t="n">
        <v>7.1</v>
      </c>
      <c r="D133" s="27" t="s">
        <v>509</v>
      </c>
      <c r="E133" s="27" t="s">
        <v>190</v>
      </c>
      <c r="F133" s="29" t="s">
        <v>512</v>
      </c>
      <c r="G133" s="27" t="s">
        <v>169</v>
      </c>
      <c r="H133" s="30" t="n">
        <v>351</v>
      </c>
      <c r="I133" s="27" t="s">
        <v>104</v>
      </c>
      <c r="J133" s="29" t="s">
        <v>170</v>
      </c>
      <c r="K133" s="29" t="s">
        <v>106</v>
      </c>
      <c r="L133" s="31" t="s">
        <v>107</v>
      </c>
    </row>
    <row r="134" customFormat="false" ht="15" hidden="false" customHeight="false" outlineLevel="0" collapsed="false">
      <c r="A134" s="21" t="s">
        <v>513</v>
      </c>
      <c r="B134" s="5" t="s">
        <v>514</v>
      </c>
      <c r="C134" s="22" t="n">
        <v>85</v>
      </c>
      <c r="D134" s="5" t="s">
        <v>296</v>
      </c>
      <c r="E134" s="5" t="s">
        <v>137</v>
      </c>
      <c r="F134" s="23" t="s">
        <v>515</v>
      </c>
      <c r="G134" s="5" t="s">
        <v>169</v>
      </c>
      <c r="H134" s="24" t="n">
        <v>351</v>
      </c>
      <c r="I134" s="5" t="s">
        <v>104</v>
      </c>
      <c r="J134" s="23" t="s">
        <v>170</v>
      </c>
      <c r="K134" s="23" t="s">
        <v>106</v>
      </c>
      <c r="L134" s="25" t="s">
        <v>107</v>
      </c>
    </row>
    <row r="135" customFormat="false" ht="15" hidden="false" customHeight="false" outlineLevel="0" collapsed="false">
      <c r="A135" s="26" t="s">
        <v>516</v>
      </c>
      <c r="B135" s="27" t="s">
        <v>517</v>
      </c>
      <c r="C135" s="28" t="n">
        <v>20.3</v>
      </c>
      <c r="D135" s="27" t="s">
        <v>296</v>
      </c>
      <c r="E135" s="27" t="s">
        <v>117</v>
      </c>
      <c r="F135" s="29" t="s">
        <v>518</v>
      </c>
      <c r="G135" s="27" t="s">
        <v>519</v>
      </c>
      <c r="H135" s="30" t="n">
        <v>7</v>
      </c>
      <c r="I135" s="27" t="s">
        <v>104</v>
      </c>
      <c r="J135" s="29" t="s">
        <v>520</v>
      </c>
      <c r="K135" s="29" t="s">
        <v>521</v>
      </c>
      <c r="L135" s="31" t="s">
        <v>107</v>
      </c>
    </row>
    <row r="136" customFormat="false" ht="15" hidden="false" customHeight="false" outlineLevel="0" collapsed="false">
      <c r="A136" s="21" t="s">
        <v>522</v>
      </c>
      <c r="B136" s="5" t="s">
        <v>523</v>
      </c>
      <c r="C136" s="22" t="n">
        <v>18</v>
      </c>
      <c r="D136" s="5" t="s">
        <v>296</v>
      </c>
      <c r="E136" s="5" t="s">
        <v>524</v>
      </c>
      <c r="F136" s="23" t="s">
        <v>525</v>
      </c>
      <c r="G136" s="5" t="s">
        <v>519</v>
      </c>
      <c r="H136" s="24" t="n">
        <v>7</v>
      </c>
      <c r="I136" s="5" t="s">
        <v>104</v>
      </c>
      <c r="J136" s="23" t="s">
        <v>520</v>
      </c>
      <c r="K136" s="23" t="s">
        <v>521</v>
      </c>
      <c r="L136" s="25" t="s">
        <v>107</v>
      </c>
    </row>
    <row r="137" customFormat="false" ht="15" hidden="false" customHeight="false" outlineLevel="0" collapsed="false">
      <c r="A137" s="26" t="s">
        <v>526</v>
      </c>
      <c r="B137" s="27" t="s">
        <v>527</v>
      </c>
      <c r="C137" s="32" t="n">
        <v>19</v>
      </c>
      <c r="D137" s="27" t="s">
        <v>296</v>
      </c>
      <c r="E137" s="27" t="s">
        <v>524</v>
      </c>
      <c r="F137" s="29" t="s">
        <v>528</v>
      </c>
      <c r="G137" s="27" t="s">
        <v>519</v>
      </c>
      <c r="H137" s="30" t="n">
        <v>7</v>
      </c>
      <c r="I137" s="27" t="s">
        <v>104</v>
      </c>
      <c r="J137" s="29" t="s">
        <v>520</v>
      </c>
      <c r="K137" s="29" t="s">
        <v>521</v>
      </c>
      <c r="L137" s="31" t="s">
        <v>107</v>
      </c>
    </row>
    <row r="138" customFormat="false" ht="15" hidden="false" customHeight="false" outlineLevel="0" collapsed="false">
      <c r="A138" s="21" t="s">
        <v>529</v>
      </c>
      <c r="B138" s="5" t="s">
        <v>530</v>
      </c>
      <c r="C138" s="33" t="n">
        <v>25.4</v>
      </c>
      <c r="D138" s="5" t="s">
        <v>127</v>
      </c>
      <c r="E138" s="5" t="s">
        <v>117</v>
      </c>
      <c r="F138" s="23" t="s">
        <v>531</v>
      </c>
      <c r="G138" s="5" t="s">
        <v>519</v>
      </c>
      <c r="H138" s="24" t="n">
        <v>7</v>
      </c>
      <c r="I138" s="5" t="s">
        <v>104</v>
      </c>
      <c r="J138" s="23" t="s">
        <v>520</v>
      </c>
      <c r="K138" s="23" t="s">
        <v>521</v>
      </c>
      <c r="L138" s="25" t="s">
        <v>107</v>
      </c>
    </row>
    <row r="139" customFormat="false" ht="15" hidden="false" customHeight="false" outlineLevel="0" collapsed="false">
      <c r="A139" s="26" t="s">
        <v>532</v>
      </c>
      <c r="B139" s="27" t="s">
        <v>533</v>
      </c>
      <c r="C139" s="32" t="n">
        <v>29</v>
      </c>
      <c r="D139" s="27" t="s">
        <v>127</v>
      </c>
      <c r="E139" s="27" t="s">
        <v>524</v>
      </c>
      <c r="F139" s="29" t="s">
        <v>534</v>
      </c>
      <c r="G139" s="27" t="s">
        <v>519</v>
      </c>
      <c r="H139" s="30" t="n">
        <v>7</v>
      </c>
      <c r="I139" s="27" t="s">
        <v>104</v>
      </c>
      <c r="J139" s="29" t="s">
        <v>520</v>
      </c>
      <c r="K139" s="29" t="s">
        <v>521</v>
      </c>
      <c r="L139" s="31" t="s">
        <v>107</v>
      </c>
    </row>
    <row r="140" customFormat="false" ht="15" hidden="false" customHeight="false" outlineLevel="0" collapsed="false">
      <c r="A140" s="21" t="s">
        <v>535</v>
      </c>
      <c r="B140" s="5" t="s">
        <v>536</v>
      </c>
      <c r="C140" s="34" t="s">
        <v>537</v>
      </c>
      <c r="D140" s="5" t="s">
        <v>296</v>
      </c>
      <c r="E140" s="5" t="s">
        <v>538</v>
      </c>
      <c r="F140" s="23" t="s">
        <v>537</v>
      </c>
      <c r="G140" s="5" t="s">
        <v>519</v>
      </c>
      <c r="H140" s="24" t="n">
        <v>2</v>
      </c>
      <c r="I140" s="5" t="s">
        <v>104</v>
      </c>
      <c r="J140" s="23" t="s">
        <v>520</v>
      </c>
      <c r="K140" s="23" t="s">
        <v>521</v>
      </c>
      <c r="L140" s="25" t="s">
        <v>107</v>
      </c>
    </row>
    <row r="141" customFormat="false" ht="15" hidden="false" customHeight="false" outlineLevel="0" collapsed="false">
      <c r="A141" s="26" t="s">
        <v>539</v>
      </c>
      <c r="B141" s="27" t="s">
        <v>540</v>
      </c>
      <c r="C141" s="35" t="s">
        <v>541</v>
      </c>
      <c r="D141" s="27" t="s">
        <v>296</v>
      </c>
      <c r="E141" s="27" t="s">
        <v>538</v>
      </c>
      <c r="F141" s="29" t="s">
        <v>541</v>
      </c>
      <c r="G141" s="27" t="s">
        <v>519</v>
      </c>
      <c r="H141" s="30" t="n">
        <v>2</v>
      </c>
      <c r="I141" s="27" t="s">
        <v>104</v>
      </c>
      <c r="J141" s="29" t="s">
        <v>520</v>
      </c>
      <c r="K141" s="29" t="s">
        <v>521</v>
      </c>
      <c r="L141" s="31" t="s">
        <v>107</v>
      </c>
    </row>
    <row r="142" customFormat="false" ht="15" hidden="false" customHeight="false" outlineLevel="0" collapsed="false">
      <c r="A142" s="21" t="s">
        <v>542</v>
      </c>
      <c r="B142" s="5" t="s">
        <v>517</v>
      </c>
      <c r="C142" s="33" t="n">
        <v>19.6</v>
      </c>
      <c r="D142" s="5" t="s">
        <v>296</v>
      </c>
      <c r="E142" s="5" t="s">
        <v>543</v>
      </c>
      <c r="F142" s="23" t="s">
        <v>544</v>
      </c>
      <c r="G142" s="5" t="s">
        <v>519</v>
      </c>
      <c r="H142" s="24" t="n">
        <v>11</v>
      </c>
      <c r="I142" s="5" t="s">
        <v>104</v>
      </c>
      <c r="J142" s="23" t="s">
        <v>520</v>
      </c>
      <c r="K142" s="23" t="s">
        <v>521</v>
      </c>
      <c r="L142" s="25" t="s">
        <v>107</v>
      </c>
    </row>
    <row r="143" customFormat="false" ht="15" hidden="false" customHeight="false" outlineLevel="0" collapsed="false">
      <c r="A143" s="26" t="s">
        <v>545</v>
      </c>
      <c r="B143" s="27" t="s">
        <v>517</v>
      </c>
      <c r="C143" s="28" t="n">
        <v>21.3</v>
      </c>
      <c r="D143" s="27" t="s">
        <v>296</v>
      </c>
      <c r="E143" s="27" t="s">
        <v>157</v>
      </c>
      <c r="F143" s="29" t="s">
        <v>546</v>
      </c>
      <c r="G143" s="27" t="s">
        <v>519</v>
      </c>
      <c r="H143" s="30" t="n">
        <v>11</v>
      </c>
      <c r="I143" s="27" t="s">
        <v>104</v>
      </c>
      <c r="J143" s="29" t="s">
        <v>520</v>
      </c>
      <c r="K143" s="29" t="s">
        <v>521</v>
      </c>
      <c r="L143" s="31" t="s">
        <v>107</v>
      </c>
    </row>
    <row r="144" customFormat="false" ht="15" hidden="false" customHeight="false" outlineLevel="0" collapsed="false">
      <c r="A144" s="21" t="s">
        <v>547</v>
      </c>
      <c r="B144" s="5" t="s">
        <v>548</v>
      </c>
      <c r="C144" s="22" t="n">
        <v>15</v>
      </c>
      <c r="D144" s="5" t="s">
        <v>296</v>
      </c>
      <c r="E144" s="5" t="s">
        <v>117</v>
      </c>
      <c r="F144" s="23" t="s">
        <v>549</v>
      </c>
      <c r="G144" s="5" t="s">
        <v>519</v>
      </c>
      <c r="H144" s="24" t="n">
        <v>10</v>
      </c>
      <c r="I144" s="5" t="s">
        <v>104</v>
      </c>
      <c r="J144" s="23" t="s">
        <v>520</v>
      </c>
      <c r="K144" s="23" t="s">
        <v>521</v>
      </c>
      <c r="L144" s="25" t="s">
        <v>107</v>
      </c>
    </row>
    <row r="145" customFormat="false" ht="15" hidden="false" customHeight="false" outlineLevel="0" collapsed="false">
      <c r="A145" s="26" t="s">
        <v>550</v>
      </c>
      <c r="B145" s="27" t="s">
        <v>551</v>
      </c>
      <c r="C145" s="28" t="n">
        <v>5.1</v>
      </c>
      <c r="D145" s="27" t="s">
        <v>130</v>
      </c>
      <c r="E145" s="27" t="s">
        <v>117</v>
      </c>
      <c r="F145" s="29" t="s">
        <v>552</v>
      </c>
      <c r="G145" s="27" t="s">
        <v>519</v>
      </c>
      <c r="H145" s="30" t="n">
        <v>10</v>
      </c>
      <c r="I145" s="27" t="s">
        <v>104</v>
      </c>
      <c r="J145" s="29" t="s">
        <v>520</v>
      </c>
      <c r="K145" s="29" t="s">
        <v>521</v>
      </c>
      <c r="L145" s="31" t="s">
        <v>107</v>
      </c>
    </row>
    <row r="146" customFormat="false" ht="15" hidden="false" customHeight="false" outlineLevel="0" collapsed="false">
      <c r="A146" s="21" t="s">
        <v>553</v>
      </c>
      <c r="B146" s="5" t="s">
        <v>554</v>
      </c>
      <c r="C146" s="33" t="n">
        <v>2.8</v>
      </c>
      <c r="D146" s="5" t="s">
        <v>130</v>
      </c>
      <c r="E146" s="5" t="s">
        <v>117</v>
      </c>
      <c r="F146" s="23" t="s">
        <v>555</v>
      </c>
      <c r="G146" s="5" t="s">
        <v>519</v>
      </c>
      <c r="H146" s="24" t="n">
        <v>6</v>
      </c>
      <c r="I146" s="5" t="s">
        <v>104</v>
      </c>
      <c r="J146" s="23" t="s">
        <v>520</v>
      </c>
      <c r="K146" s="23" t="s">
        <v>521</v>
      </c>
      <c r="L146" s="25" t="s">
        <v>107</v>
      </c>
    </row>
    <row r="147" customFormat="false" ht="15" hidden="false" customHeight="false" outlineLevel="0" collapsed="false">
      <c r="A147" s="26" t="s">
        <v>556</v>
      </c>
      <c r="B147" s="27" t="s">
        <v>557</v>
      </c>
      <c r="C147" s="32" t="n">
        <v>2</v>
      </c>
      <c r="D147" s="27" t="s">
        <v>127</v>
      </c>
      <c r="E147" s="27" t="s">
        <v>196</v>
      </c>
      <c r="F147" s="29" t="s">
        <v>197</v>
      </c>
      <c r="G147" s="27" t="s">
        <v>519</v>
      </c>
      <c r="H147" s="30" t="n">
        <v>6</v>
      </c>
      <c r="I147" s="27" t="s">
        <v>124</v>
      </c>
      <c r="J147" s="29" t="s">
        <v>520</v>
      </c>
      <c r="K147" s="29" t="s">
        <v>521</v>
      </c>
      <c r="L147" s="31" t="s">
        <v>107</v>
      </c>
    </row>
    <row r="148" customFormat="false" ht="15" hidden="false" customHeight="false" outlineLevel="0" collapsed="false">
      <c r="A148" s="21" t="s">
        <v>558</v>
      </c>
      <c r="B148" s="5" t="s">
        <v>559</v>
      </c>
      <c r="C148" s="33" t="n">
        <v>4.2</v>
      </c>
      <c r="D148" s="5" t="s">
        <v>127</v>
      </c>
      <c r="E148" s="5" t="s">
        <v>117</v>
      </c>
      <c r="F148" s="23" t="s">
        <v>560</v>
      </c>
      <c r="G148" s="5" t="s">
        <v>519</v>
      </c>
      <c r="H148" s="24" t="n">
        <v>5</v>
      </c>
      <c r="I148" s="5" t="s">
        <v>224</v>
      </c>
      <c r="J148" s="23" t="s">
        <v>520</v>
      </c>
      <c r="K148" s="23" t="s">
        <v>521</v>
      </c>
      <c r="L148" s="25" t="s">
        <v>107</v>
      </c>
    </row>
    <row r="149" customFormat="false" ht="15" hidden="false" customHeight="false" outlineLevel="0" collapsed="false">
      <c r="A149" s="26" t="s">
        <v>561</v>
      </c>
      <c r="B149" s="27" t="s">
        <v>562</v>
      </c>
      <c r="C149" s="28" t="n">
        <v>9.5</v>
      </c>
      <c r="D149" s="27" t="s">
        <v>296</v>
      </c>
      <c r="E149" s="27" t="s">
        <v>117</v>
      </c>
      <c r="F149" s="29" t="s">
        <v>563</v>
      </c>
      <c r="G149" s="27" t="s">
        <v>519</v>
      </c>
      <c r="H149" s="30" t="n">
        <v>5</v>
      </c>
      <c r="I149" s="27" t="s">
        <v>224</v>
      </c>
      <c r="J149" s="29" t="s">
        <v>520</v>
      </c>
      <c r="K149" s="29" t="s">
        <v>521</v>
      </c>
      <c r="L149" s="31" t="s">
        <v>107</v>
      </c>
    </row>
    <row r="150" customFormat="false" ht="15" hidden="false" customHeight="false" outlineLevel="0" collapsed="false">
      <c r="A150" s="21" t="s">
        <v>564</v>
      </c>
      <c r="B150" s="5" t="s">
        <v>565</v>
      </c>
      <c r="C150" s="33" t="n">
        <v>5.1</v>
      </c>
      <c r="D150" s="5" t="s">
        <v>127</v>
      </c>
      <c r="E150" s="5" t="s">
        <v>167</v>
      </c>
      <c r="F150" s="23" t="s">
        <v>552</v>
      </c>
      <c r="G150" s="5" t="s">
        <v>519</v>
      </c>
      <c r="H150" s="24" t="n">
        <v>5</v>
      </c>
      <c r="I150" s="5" t="s">
        <v>224</v>
      </c>
      <c r="J150" s="23" t="s">
        <v>520</v>
      </c>
      <c r="K150" s="23" t="s">
        <v>521</v>
      </c>
      <c r="L150" s="25" t="s">
        <v>107</v>
      </c>
    </row>
    <row r="151" customFormat="false" ht="15" hidden="false" customHeight="false" outlineLevel="0" collapsed="false">
      <c r="A151" s="26" t="s">
        <v>566</v>
      </c>
      <c r="B151" s="27" t="s">
        <v>567</v>
      </c>
      <c r="C151" s="32" t="n">
        <v>18</v>
      </c>
      <c r="D151" s="27" t="s">
        <v>296</v>
      </c>
      <c r="E151" s="27" t="s">
        <v>196</v>
      </c>
      <c r="F151" s="29" t="s">
        <v>525</v>
      </c>
      <c r="G151" s="27" t="s">
        <v>568</v>
      </c>
      <c r="H151" s="30" t="n">
        <v>3</v>
      </c>
      <c r="I151" s="27" t="s">
        <v>104</v>
      </c>
      <c r="J151" s="29" t="s">
        <v>569</v>
      </c>
      <c r="K151" s="29" t="s">
        <v>521</v>
      </c>
      <c r="L151" s="31" t="s">
        <v>107</v>
      </c>
    </row>
    <row r="152" customFormat="false" ht="15" hidden="false" customHeight="false" outlineLevel="0" collapsed="false">
      <c r="A152" s="21" t="s">
        <v>570</v>
      </c>
      <c r="B152" s="5" t="s">
        <v>571</v>
      </c>
      <c r="C152" s="22" t="n">
        <v>20</v>
      </c>
      <c r="D152" s="5" t="s">
        <v>296</v>
      </c>
      <c r="E152" s="5" t="s">
        <v>196</v>
      </c>
      <c r="F152" s="23" t="s">
        <v>572</v>
      </c>
      <c r="G152" s="5" t="s">
        <v>568</v>
      </c>
      <c r="H152" s="24" t="n">
        <v>3</v>
      </c>
      <c r="I152" s="5" t="s">
        <v>104</v>
      </c>
      <c r="J152" s="23" t="s">
        <v>569</v>
      </c>
      <c r="K152" s="23" t="s">
        <v>521</v>
      </c>
      <c r="L152" s="25" t="s">
        <v>107</v>
      </c>
    </row>
    <row r="153" customFormat="false" ht="15" hidden="false" customHeight="false" outlineLevel="0" collapsed="false">
      <c r="A153" s="26" t="s">
        <v>573</v>
      </c>
      <c r="B153" s="27" t="s">
        <v>574</v>
      </c>
      <c r="C153" s="32" t="n">
        <v>22</v>
      </c>
      <c r="D153" s="27" t="s">
        <v>296</v>
      </c>
      <c r="E153" s="27" t="s">
        <v>196</v>
      </c>
      <c r="F153" s="29" t="s">
        <v>575</v>
      </c>
      <c r="G153" s="27" t="s">
        <v>568</v>
      </c>
      <c r="H153" s="30" t="n">
        <v>3</v>
      </c>
      <c r="I153" s="27" t="s">
        <v>104</v>
      </c>
      <c r="J153" s="29" t="s">
        <v>569</v>
      </c>
      <c r="K153" s="29" t="s">
        <v>521</v>
      </c>
      <c r="L153" s="31" t="s">
        <v>107</v>
      </c>
    </row>
    <row r="154" customFormat="false" ht="15" hidden="false" customHeight="false" outlineLevel="0" collapsed="false">
      <c r="A154" s="21" t="s">
        <v>576</v>
      </c>
      <c r="B154" s="5" t="s">
        <v>577</v>
      </c>
      <c r="C154" s="22" t="n">
        <v>4</v>
      </c>
      <c r="D154" s="5" t="s">
        <v>296</v>
      </c>
      <c r="E154" s="5" t="s">
        <v>196</v>
      </c>
      <c r="F154" s="23" t="s">
        <v>464</v>
      </c>
      <c r="G154" s="5" t="s">
        <v>568</v>
      </c>
      <c r="H154" s="24" t="n">
        <v>3</v>
      </c>
      <c r="I154" s="5" t="s">
        <v>124</v>
      </c>
      <c r="J154" s="23" t="s">
        <v>569</v>
      </c>
      <c r="K154" s="23" t="s">
        <v>521</v>
      </c>
      <c r="L154" s="25" t="s">
        <v>107</v>
      </c>
    </row>
    <row r="155" customFormat="false" ht="15" hidden="false" customHeight="false" outlineLevel="0" collapsed="false">
      <c r="A155" s="26" t="s">
        <v>578</v>
      </c>
      <c r="B155" s="27" t="s">
        <v>579</v>
      </c>
      <c r="C155" s="32" t="n">
        <v>5</v>
      </c>
      <c r="D155" s="27" t="s">
        <v>296</v>
      </c>
      <c r="E155" s="27" t="s">
        <v>196</v>
      </c>
      <c r="F155" s="29" t="s">
        <v>395</v>
      </c>
      <c r="G155" s="27" t="s">
        <v>568</v>
      </c>
      <c r="H155" s="30" t="n">
        <v>3</v>
      </c>
      <c r="I155" s="27" t="s">
        <v>124</v>
      </c>
      <c r="J155" s="29" t="s">
        <v>569</v>
      </c>
      <c r="K155" s="29" t="s">
        <v>521</v>
      </c>
      <c r="L155" s="31" t="s">
        <v>107</v>
      </c>
    </row>
    <row r="156" customFormat="false" ht="15" hidden="false" customHeight="false" outlineLevel="0" collapsed="false">
      <c r="A156" s="21" t="s">
        <v>580</v>
      </c>
      <c r="B156" s="5" t="s">
        <v>581</v>
      </c>
      <c r="C156" s="22" t="n">
        <v>4954</v>
      </c>
      <c r="D156" s="5" t="s">
        <v>100</v>
      </c>
      <c r="E156" s="5" t="s">
        <v>117</v>
      </c>
      <c r="F156" s="23" t="s">
        <v>582</v>
      </c>
      <c r="G156" s="5" t="s">
        <v>583</v>
      </c>
      <c r="H156" s="24" t="n">
        <v>23</v>
      </c>
      <c r="I156" s="5" t="s">
        <v>224</v>
      </c>
      <c r="J156" s="23" t="s">
        <v>584</v>
      </c>
      <c r="K156" s="23" t="s">
        <v>106</v>
      </c>
      <c r="L156" s="25" t="s">
        <v>107</v>
      </c>
    </row>
    <row r="157" customFormat="false" ht="15" hidden="false" customHeight="false" outlineLevel="0" collapsed="false">
      <c r="A157" s="26" t="s">
        <v>585</v>
      </c>
      <c r="B157" s="27" t="s">
        <v>586</v>
      </c>
      <c r="C157" s="28" t="n">
        <v>3.6</v>
      </c>
      <c r="D157" s="27" t="s">
        <v>296</v>
      </c>
      <c r="E157" s="27" t="s">
        <v>117</v>
      </c>
      <c r="F157" s="29" t="s">
        <v>587</v>
      </c>
      <c r="G157" s="27" t="s">
        <v>583</v>
      </c>
      <c r="H157" s="30" t="n">
        <v>23</v>
      </c>
      <c r="I157" s="27" t="s">
        <v>224</v>
      </c>
      <c r="J157" s="29" t="s">
        <v>584</v>
      </c>
      <c r="K157" s="29" t="s">
        <v>106</v>
      </c>
      <c r="L157" s="31" t="s">
        <v>107</v>
      </c>
    </row>
    <row r="158" customFormat="false" ht="15" hidden="false" customHeight="false" outlineLevel="0" collapsed="false">
      <c r="A158" s="21" t="s">
        <v>588</v>
      </c>
      <c r="B158" s="5" t="s">
        <v>589</v>
      </c>
      <c r="C158" s="22" t="n">
        <v>669</v>
      </c>
      <c r="D158" s="5" t="s">
        <v>100</v>
      </c>
      <c r="E158" s="5" t="s">
        <v>117</v>
      </c>
      <c r="F158" s="23" t="s">
        <v>590</v>
      </c>
      <c r="G158" s="5" t="s">
        <v>583</v>
      </c>
      <c r="H158" s="24" t="n">
        <v>23</v>
      </c>
      <c r="I158" s="5" t="s">
        <v>224</v>
      </c>
      <c r="J158" s="23" t="s">
        <v>584</v>
      </c>
      <c r="K158" s="23" t="s">
        <v>106</v>
      </c>
      <c r="L158" s="25" t="s">
        <v>107</v>
      </c>
    </row>
    <row r="159" customFormat="false" ht="15" hidden="false" customHeight="false" outlineLevel="0" collapsed="false">
      <c r="A159" s="26" t="s">
        <v>591</v>
      </c>
      <c r="B159" s="27" t="s">
        <v>592</v>
      </c>
      <c r="C159" s="28" t="n">
        <v>14.1</v>
      </c>
      <c r="D159" s="27" t="s">
        <v>296</v>
      </c>
      <c r="E159" s="27" t="s">
        <v>117</v>
      </c>
      <c r="F159" s="29" t="s">
        <v>593</v>
      </c>
      <c r="G159" s="27" t="s">
        <v>583</v>
      </c>
      <c r="H159" s="30" t="n">
        <v>23</v>
      </c>
      <c r="I159" s="27" t="s">
        <v>224</v>
      </c>
      <c r="J159" s="29" t="s">
        <v>584</v>
      </c>
      <c r="K159" s="29" t="s">
        <v>106</v>
      </c>
      <c r="L159" s="31" t="s">
        <v>107</v>
      </c>
    </row>
    <row r="160" customFormat="false" ht="15" hidden="false" customHeight="false" outlineLevel="0" collapsed="false">
      <c r="A160" s="21" t="s">
        <v>594</v>
      </c>
      <c r="B160" s="5" t="s">
        <v>595</v>
      </c>
      <c r="C160" s="22" t="n">
        <v>11316</v>
      </c>
      <c r="D160" s="5" t="s">
        <v>100</v>
      </c>
      <c r="E160" s="5" t="s">
        <v>117</v>
      </c>
      <c r="F160" s="23" t="s">
        <v>596</v>
      </c>
      <c r="G160" s="5" t="s">
        <v>583</v>
      </c>
      <c r="H160" s="24" t="n">
        <v>23</v>
      </c>
      <c r="I160" s="5" t="s">
        <v>224</v>
      </c>
      <c r="J160" s="23" t="s">
        <v>584</v>
      </c>
      <c r="K160" s="23" t="s">
        <v>106</v>
      </c>
      <c r="L160" s="25" t="s">
        <v>107</v>
      </c>
    </row>
    <row r="161" customFormat="false" ht="15" hidden="false" customHeight="false" outlineLevel="0" collapsed="false">
      <c r="A161" s="26" t="s">
        <v>597</v>
      </c>
      <c r="B161" s="27" t="s">
        <v>598</v>
      </c>
      <c r="C161" s="28" t="n">
        <v>4.1</v>
      </c>
      <c r="D161" s="27" t="s">
        <v>296</v>
      </c>
      <c r="E161" s="27" t="s">
        <v>117</v>
      </c>
      <c r="F161" s="29" t="s">
        <v>599</v>
      </c>
      <c r="G161" s="27" t="s">
        <v>583</v>
      </c>
      <c r="H161" s="30" t="n">
        <v>23</v>
      </c>
      <c r="I161" s="27" t="s">
        <v>224</v>
      </c>
      <c r="J161" s="29" t="s">
        <v>584</v>
      </c>
      <c r="K161" s="29" t="s">
        <v>106</v>
      </c>
      <c r="L161" s="31" t="s">
        <v>107</v>
      </c>
    </row>
    <row r="162" customFormat="false" ht="15" hidden="false" customHeight="false" outlineLevel="0" collapsed="false">
      <c r="A162" s="21" t="s">
        <v>600</v>
      </c>
      <c r="B162" s="5" t="s">
        <v>418</v>
      </c>
      <c r="C162" s="22" t="n">
        <v>2009</v>
      </c>
      <c r="D162" s="5" t="s">
        <v>100</v>
      </c>
      <c r="E162" s="5" t="s">
        <v>117</v>
      </c>
      <c r="F162" s="23" t="s">
        <v>601</v>
      </c>
      <c r="G162" s="5" t="s">
        <v>583</v>
      </c>
      <c r="H162" s="24" t="n">
        <v>23</v>
      </c>
      <c r="I162" s="5" t="s">
        <v>224</v>
      </c>
      <c r="J162" s="23" t="s">
        <v>584</v>
      </c>
      <c r="K162" s="23" t="s">
        <v>106</v>
      </c>
      <c r="L162" s="25" t="s">
        <v>107</v>
      </c>
    </row>
    <row r="163" customFormat="false" ht="15" hidden="false" customHeight="false" outlineLevel="0" collapsed="false">
      <c r="A163" s="26" t="s">
        <v>602</v>
      </c>
      <c r="B163" s="27" t="s">
        <v>603</v>
      </c>
      <c r="C163" s="28" t="n">
        <v>9.3</v>
      </c>
      <c r="D163" s="27" t="s">
        <v>296</v>
      </c>
      <c r="E163" s="27" t="s">
        <v>117</v>
      </c>
      <c r="F163" s="29" t="s">
        <v>604</v>
      </c>
      <c r="G163" s="27" t="s">
        <v>583</v>
      </c>
      <c r="H163" s="30" t="n">
        <v>23</v>
      </c>
      <c r="I163" s="27" t="s">
        <v>224</v>
      </c>
      <c r="J163" s="29" t="s">
        <v>584</v>
      </c>
      <c r="K163" s="29" t="s">
        <v>106</v>
      </c>
      <c r="L163" s="31" t="s">
        <v>107</v>
      </c>
    </row>
    <row r="164" customFormat="false" ht="15" hidden="false" customHeight="false" outlineLevel="0" collapsed="false">
      <c r="A164" s="21" t="s">
        <v>605</v>
      </c>
      <c r="B164" s="5" t="s">
        <v>606</v>
      </c>
      <c r="C164" s="22" t="n">
        <v>19206</v>
      </c>
      <c r="D164" s="5" t="s">
        <v>100</v>
      </c>
      <c r="E164" s="5" t="s">
        <v>117</v>
      </c>
      <c r="F164" s="23" t="s">
        <v>607</v>
      </c>
      <c r="G164" s="5" t="s">
        <v>583</v>
      </c>
      <c r="H164" s="24" t="n">
        <v>23</v>
      </c>
      <c r="I164" s="5" t="s">
        <v>224</v>
      </c>
      <c r="J164" s="23" t="s">
        <v>584</v>
      </c>
      <c r="K164" s="23" t="s">
        <v>106</v>
      </c>
      <c r="L164" s="25" t="s">
        <v>107</v>
      </c>
    </row>
    <row r="165" customFormat="false" ht="15" hidden="false" customHeight="false" outlineLevel="0" collapsed="false">
      <c r="A165" s="26" t="s">
        <v>608</v>
      </c>
      <c r="B165" s="27" t="s">
        <v>609</v>
      </c>
      <c r="C165" s="32" t="n">
        <v>2758</v>
      </c>
      <c r="D165" s="27" t="s">
        <v>100</v>
      </c>
      <c r="E165" s="27" t="s">
        <v>117</v>
      </c>
      <c r="F165" s="29" t="s">
        <v>610</v>
      </c>
      <c r="G165" s="27" t="s">
        <v>583</v>
      </c>
      <c r="H165" s="30" t="n">
        <v>23</v>
      </c>
      <c r="I165" s="27" t="s">
        <v>224</v>
      </c>
      <c r="J165" s="29" t="s">
        <v>584</v>
      </c>
      <c r="K165" s="29" t="s">
        <v>106</v>
      </c>
      <c r="L165" s="31" t="s">
        <v>107</v>
      </c>
    </row>
    <row r="166" customFormat="false" ht="15" hidden="false" customHeight="false" outlineLevel="0" collapsed="false">
      <c r="A166" s="21" t="s">
        <v>611</v>
      </c>
      <c r="B166" s="5" t="s">
        <v>612</v>
      </c>
      <c r="C166" s="33" t="n">
        <v>1.8</v>
      </c>
      <c r="D166" s="5" t="s">
        <v>296</v>
      </c>
      <c r="E166" s="5" t="s">
        <v>117</v>
      </c>
      <c r="F166" s="23" t="s">
        <v>613</v>
      </c>
      <c r="G166" s="5" t="s">
        <v>583</v>
      </c>
      <c r="H166" s="24" t="n">
        <v>23</v>
      </c>
      <c r="I166" s="5" t="s">
        <v>224</v>
      </c>
      <c r="J166" s="23" t="s">
        <v>584</v>
      </c>
      <c r="K166" s="23" t="s">
        <v>106</v>
      </c>
      <c r="L166" s="25" t="s">
        <v>107</v>
      </c>
    </row>
    <row r="167" customFormat="false" ht="15" hidden="false" customHeight="false" outlineLevel="0" collapsed="false">
      <c r="A167" s="26" t="s">
        <v>614</v>
      </c>
      <c r="B167" s="27" t="s">
        <v>615</v>
      </c>
      <c r="C167" s="32" t="n">
        <v>8914</v>
      </c>
      <c r="D167" s="27" t="s">
        <v>100</v>
      </c>
      <c r="E167" s="27" t="s">
        <v>117</v>
      </c>
      <c r="F167" s="29" t="s">
        <v>616</v>
      </c>
      <c r="G167" s="27" t="s">
        <v>617</v>
      </c>
      <c r="H167" s="30" t="n">
        <v>12</v>
      </c>
      <c r="I167" s="27" t="s">
        <v>224</v>
      </c>
      <c r="J167" s="29" t="s">
        <v>618</v>
      </c>
      <c r="K167" s="29" t="s">
        <v>106</v>
      </c>
      <c r="L167" s="31" t="s">
        <v>107</v>
      </c>
    </row>
    <row r="168" customFormat="false" ht="15" hidden="false" customHeight="false" outlineLevel="0" collapsed="false">
      <c r="A168" s="21" t="s">
        <v>619</v>
      </c>
      <c r="B168" s="5" t="s">
        <v>615</v>
      </c>
      <c r="C168" s="22" t="n">
        <v>9145</v>
      </c>
      <c r="D168" s="5" t="s">
        <v>100</v>
      </c>
      <c r="E168" s="5" t="s">
        <v>157</v>
      </c>
      <c r="F168" s="23" t="s">
        <v>620</v>
      </c>
      <c r="G168" s="5" t="s">
        <v>617</v>
      </c>
      <c r="H168" s="24" t="n">
        <v>12</v>
      </c>
      <c r="I168" s="5" t="s">
        <v>224</v>
      </c>
      <c r="J168" s="23" t="s">
        <v>618</v>
      </c>
      <c r="K168" s="23" t="s">
        <v>106</v>
      </c>
      <c r="L168" s="25" t="s">
        <v>107</v>
      </c>
    </row>
    <row r="169" customFormat="false" ht="15" hidden="false" customHeight="false" outlineLevel="0" collapsed="false">
      <c r="A169" s="26" t="s">
        <v>621</v>
      </c>
      <c r="B169" s="27" t="s">
        <v>606</v>
      </c>
      <c r="C169" s="32" t="n">
        <v>18619</v>
      </c>
      <c r="D169" s="27" t="s">
        <v>100</v>
      </c>
      <c r="E169" s="27" t="s">
        <v>157</v>
      </c>
      <c r="F169" s="29" t="s">
        <v>622</v>
      </c>
      <c r="G169" s="27" t="s">
        <v>617</v>
      </c>
      <c r="H169" s="30" t="n">
        <v>12</v>
      </c>
      <c r="I169" s="27" t="s">
        <v>224</v>
      </c>
      <c r="J169" s="29" t="s">
        <v>618</v>
      </c>
      <c r="K169" s="29" t="s">
        <v>106</v>
      </c>
      <c r="L169" s="31" t="s">
        <v>107</v>
      </c>
    </row>
    <row r="170" customFormat="false" ht="15" hidden="false" customHeight="false" outlineLevel="0" collapsed="false">
      <c r="A170" s="21" t="s">
        <v>623</v>
      </c>
      <c r="B170" s="5" t="s">
        <v>595</v>
      </c>
      <c r="C170" s="22" t="n">
        <v>11945</v>
      </c>
      <c r="D170" s="5" t="s">
        <v>100</v>
      </c>
      <c r="E170" s="5" t="s">
        <v>157</v>
      </c>
      <c r="F170" s="23" t="s">
        <v>624</v>
      </c>
      <c r="G170" s="5" t="s">
        <v>617</v>
      </c>
      <c r="H170" s="24" t="n">
        <v>12</v>
      </c>
      <c r="I170" s="5" t="s">
        <v>224</v>
      </c>
      <c r="J170" s="23" t="s">
        <v>618</v>
      </c>
      <c r="K170" s="23" t="s">
        <v>106</v>
      </c>
      <c r="L170" s="25" t="s">
        <v>107</v>
      </c>
    </row>
    <row r="171" customFormat="false" ht="15" hidden="false" customHeight="false" outlineLevel="0" collapsed="false">
      <c r="A171" s="26" t="s">
        <v>625</v>
      </c>
      <c r="B171" s="27" t="s">
        <v>609</v>
      </c>
      <c r="C171" s="32" t="n">
        <v>2642</v>
      </c>
      <c r="D171" s="27" t="s">
        <v>100</v>
      </c>
      <c r="E171" s="27" t="s">
        <v>157</v>
      </c>
      <c r="F171" s="29" t="s">
        <v>626</v>
      </c>
      <c r="G171" s="27" t="s">
        <v>617</v>
      </c>
      <c r="H171" s="30" t="n">
        <v>13</v>
      </c>
      <c r="I171" s="27" t="s">
        <v>224</v>
      </c>
      <c r="J171" s="29" t="s">
        <v>618</v>
      </c>
      <c r="K171" s="29" t="s">
        <v>106</v>
      </c>
      <c r="L171" s="31" t="s">
        <v>107</v>
      </c>
    </row>
    <row r="172" customFormat="false" ht="15" hidden="false" customHeight="false" outlineLevel="0" collapsed="false">
      <c r="A172" s="21" t="s">
        <v>627</v>
      </c>
      <c r="B172" s="5" t="s">
        <v>418</v>
      </c>
      <c r="C172" s="22" t="n">
        <v>2025</v>
      </c>
      <c r="D172" s="5" t="s">
        <v>100</v>
      </c>
      <c r="E172" s="5" t="s">
        <v>157</v>
      </c>
      <c r="F172" s="23" t="s">
        <v>628</v>
      </c>
      <c r="G172" s="5" t="s">
        <v>617</v>
      </c>
      <c r="H172" s="24" t="n">
        <v>13</v>
      </c>
      <c r="I172" s="5" t="s">
        <v>224</v>
      </c>
      <c r="J172" s="23" t="s">
        <v>618</v>
      </c>
      <c r="K172" s="23" t="s">
        <v>106</v>
      </c>
      <c r="L172" s="25" t="s">
        <v>107</v>
      </c>
    </row>
    <row r="173" customFormat="false" ht="15" hidden="false" customHeight="false" outlineLevel="0" collapsed="false">
      <c r="A173" s="26" t="s">
        <v>629</v>
      </c>
      <c r="B173" s="27" t="s">
        <v>630</v>
      </c>
      <c r="C173" s="32" t="n">
        <v>13191</v>
      </c>
      <c r="D173" s="27" t="s">
        <v>100</v>
      </c>
      <c r="E173" s="27" t="s">
        <v>117</v>
      </c>
      <c r="F173" s="29" t="s">
        <v>631</v>
      </c>
      <c r="G173" s="27" t="s">
        <v>583</v>
      </c>
      <c r="H173" s="30" t="n">
        <v>7</v>
      </c>
      <c r="I173" s="27" t="s">
        <v>224</v>
      </c>
      <c r="J173" s="29" t="s">
        <v>584</v>
      </c>
      <c r="K173" s="29" t="s">
        <v>106</v>
      </c>
      <c r="L173" s="31" t="s">
        <v>107</v>
      </c>
    </row>
    <row r="174" customFormat="false" ht="15" hidden="false" customHeight="false" outlineLevel="0" collapsed="false">
      <c r="A174" s="21" t="s">
        <v>632</v>
      </c>
      <c r="B174" s="5" t="s">
        <v>633</v>
      </c>
      <c r="C174" s="33" t="n">
        <v>4.3</v>
      </c>
      <c r="D174" s="5" t="s">
        <v>296</v>
      </c>
      <c r="E174" s="5" t="s">
        <v>117</v>
      </c>
      <c r="F174" s="23" t="s">
        <v>634</v>
      </c>
      <c r="G174" s="5" t="s">
        <v>583</v>
      </c>
      <c r="H174" s="24" t="n">
        <v>7</v>
      </c>
      <c r="I174" s="5" t="s">
        <v>224</v>
      </c>
      <c r="J174" s="23" t="s">
        <v>584</v>
      </c>
      <c r="K174" s="23" t="s">
        <v>106</v>
      </c>
      <c r="L174" s="25" t="s">
        <v>107</v>
      </c>
    </row>
    <row r="175" customFormat="false" ht="15" hidden="false" customHeight="false" outlineLevel="0" collapsed="false">
      <c r="A175" s="26" t="s">
        <v>635</v>
      </c>
      <c r="B175" s="27" t="s">
        <v>636</v>
      </c>
      <c r="C175" s="28" t="n">
        <v>12.1</v>
      </c>
      <c r="D175" s="27" t="s">
        <v>296</v>
      </c>
      <c r="E175" s="27" t="s">
        <v>117</v>
      </c>
      <c r="F175" s="29" t="s">
        <v>637</v>
      </c>
      <c r="G175" s="27" t="s">
        <v>583</v>
      </c>
      <c r="H175" s="30" t="n">
        <v>7</v>
      </c>
      <c r="I175" s="27" t="s">
        <v>224</v>
      </c>
      <c r="J175" s="29" t="s">
        <v>584</v>
      </c>
      <c r="K175" s="29" t="s">
        <v>106</v>
      </c>
      <c r="L175" s="31" t="s">
        <v>107</v>
      </c>
    </row>
    <row r="176" customFormat="false" ht="15" hidden="false" customHeight="false" outlineLevel="0" collapsed="false">
      <c r="A176" s="21" t="s">
        <v>638</v>
      </c>
      <c r="B176" s="5" t="s">
        <v>639</v>
      </c>
      <c r="C176" s="22" t="n">
        <v>1668</v>
      </c>
      <c r="D176" s="5" t="s">
        <v>100</v>
      </c>
      <c r="E176" s="5" t="s">
        <v>117</v>
      </c>
      <c r="F176" s="23" t="s">
        <v>640</v>
      </c>
      <c r="G176" s="5" t="s">
        <v>583</v>
      </c>
      <c r="H176" s="24" t="n">
        <v>25</v>
      </c>
      <c r="I176" s="5" t="s">
        <v>224</v>
      </c>
      <c r="J176" s="23" t="s">
        <v>584</v>
      </c>
      <c r="K176" s="23" t="s">
        <v>106</v>
      </c>
      <c r="L176" s="25" t="s">
        <v>107</v>
      </c>
    </row>
    <row r="177" customFormat="false" ht="15" hidden="false" customHeight="false" outlineLevel="0" collapsed="false">
      <c r="A177" s="26" t="s">
        <v>641</v>
      </c>
      <c r="B177" s="27" t="s">
        <v>642</v>
      </c>
      <c r="C177" s="28" t="n">
        <v>12.6</v>
      </c>
      <c r="D177" s="27" t="s">
        <v>296</v>
      </c>
      <c r="E177" s="27" t="s">
        <v>117</v>
      </c>
      <c r="F177" s="29" t="s">
        <v>643</v>
      </c>
      <c r="G177" s="27" t="s">
        <v>583</v>
      </c>
      <c r="H177" s="30" t="n">
        <v>25</v>
      </c>
      <c r="I177" s="27" t="s">
        <v>224</v>
      </c>
      <c r="J177" s="29" t="s">
        <v>584</v>
      </c>
      <c r="K177" s="29" t="s">
        <v>106</v>
      </c>
      <c r="L177" s="31" t="s">
        <v>107</v>
      </c>
    </row>
    <row r="178" customFormat="false" ht="15" hidden="false" customHeight="false" outlineLevel="0" collapsed="false">
      <c r="A178" s="21" t="s">
        <v>644</v>
      </c>
      <c r="B178" s="5" t="s">
        <v>645</v>
      </c>
      <c r="C178" s="22" t="n">
        <v>4021</v>
      </c>
      <c r="D178" s="5" t="s">
        <v>100</v>
      </c>
      <c r="E178" s="5" t="s">
        <v>117</v>
      </c>
      <c r="F178" s="23" t="s">
        <v>646</v>
      </c>
      <c r="G178" s="5" t="s">
        <v>583</v>
      </c>
      <c r="H178" s="24" t="n">
        <v>25</v>
      </c>
      <c r="I178" s="5" t="s">
        <v>224</v>
      </c>
      <c r="J178" s="23" t="s">
        <v>584</v>
      </c>
      <c r="K178" s="23" t="s">
        <v>106</v>
      </c>
      <c r="L178" s="25" t="s">
        <v>107</v>
      </c>
    </row>
    <row r="179" customFormat="false" ht="15" hidden="false" customHeight="false" outlineLevel="0" collapsed="false">
      <c r="A179" s="26" t="s">
        <v>647</v>
      </c>
      <c r="B179" s="27" t="s">
        <v>648</v>
      </c>
      <c r="C179" s="32" t="n">
        <v>312</v>
      </c>
      <c r="D179" s="27" t="s">
        <v>100</v>
      </c>
      <c r="E179" s="27" t="s">
        <v>117</v>
      </c>
      <c r="F179" s="29" t="s">
        <v>649</v>
      </c>
      <c r="G179" s="27" t="s">
        <v>583</v>
      </c>
      <c r="H179" s="30" t="n">
        <v>25</v>
      </c>
      <c r="I179" s="27" t="s">
        <v>224</v>
      </c>
      <c r="J179" s="29" t="s">
        <v>584</v>
      </c>
      <c r="K179" s="29" t="s">
        <v>106</v>
      </c>
      <c r="L179" s="31" t="s">
        <v>107</v>
      </c>
    </row>
    <row r="180" customFormat="false" ht="15" hidden="false" customHeight="false" outlineLevel="0" collapsed="false">
      <c r="A180" s="21" t="s">
        <v>650</v>
      </c>
      <c r="B180" s="5" t="s">
        <v>645</v>
      </c>
      <c r="C180" s="22" t="n">
        <v>3471</v>
      </c>
      <c r="D180" s="5" t="s">
        <v>100</v>
      </c>
      <c r="E180" s="5" t="s">
        <v>157</v>
      </c>
      <c r="F180" s="23" t="s">
        <v>651</v>
      </c>
      <c r="G180" s="5" t="s">
        <v>583</v>
      </c>
      <c r="H180" s="24" t="n">
        <v>41</v>
      </c>
      <c r="I180" s="5" t="s">
        <v>224</v>
      </c>
      <c r="J180" s="23" t="s">
        <v>584</v>
      </c>
      <c r="K180" s="23" t="s">
        <v>106</v>
      </c>
      <c r="L180" s="25" t="s">
        <v>107</v>
      </c>
    </row>
    <row r="181" customFormat="false" ht="15" hidden="false" customHeight="false" outlineLevel="0" collapsed="false">
      <c r="A181" s="26" t="s">
        <v>652</v>
      </c>
      <c r="B181" s="27" t="s">
        <v>648</v>
      </c>
      <c r="C181" s="32" t="n">
        <v>246</v>
      </c>
      <c r="D181" s="27" t="s">
        <v>100</v>
      </c>
      <c r="E181" s="27" t="s">
        <v>157</v>
      </c>
      <c r="F181" s="29" t="s">
        <v>653</v>
      </c>
      <c r="G181" s="27" t="s">
        <v>583</v>
      </c>
      <c r="H181" s="30" t="n">
        <v>41</v>
      </c>
      <c r="I181" s="27" t="s">
        <v>224</v>
      </c>
      <c r="J181" s="29" t="s">
        <v>584</v>
      </c>
      <c r="K181" s="29" t="s">
        <v>106</v>
      </c>
      <c r="L181" s="31" t="s">
        <v>107</v>
      </c>
    </row>
    <row r="182" customFormat="false" ht="15" hidden="false" customHeight="false" outlineLevel="0" collapsed="false">
      <c r="A182" s="21" t="s">
        <v>654</v>
      </c>
      <c r="B182" s="5" t="s">
        <v>581</v>
      </c>
      <c r="C182" s="22" t="n">
        <v>2213</v>
      </c>
      <c r="D182" s="5" t="s">
        <v>100</v>
      </c>
      <c r="E182" s="5" t="s">
        <v>101</v>
      </c>
      <c r="F182" s="23" t="s">
        <v>655</v>
      </c>
      <c r="G182" s="5" t="s">
        <v>213</v>
      </c>
      <c r="H182" s="24" t="n">
        <v>19</v>
      </c>
      <c r="I182" s="5" t="s">
        <v>224</v>
      </c>
      <c r="J182" s="23" t="s">
        <v>214</v>
      </c>
      <c r="K182" s="23" t="s">
        <v>106</v>
      </c>
      <c r="L182" s="25" t="s">
        <v>107</v>
      </c>
    </row>
    <row r="183" customFormat="false" ht="15" hidden="false" customHeight="false" outlineLevel="0" collapsed="false">
      <c r="A183" s="26" t="s">
        <v>656</v>
      </c>
      <c r="B183" s="27" t="s">
        <v>586</v>
      </c>
      <c r="C183" s="28" t="n">
        <v>-4.8</v>
      </c>
      <c r="D183" s="27" t="s">
        <v>296</v>
      </c>
      <c r="E183" s="27" t="s">
        <v>101</v>
      </c>
      <c r="F183" s="29" t="s">
        <v>657</v>
      </c>
      <c r="G183" s="27" t="s">
        <v>213</v>
      </c>
      <c r="H183" s="30" t="n">
        <v>19</v>
      </c>
      <c r="I183" s="27" t="s">
        <v>224</v>
      </c>
      <c r="J183" s="29" t="s">
        <v>214</v>
      </c>
      <c r="K183" s="29" t="s">
        <v>106</v>
      </c>
      <c r="L183" s="31" t="s">
        <v>107</v>
      </c>
    </row>
    <row r="184" customFormat="false" ht="15" hidden="false" customHeight="false" outlineLevel="0" collapsed="false">
      <c r="A184" s="21" t="s">
        <v>658</v>
      </c>
      <c r="B184" s="5" t="s">
        <v>589</v>
      </c>
      <c r="C184" s="22" t="n">
        <v>294</v>
      </c>
      <c r="D184" s="5" t="s">
        <v>100</v>
      </c>
      <c r="E184" s="5" t="s">
        <v>101</v>
      </c>
      <c r="F184" s="23" t="s">
        <v>659</v>
      </c>
      <c r="G184" s="5" t="s">
        <v>213</v>
      </c>
      <c r="H184" s="24" t="n">
        <v>19</v>
      </c>
      <c r="I184" s="5" t="s">
        <v>224</v>
      </c>
      <c r="J184" s="23" t="s">
        <v>214</v>
      </c>
      <c r="K184" s="23" t="s">
        <v>106</v>
      </c>
      <c r="L184" s="25" t="s">
        <v>107</v>
      </c>
    </row>
    <row r="185" customFormat="false" ht="15" hidden="false" customHeight="false" outlineLevel="0" collapsed="false">
      <c r="A185" s="26" t="s">
        <v>660</v>
      </c>
      <c r="B185" s="27" t="s">
        <v>661</v>
      </c>
      <c r="C185" s="28" t="n">
        <v>13.45</v>
      </c>
      <c r="D185" s="27" t="s">
        <v>662</v>
      </c>
      <c r="E185" s="27" t="s">
        <v>663</v>
      </c>
      <c r="F185" s="29" t="s">
        <v>664</v>
      </c>
      <c r="G185" s="27" t="s">
        <v>169</v>
      </c>
      <c r="H185" s="30" t="n">
        <v>12</v>
      </c>
      <c r="I185" s="27" t="s">
        <v>224</v>
      </c>
      <c r="J185" s="29" t="s">
        <v>170</v>
      </c>
      <c r="K185" s="29" t="s">
        <v>106</v>
      </c>
      <c r="L185" s="31" t="s">
        <v>107</v>
      </c>
    </row>
    <row r="186" customFormat="false" ht="15" hidden="false" customHeight="false" outlineLevel="0" collapsed="false">
      <c r="A186" s="21" t="s">
        <v>665</v>
      </c>
      <c r="B186" s="5" t="s">
        <v>666</v>
      </c>
      <c r="C186" s="22" t="n">
        <v>13</v>
      </c>
      <c r="D186" s="5" t="s">
        <v>296</v>
      </c>
      <c r="E186" s="5" t="s">
        <v>222</v>
      </c>
      <c r="F186" s="23" t="s">
        <v>667</v>
      </c>
      <c r="G186" s="5" t="s">
        <v>169</v>
      </c>
      <c r="H186" s="24" t="n">
        <v>12</v>
      </c>
      <c r="I186" s="5" t="s">
        <v>224</v>
      </c>
      <c r="J186" s="23" t="s">
        <v>170</v>
      </c>
      <c r="K186" s="23" t="s">
        <v>106</v>
      </c>
      <c r="L186" s="25" t="s">
        <v>107</v>
      </c>
    </row>
    <row r="187" customFormat="false" ht="15" hidden="false" customHeight="false" outlineLevel="0" collapsed="false">
      <c r="A187" s="26" t="s">
        <v>668</v>
      </c>
      <c r="B187" s="27" t="s">
        <v>666</v>
      </c>
      <c r="C187" s="28" t="n">
        <v>23.6</v>
      </c>
      <c r="D187" s="27" t="s">
        <v>296</v>
      </c>
      <c r="E187" s="27" t="s">
        <v>167</v>
      </c>
      <c r="F187" s="29" t="s">
        <v>669</v>
      </c>
      <c r="G187" s="27" t="s">
        <v>169</v>
      </c>
      <c r="H187" s="30" t="n">
        <v>12</v>
      </c>
      <c r="I187" s="27" t="s">
        <v>224</v>
      </c>
      <c r="J187" s="29" t="s">
        <v>170</v>
      </c>
      <c r="K187" s="29" t="s">
        <v>106</v>
      </c>
      <c r="L187" s="31" t="s">
        <v>107</v>
      </c>
    </row>
    <row r="188" customFormat="false" ht="15" hidden="false" customHeight="false" outlineLevel="0" collapsed="false">
      <c r="A188" s="21" t="s">
        <v>670</v>
      </c>
      <c r="B188" s="5" t="s">
        <v>671</v>
      </c>
      <c r="C188" s="22" t="n">
        <v>30</v>
      </c>
      <c r="D188" s="5" t="s">
        <v>296</v>
      </c>
      <c r="E188" s="5" t="s">
        <v>153</v>
      </c>
      <c r="F188" s="23" t="s">
        <v>672</v>
      </c>
      <c r="G188" s="5" t="s">
        <v>169</v>
      </c>
      <c r="H188" s="24" t="n">
        <v>12</v>
      </c>
      <c r="I188" s="5" t="s">
        <v>224</v>
      </c>
      <c r="J188" s="23" t="s">
        <v>170</v>
      </c>
      <c r="K188" s="23" t="s">
        <v>106</v>
      </c>
      <c r="L188" s="25" t="s">
        <v>107</v>
      </c>
    </row>
    <row r="189" customFormat="false" ht="15" hidden="false" customHeight="false" outlineLevel="0" collapsed="false">
      <c r="A189" s="26" t="s">
        <v>673</v>
      </c>
      <c r="B189" s="27" t="s">
        <v>674</v>
      </c>
      <c r="C189" s="28" t="n">
        <v>1.45</v>
      </c>
      <c r="D189" s="27" t="s">
        <v>675</v>
      </c>
      <c r="E189" s="27" t="s">
        <v>222</v>
      </c>
      <c r="F189" s="29" t="s">
        <v>676</v>
      </c>
      <c r="G189" s="27" t="s">
        <v>169</v>
      </c>
      <c r="H189" s="30" t="n">
        <v>12</v>
      </c>
      <c r="I189" s="27" t="s">
        <v>224</v>
      </c>
      <c r="J189" s="29" t="s">
        <v>170</v>
      </c>
      <c r="K189" s="29" t="s">
        <v>106</v>
      </c>
      <c r="L189" s="31" t="s">
        <v>107</v>
      </c>
    </row>
    <row r="190" customFormat="false" ht="15" hidden="false" customHeight="false" outlineLevel="0" collapsed="false">
      <c r="A190" s="21" t="s">
        <v>677</v>
      </c>
      <c r="B190" s="5" t="s">
        <v>674</v>
      </c>
      <c r="C190" s="33" t="n">
        <v>1.574</v>
      </c>
      <c r="D190" s="5" t="s">
        <v>675</v>
      </c>
      <c r="E190" s="5" t="s">
        <v>167</v>
      </c>
      <c r="F190" s="23" t="s">
        <v>678</v>
      </c>
      <c r="G190" s="5" t="s">
        <v>169</v>
      </c>
      <c r="H190" s="24" t="n">
        <v>12</v>
      </c>
      <c r="I190" s="5" t="s">
        <v>224</v>
      </c>
      <c r="J190" s="23" t="s">
        <v>170</v>
      </c>
      <c r="K190" s="23" t="s">
        <v>106</v>
      </c>
      <c r="L190" s="25" t="s">
        <v>107</v>
      </c>
    </row>
    <row r="191" customFormat="false" ht="15" hidden="false" customHeight="false" outlineLevel="0" collapsed="false">
      <c r="A191" s="26" t="s">
        <v>679</v>
      </c>
      <c r="B191" s="27" t="s">
        <v>680</v>
      </c>
      <c r="C191" s="28" t="n">
        <v>1.5</v>
      </c>
      <c r="D191" s="27" t="s">
        <v>675</v>
      </c>
      <c r="E191" s="27" t="s">
        <v>153</v>
      </c>
      <c r="F191" s="29" t="s">
        <v>406</v>
      </c>
      <c r="G191" s="27" t="s">
        <v>169</v>
      </c>
      <c r="H191" s="30" t="n">
        <v>12</v>
      </c>
      <c r="I191" s="27" t="s">
        <v>224</v>
      </c>
      <c r="J191" s="29" t="s">
        <v>170</v>
      </c>
      <c r="K191" s="29" t="s">
        <v>106</v>
      </c>
      <c r="L191" s="31" t="s">
        <v>107</v>
      </c>
    </row>
    <row r="192" customFormat="false" ht="15" hidden="false" customHeight="false" outlineLevel="0" collapsed="false">
      <c r="A192" s="21" t="s">
        <v>681</v>
      </c>
      <c r="B192" s="5" t="s">
        <v>682</v>
      </c>
      <c r="C192" s="22" t="n">
        <v>18</v>
      </c>
      <c r="D192" s="5" t="s">
        <v>662</v>
      </c>
      <c r="E192" s="5" t="s">
        <v>153</v>
      </c>
      <c r="F192" s="23" t="s">
        <v>525</v>
      </c>
      <c r="G192" s="5" t="s">
        <v>169</v>
      </c>
      <c r="H192" s="24" t="n">
        <v>191</v>
      </c>
      <c r="I192" s="5" t="s">
        <v>224</v>
      </c>
      <c r="J192" s="23" t="s">
        <v>170</v>
      </c>
      <c r="K192" s="23" t="s">
        <v>106</v>
      </c>
      <c r="L192" s="25" t="s">
        <v>107</v>
      </c>
    </row>
    <row r="193" customFormat="false" ht="15" hidden="false" customHeight="false" outlineLevel="0" collapsed="false">
      <c r="A193" s="26" t="s">
        <v>683</v>
      </c>
      <c r="B193" s="27" t="s">
        <v>684</v>
      </c>
      <c r="C193" s="32" t="n">
        <v>398</v>
      </c>
      <c r="D193" s="27" t="s">
        <v>100</v>
      </c>
      <c r="E193" s="27" t="s">
        <v>157</v>
      </c>
      <c r="F193" s="29" t="s">
        <v>685</v>
      </c>
      <c r="G193" s="27" t="s">
        <v>686</v>
      </c>
      <c r="H193" s="30" t="n">
        <v>5</v>
      </c>
      <c r="I193" s="27" t="s">
        <v>124</v>
      </c>
      <c r="J193" s="29" t="s">
        <v>687</v>
      </c>
      <c r="K193" s="29" t="s">
        <v>106</v>
      </c>
      <c r="L193" s="31" t="s">
        <v>107</v>
      </c>
    </row>
    <row r="194" customFormat="false" ht="15" hidden="false" customHeight="false" outlineLevel="0" collapsed="false">
      <c r="A194" s="21" t="s">
        <v>688</v>
      </c>
      <c r="B194" s="5" t="s">
        <v>689</v>
      </c>
      <c r="C194" s="22" t="n">
        <v>435</v>
      </c>
      <c r="D194" s="5" t="s">
        <v>100</v>
      </c>
      <c r="E194" s="5" t="s">
        <v>157</v>
      </c>
      <c r="F194" s="23" t="s">
        <v>690</v>
      </c>
      <c r="G194" s="5" t="s">
        <v>686</v>
      </c>
      <c r="H194" s="24" t="n">
        <v>5</v>
      </c>
      <c r="I194" s="5" t="s">
        <v>124</v>
      </c>
      <c r="J194" s="23" t="s">
        <v>687</v>
      </c>
      <c r="K194" s="23" t="s">
        <v>106</v>
      </c>
      <c r="L194" s="25" t="s">
        <v>107</v>
      </c>
    </row>
    <row r="195" customFormat="false" ht="15" hidden="false" customHeight="false" outlineLevel="0" collapsed="false">
      <c r="A195" s="26" t="s">
        <v>691</v>
      </c>
      <c r="B195" s="27" t="s">
        <v>692</v>
      </c>
      <c r="C195" s="32" t="n">
        <v>530</v>
      </c>
      <c r="D195" s="27" t="s">
        <v>100</v>
      </c>
      <c r="E195" s="27" t="s">
        <v>693</v>
      </c>
      <c r="F195" s="29" t="s">
        <v>694</v>
      </c>
      <c r="G195" s="27" t="s">
        <v>695</v>
      </c>
      <c r="H195" s="30" t="n">
        <v>18</v>
      </c>
      <c r="I195" s="27" t="s">
        <v>124</v>
      </c>
      <c r="J195" s="29" t="s">
        <v>696</v>
      </c>
      <c r="K195" s="29" t="s">
        <v>106</v>
      </c>
      <c r="L195" s="31" t="s">
        <v>107</v>
      </c>
    </row>
    <row r="196" customFormat="false" ht="15" hidden="false" customHeight="false" outlineLevel="0" collapsed="false">
      <c r="A196" s="21" t="s">
        <v>697</v>
      </c>
      <c r="B196" s="5" t="s">
        <v>698</v>
      </c>
      <c r="C196" s="22" t="n">
        <v>534</v>
      </c>
      <c r="D196" s="5" t="s">
        <v>100</v>
      </c>
      <c r="E196" s="5" t="s">
        <v>117</v>
      </c>
      <c r="F196" s="23" t="s">
        <v>699</v>
      </c>
      <c r="G196" s="5" t="s">
        <v>617</v>
      </c>
      <c r="H196" s="24" t="n">
        <v>17</v>
      </c>
      <c r="I196" s="5" t="s">
        <v>124</v>
      </c>
      <c r="J196" s="23" t="s">
        <v>618</v>
      </c>
      <c r="K196" s="23" t="s">
        <v>106</v>
      </c>
      <c r="L196" s="25" t="s">
        <v>107</v>
      </c>
    </row>
    <row r="197" customFormat="false" ht="15" hidden="false" customHeight="false" outlineLevel="0" collapsed="false">
      <c r="A197" s="26" t="s">
        <v>700</v>
      </c>
      <c r="B197" s="27" t="s">
        <v>701</v>
      </c>
      <c r="C197" s="28" t="n">
        <v>973.9</v>
      </c>
      <c r="D197" s="27" t="s">
        <v>246</v>
      </c>
      <c r="E197" s="27" t="s">
        <v>117</v>
      </c>
      <c r="F197" s="29" t="s">
        <v>702</v>
      </c>
      <c r="G197" s="27" t="s">
        <v>703</v>
      </c>
      <c r="H197" s="30" t="n">
        <v>69</v>
      </c>
      <c r="I197" s="27" t="s">
        <v>270</v>
      </c>
      <c r="J197" s="29" t="s">
        <v>704</v>
      </c>
      <c r="K197" s="29" t="s">
        <v>521</v>
      </c>
      <c r="L197" s="31" t="s">
        <v>107</v>
      </c>
    </row>
    <row r="198" customFormat="false" ht="15" hidden="false" customHeight="false" outlineLevel="0" collapsed="false">
      <c r="A198" s="21" t="s">
        <v>705</v>
      </c>
      <c r="B198" s="5" t="s">
        <v>701</v>
      </c>
      <c r="C198" s="33" t="n">
        <v>940.3</v>
      </c>
      <c r="D198" s="5" t="s">
        <v>246</v>
      </c>
      <c r="E198" s="5" t="s">
        <v>157</v>
      </c>
      <c r="F198" s="23" t="s">
        <v>706</v>
      </c>
      <c r="G198" s="5" t="s">
        <v>703</v>
      </c>
      <c r="H198" s="24" t="n">
        <v>69</v>
      </c>
      <c r="I198" s="5" t="s">
        <v>270</v>
      </c>
      <c r="J198" s="23" t="s">
        <v>704</v>
      </c>
      <c r="K198" s="23" t="s">
        <v>521</v>
      </c>
      <c r="L198" s="25" t="s">
        <v>107</v>
      </c>
    </row>
    <row r="199" customFormat="false" ht="15" hidden="false" customHeight="false" outlineLevel="0" collapsed="false">
      <c r="A199" s="26" t="s">
        <v>707</v>
      </c>
      <c r="B199" s="27" t="s">
        <v>708</v>
      </c>
      <c r="C199" s="28" t="n">
        <v>91.7</v>
      </c>
      <c r="D199" s="27" t="s">
        <v>246</v>
      </c>
      <c r="E199" s="27" t="s">
        <v>117</v>
      </c>
      <c r="F199" s="29" t="s">
        <v>709</v>
      </c>
      <c r="G199" s="27" t="s">
        <v>703</v>
      </c>
      <c r="H199" s="30" t="n">
        <v>70</v>
      </c>
      <c r="I199" s="27" t="s">
        <v>270</v>
      </c>
      <c r="J199" s="29" t="s">
        <v>704</v>
      </c>
      <c r="K199" s="29" t="s">
        <v>521</v>
      </c>
      <c r="L199" s="31" t="s">
        <v>107</v>
      </c>
    </row>
    <row r="200" customFormat="false" ht="15" hidden="false" customHeight="false" outlineLevel="0" collapsed="false">
      <c r="A200" s="21" t="s">
        <v>710</v>
      </c>
      <c r="B200" s="5" t="s">
        <v>708</v>
      </c>
      <c r="C200" s="33" t="n">
        <v>92.6</v>
      </c>
      <c r="D200" s="5" t="s">
        <v>246</v>
      </c>
      <c r="E200" s="5" t="s">
        <v>157</v>
      </c>
      <c r="F200" s="23" t="s">
        <v>711</v>
      </c>
      <c r="G200" s="5" t="s">
        <v>703</v>
      </c>
      <c r="H200" s="24" t="n">
        <v>70</v>
      </c>
      <c r="I200" s="5" t="s">
        <v>270</v>
      </c>
      <c r="J200" s="23" t="s">
        <v>704</v>
      </c>
      <c r="K200" s="23" t="s">
        <v>521</v>
      </c>
      <c r="L200" s="25" t="s">
        <v>107</v>
      </c>
    </row>
    <row r="201" customFormat="false" ht="15" hidden="false" customHeight="false" outlineLevel="0" collapsed="false">
      <c r="A201" s="26" t="s">
        <v>712</v>
      </c>
      <c r="B201" s="27" t="s">
        <v>713</v>
      </c>
      <c r="C201" s="32" t="n">
        <v>39778</v>
      </c>
      <c r="D201" s="27" t="s">
        <v>714</v>
      </c>
      <c r="E201" s="27" t="s">
        <v>117</v>
      </c>
      <c r="F201" s="29" t="s">
        <v>715</v>
      </c>
      <c r="G201" s="27" t="s">
        <v>703</v>
      </c>
      <c r="H201" s="30" t="n">
        <v>284</v>
      </c>
      <c r="I201" s="27" t="s">
        <v>270</v>
      </c>
      <c r="J201" s="29" t="s">
        <v>704</v>
      </c>
      <c r="K201" s="29" t="s">
        <v>521</v>
      </c>
      <c r="L201" s="31" t="s">
        <v>107</v>
      </c>
    </row>
    <row r="202" customFormat="false" ht="15" hidden="false" customHeight="false" outlineLevel="0" collapsed="false">
      <c r="A202" s="21" t="s">
        <v>716</v>
      </c>
      <c r="B202" s="5" t="s">
        <v>717</v>
      </c>
      <c r="C202" s="22" t="n">
        <v>23644</v>
      </c>
      <c r="D202" s="5" t="s">
        <v>714</v>
      </c>
      <c r="E202" s="5" t="s">
        <v>117</v>
      </c>
      <c r="F202" s="23" t="s">
        <v>718</v>
      </c>
      <c r="G202" s="5" t="s">
        <v>703</v>
      </c>
      <c r="H202" s="24" t="n">
        <v>284</v>
      </c>
      <c r="I202" s="5" t="s">
        <v>270</v>
      </c>
      <c r="J202" s="23" t="s">
        <v>704</v>
      </c>
      <c r="K202" s="23" t="s">
        <v>521</v>
      </c>
      <c r="L202" s="25" t="s">
        <v>107</v>
      </c>
    </row>
    <row r="203" customFormat="false" ht="15" hidden="false" customHeight="false" outlineLevel="0" collapsed="false">
      <c r="A203" s="26" t="s">
        <v>719</v>
      </c>
      <c r="B203" s="27" t="s">
        <v>720</v>
      </c>
      <c r="C203" s="32" t="n">
        <v>1036916</v>
      </c>
      <c r="D203" s="27" t="s">
        <v>714</v>
      </c>
      <c r="E203" s="27" t="s">
        <v>137</v>
      </c>
      <c r="F203" s="29" t="s">
        <v>721</v>
      </c>
      <c r="G203" s="27" t="s">
        <v>703</v>
      </c>
      <c r="H203" s="30" t="n">
        <v>284</v>
      </c>
      <c r="I203" s="27" t="s">
        <v>270</v>
      </c>
      <c r="J203" s="29" t="s">
        <v>704</v>
      </c>
      <c r="K203" s="29" t="s">
        <v>521</v>
      </c>
      <c r="L203" s="31" t="s">
        <v>107</v>
      </c>
    </row>
    <row r="204" customFormat="false" ht="15" hidden="false" customHeight="false" outlineLevel="0" collapsed="false">
      <c r="A204" s="21" t="s">
        <v>722</v>
      </c>
      <c r="B204" s="5" t="s">
        <v>723</v>
      </c>
      <c r="C204" s="22" t="n">
        <v>3</v>
      </c>
      <c r="D204" s="5" t="s">
        <v>266</v>
      </c>
      <c r="E204" s="5" t="s">
        <v>267</v>
      </c>
      <c r="F204" s="23" t="s">
        <v>268</v>
      </c>
      <c r="G204" s="5" t="s">
        <v>703</v>
      </c>
      <c r="H204" s="24" t="n">
        <v>68</v>
      </c>
      <c r="I204" s="5" t="s">
        <v>270</v>
      </c>
      <c r="J204" s="23" t="s">
        <v>704</v>
      </c>
      <c r="K204" s="23" t="s">
        <v>521</v>
      </c>
      <c r="L204" s="25" t="s">
        <v>107</v>
      </c>
    </row>
    <row r="205" customFormat="false" ht="15" hidden="false" customHeight="false" outlineLevel="0" collapsed="false">
      <c r="A205" s="26" t="s">
        <v>724</v>
      </c>
      <c r="B205" s="27" t="s">
        <v>725</v>
      </c>
      <c r="C205" s="32" t="n">
        <v>3</v>
      </c>
      <c r="D205" s="27" t="s">
        <v>130</v>
      </c>
      <c r="E205" s="27" t="s">
        <v>188</v>
      </c>
      <c r="F205" s="29" t="s">
        <v>726</v>
      </c>
      <c r="G205" s="27" t="s">
        <v>703</v>
      </c>
      <c r="H205" s="30" t="n">
        <v>68</v>
      </c>
      <c r="I205" s="27" t="s">
        <v>104</v>
      </c>
      <c r="J205" s="29" t="s">
        <v>704</v>
      </c>
      <c r="K205" s="29" t="s">
        <v>521</v>
      </c>
      <c r="L205" s="31" t="s">
        <v>107</v>
      </c>
    </row>
    <row r="206" customFormat="false" ht="15" hidden="false" customHeight="false" outlineLevel="0" collapsed="false">
      <c r="A206" s="21" t="s">
        <v>727</v>
      </c>
      <c r="B206" s="5" t="s">
        <v>728</v>
      </c>
      <c r="C206" s="22" t="n">
        <v>12736</v>
      </c>
      <c r="D206" s="5" t="s">
        <v>714</v>
      </c>
      <c r="E206" s="5" t="s">
        <v>137</v>
      </c>
      <c r="F206" s="23" t="s">
        <v>729</v>
      </c>
      <c r="G206" s="5" t="s">
        <v>703</v>
      </c>
      <c r="H206" s="24" t="n">
        <v>251</v>
      </c>
      <c r="I206" s="5" t="s">
        <v>254</v>
      </c>
      <c r="J206" s="23" t="s">
        <v>704</v>
      </c>
      <c r="K206" s="23" t="s">
        <v>521</v>
      </c>
      <c r="L206" s="25" t="s">
        <v>107</v>
      </c>
    </row>
    <row r="207" customFormat="false" ht="15" hidden="false" customHeight="false" outlineLevel="0" collapsed="false">
      <c r="A207" s="26" t="s">
        <v>730</v>
      </c>
      <c r="B207" s="27" t="s">
        <v>731</v>
      </c>
      <c r="C207" s="32" t="n">
        <v>38256</v>
      </c>
      <c r="D207" s="27" t="s">
        <v>714</v>
      </c>
      <c r="E207" s="27" t="s">
        <v>137</v>
      </c>
      <c r="F207" s="29" t="s">
        <v>732</v>
      </c>
      <c r="G207" s="27" t="s">
        <v>703</v>
      </c>
      <c r="H207" s="30" t="n">
        <v>251</v>
      </c>
      <c r="I207" s="27" t="s">
        <v>254</v>
      </c>
      <c r="J207" s="29" t="s">
        <v>704</v>
      </c>
      <c r="K207" s="29" t="s">
        <v>521</v>
      </c>
      <c r="L207" s="31" t="s">
        <v>107</v>
      </c>
    </row>
    <row r="208" customFormat="false" ht="15" hidden="false" customHeight="false" outlineLevel="0" collapsed="false">
      <c r="A208" s="21" t="s">
        <v>733</v>
      </c>
      <c r="B208" s="5" t="s">
        <v>734</v>
      </c>
      <c r="C208" s="22" t="n">
        <v>5193290</v>
      </c>
      <c r="D208" s="5" t="s">
        <v>714</v>
      </c>
      <c r="E208" s="5" t="s">
        <v>117</v>
      </c>
      <c r="F208" s="23" t="s">
        <v>735</v>
      </c>
      <c r="G208" s="5" t="s">
        <v>736</v>
      </c>
      <c r="H208" s="24" t="n">
        <v>34</v>
      </c>
      <c r="I208" s="5" t="s">
        <v>224</v>
      </c>
      <c r="J208" s="23" t="s">
        <v>737</v>
      </c>
      <c r="K208" s="23" t="s">
        <v>521</v>
      </c>
      <c r="L208" s="25" t="s">
        <v>107</v>
      </c>
    </row>
    <row r="209" customFormat="false" ht="15" hidden="false" customHeight="false" outlineLevel="0" collapsed="false">
      <c r="A209" s="26" t="s">
        <v>738</v>
      </c>
      <c r="B209" s="27" t="s">
        <v>739</v>
      </c>
      <c r="C209" s="32" t="n">
        <v>837361</v>
      </c>
      <c r="D209" s="27" t="s">
        <v>714</v>
      </c>
      <c r="E209" s="27" t="s">
        <v>117</v>
      </c>
      <c r="F209" s="29" t="s">
        <v>740</v>
      </c>
      <c r="G209" s="27" t="s">
        <v>736</v>
      </c>
      <c r="H209" s="30" t="n">
        <v>34</v>
      </c>
      <c r="I209" s="27" t="s">
        <v>224</v>
      </c>
      <c r="J209" s="29" t="s">
        <v>737</v>
      </c>
      <c r="K209" s="29" t="s">
        <v>521</v>
      </c>
      <c r="L209" s="31" t="s">
        <v>107</v>
      </c>
    </row>
    <row r="210" customFormat="false" ht="15" hidden="false" customHeight="false" outlineLevel="0" collapsed="false">
      <c r="A210" s="21" t="s">
        <v>741</v>
      </c>
      <c r="B210" s="5" t="s">
        <v>742</v>
      </c>
      <c r="C210" s="22" t="n">
        <v>1343776</v>
      </c>
      <c r="D210" s="5" t="s">
        <v>714</v>
      </c>
      <c r="E210" s="5" t="s">
        <v>117</v>
      </c>
      <c r="F210" s="23" t="s">
        <v>743</v>
      </c>
      <c r="G210" s="5" t="s">
        <v>736</v>
      </c>
      <c r="H210" s="24" t="n">
        <v>34</v>
      </c>
      <c r="I210" s="5" t="s">
        <v>224</v>
      </c>
      <c r="J210" s="23" t="s">
        <v>737</v>
      </c>
      <c r="K210" s="23" t="s">
        <v>521</v>
      </c>
      <c r="L210" s="25" t="s">
        <v>107</v>
      </c>
    </row>
    <row r="211" customFormat="false" ht="15" hidden="false" customHeight="false" outlineLevel="0" collapsed="false">
      <c r="A211" s="26" t="s">
        <v>744</v>
      </c>
      <c r="B211" s="27" t="s">
        <v>745</v>
      </c>
      <c r="C211" s="32" t="n">
        <v>137454</v>
      </c>
      <c r="D211" s="27" t="s">
        <v>714</v>
      </c>
      <c r="E211" s="27" t="s">
        <v>117</v>
      </c>
      <c r="F211" s="29" t="s">
        <v>746</v>
      </c>
      <c r="G211" s="27" t="s">
        <v>736</v>
      </c>
      <c r="H211" s="30" t="n">
        <v>34</v>
      </c>
      <c r="I211" s="27" t="s">
        <v>224</v>
      </c>
      <c r="J211" s="29" t="s">
        <v>737</v>
      </c>
      <c r="K211" s="29" t="s">
        <v>521</v>
      </c>
      <c r="L211" s="31" t="s">
        <v>107</v>
      </c>
    </row>
    <row r="212" customFormat="false" ht="15" hidden="false" customHeight="false" outlineLevel="0" collapsed="false">
      <c r="A212" s="21" t="s">
        <v>747</v>
      </c>
      <c r="B212" s="5" t="s">
        <v>748</v>
      </c>
      <c r="C212" s="33" t="n">
        <v>6030.8</v>
      </c>
      <c r="D212" s="5" t="s">
        <v>246</v>
      </c>
      <c r="E212" s="5" t="s">
        <v>117</v>
      </c>
      <c r="F212" s="23" t="s">
        <v>749</v>
      </c>
      <c r="G212" s="5" t="s">
        <v>736</v>
      </c>
      <c r="H212" s="24" t="n">
        <v>33</v>
      </c>
      <c r="I212" s="5" t="s">
        <v>224</v>
      </c>
      <c r="J212" s="23" t="s">
        <v>737</v>
      </c>
      <c r="K212" s="23" t="s">
        <v>521</v>
      </c>
      <c r="L212" s="25" t="s">
        <v>107</v>
      </c>
    </row>
    <row r="213" customFormat="false" ht="15" hidden="false" customHeight="false" outlineLevel="0" collapsed="false">
      <c r="A213" s="26" t="s">
        <v>750</v>
      </c>
      <c r="B213" s="27" t="s">
        <v>751</v>
      </c>
      <c r="C213" s="32" t="n">
        <v>1169939</v>
      </c>
      <c r="D213" s="27" t="s">
        <v>714</v>
      </c>
      <c r="E213" s="27" t="s">
        <v>117</v>
      </c>
      <c r="F213" s="29" t="s">
        <v>752</v>
      </c>
      <c r="G213" s="27" t="s">
        <v>736</v>
      </c>
      <c r="H213" s="30" t="n">
        <v>38</v>
      </c>
      <c r="I213" s="27" t="s">
        <v>224</v>
      </c>
      <c r="J213" s="29" t="s">
        <v>737</v>
      </c>
      <c r="K213" s="29" t="s">
        <v>521</v>
      </c>
      <c r="L213" s="31" t="s">
        <v>107</v>
      </c>
    </row>
    <row r="214" customFormat="false" ht="15" hidden="false" customHeight="false" outlineLevel="0" collapsed="false">
      <c r="A214" s="21" t="s">
        <v>753</v>
      </c>
      <c r="B214" s="5" t="s">
        <v>754</v>
      </c>
      <c r="C214" s="33" t="n">
        <v>19.4</v>
      </c>
      <c r="D214" s="5" t="s">
        <v>296</v>
      </c>
      <c r="E214" s="5" t="s">
        <v>117</v>
      </c>
      <c r="F214" s="23" t="s">
        <v>755</v>
      </c>
      <c r="G214" s="5" t="s">
        <v>736</v>
      </c>
      <c r="H214" s="24" t="n">
        <v>38</v>
      </c>
      <c r="I214" s="5" t="s">
        <v>224</v>
      </c>
      <c r="J214" s="23" t="s">
        <v>737</v>
      </c>
      <c r="K214" s="23" t="s">
        <v>521</v>
      </c>
      <c r="L214" s="25" t="s">
        <v>107</v>
      </c>
    </row>
    <row r="215" customFormat="false" ht="15" hidden="false" customHeight="false" outlineLevel="0" collapsed="false">
      <c r="A215" s="26" t="s">
        <v>756</v>
      </c>
      <c r="B215" s="27" t="s">
        <v>595</v>
      </c>
      <c r="C215" s="32" t="n">
        <v>5747</v>
      </c>
      <c r="D215" s="27" t="s">
        <v>100</v>
      </c>
      <c r="E215" s="27" t="s">
        <v>101</v>
      </c>
      <c r="F215" s="29" t="s">
        <v>757</v>
      </c>
      <c r="G215" s="27" t="s">
        <v>213</v>
      </c>
      <c r="H215" s="30" t="n">
        <v>19</v>
      </c>
      <c r="I215" s="27" t="s">
        <v>224</v>
      </c>
      <c r="J215" s="29" t="s">
        <v>214</v>
      </c>
      <c r="K215" s="29" t="s">
        <v>106</v>
      </c>
      <c r="L215" s="31" t="s">
        <v>107</v>
      </c>
    </row>
    <row r="216" customFormat="false" ht="15" hidden="false" customHeight="false" outlineLevel="0" collapsed="false">
      <c r="A216" s="21" t="s">
        <v>758</v>
      </c>
      <c r="B216" s="5" t="s">
        <v>606</v>
      </c>
      <c r="C216" s="22" t="n">
        <v>9905</v>
      </c>
      <c r="D216" s="5" t="s">
        <v>100</v>
      </c>
      <c r="E216" s="5" t="s">
        <v>101</v>
      </c>
      <c r="F216" s="23" t="s">
        <v>759</v>
      </c>
      <c r="G216" s="5" t="s">
        <v>213</v>
      </c>
      <c r="H216" s="24" t="n">
        <v>19</v>
      </c>
      <c r="I216" s="5" t="s">
        <v>224</v>
      </c>
      <c r="J216" s="23" t="s">
        <v>214</v>
      </c>
      <c r="K216" s="23" t="s">
        <v>106</v>
      </c>
      <c r="L216" s="25" t="s">
        <v>107</v>
      </c>
    </row>
    <row r="217" customFormat="false" ht="15" hidden="false" customHeight="false" outlineLevel="0" collapsed="false">
      <c r="A217" s="26" t="s">
        <v>760</v>
      </c>
      <c r="B217" s="27" t="s">
        <v>630</v>
      </c>
      <c r="C217" s="32" t="n">
        <v>6201</v>
      </c>
      <c r="D217" s="27" t="s">
        <v>100</v>
      </c>
      <c r="E217" s="27" t="s">
        <v>101</v>
      </c>
      <c r="F217" s="29" t="s">
        <v>761</v>
      </c>
      <c r="G217" s="27" t="s">
        <v>213</v>
      </c>
      <c r="H217" s="30" t="n">
        <v>10</v>
      </c>
      <c r="I217" s="27" t="s">
        <v>224</v>
      </c>
      <c r="J217" s="29" t="s">
        <v>214</v>
      </c>
      <c r="K217" s="29" t="s">
        <v>106</v>
      </c>
      <c r="L217" s="31" t="s">
        <v>107</v>
      </c>
    </row>
    <row r="218" customFormat="false" ht="15" hidden="false" customHeight="false" outlineLevel="0" collapsed="false">
      <c r="A218" s="21" t="s">
        <v>762</v>
      </c>
      <c r="B218" s="5" t="s">
        <v>633</v>
      </c>
      <c r="C218" s="33" t="n">
        <v>4.1</v>
      </c>
      <c r="D218" s="5" t="s">
        <v>296</v>
      </c>
      <c r="E218" s="5" t="s">
        <v>101</v>
      </c>
      <c r="F218" s="23" t="s">
        <v>599</v>
      </c>
      <c r="G218" s="5" t="s">
        <v>213</v>
      </c>
      <c r="H218" s="24" t="n">
        <v>10</v>
      </c>
      <c r="I218" s="5" t="s">
        <v>224</v>
      </c>
      <c r="J218" s="23" t="s">
        <v>214</v>
      </c>
      <c r="K218" s="23" t="s">
        <v>106</v>
      </c>
      <c r="L218" s="25" t="s">
        <v>107</v>
      </c>
    </row>
    <row r="219" customFormat="false" ht="15" hidden="false" customHeight="false" outlineLevel="0" collapsed="false">
      <c r="A219" s="26" t="s">
        <v>763</v>
      </c>
      <c r="B219" s="27" t="s">
        <v>639</v>
      </c>
      <c r="C219" s="32" t="n">
        <v>797</v>
      </c>
      <c r="D219" s="27" t="s">
        <v>100</v>
      </c>
      <c r="E219" s="27" t="s">
        <v>101</v>
      </c>
      <c r="F219" s="29" t="s">
        <v>764</v>
      </c>
      <c r="G219" s="27" t="s">
        <v>213</v>
      </c>
      <c r="H219" s="30" t="n">
        <v>10</v>
      </c>
      <c r="I219" s="27" t="s">
        <v>224</v>
      </c>
      <c r="J219" s="29" t="s">
        <v>214</v>
      </c>
      <c r="K219" s="29" t="s">
        <v>106</v>
      </c>
      <c r="L219" s="31" t="s">
        <v>107</v>
      </c>
    </row>
    <row r="220" customFormat="false" ht="15" hidden="false" customHeight="false" outlineLevel="0" collapsed="false">
      <c r="A220" s="21" t="s">
        <v>765</v>
      </c>
      <c r="B220" s="5" t="s">
        <v>636</v>
      </c>
      <c r="C220" s="33" t="n">
        <v>6.2</v>
      </c>
      <c r="D220" s="5" t="s">
        <v>296</v>
      </c>
      <c r="E220" s="5" t="s">
        <v>101</v>
      </c>
      <c r="F220" s="23" t="s">
        <v>766</v>
      </c>
      <c r="G220" s="5" t="s">
        <v>213</v>
      </c>
      <c r="H220" s="24" t="n">
        <v>10</v>
      </c>
      <c r="I220" s="5" t="s">
        <v>224</v>
      </c>
      <c r="J220" s="23" t="s">
        <v>214</v>
      </c>
      <c r="K220" s="23" t="s">
        <v>106</v>
      </c>
      <c r="L220" s="25" t="s">
        <v>107</v>
      </c>
    </row>
    <row r="221" customFormat="false" ht="15" hidden="false" customHeight="false" outlineLevel="0" collapsed="false">
      <c r="A221" s="26" t="s">
        <v>767</v>
      </c>
      <c r="B221" s="27" t="s">
        <v>645</v>
      </c>
      <c r="C221" s="32" t="n">
        <v>1759</v>
      </c>
      <c r="D221" s="27" t="s">
        <v>100</v>
      </c>
      <c r="E221" s="27" t="s">
        <v>101</v>
      </c>
      <c r="F221" s="29" t="s">
        <v>768</v>
      </c>
      <c r="G221" s="27" t="s">
        <v>213</v>
      </c>
      <c r="H221" s="30" t="n">
        <v>22</v>
      </c>
      <c r="I221" s="27" t="s">
        <v>224</v>
      </c>
      <c r="J221" s="29" t="s">
        <v>214</v>
      </c>
      <c r="K221" s="29" t="s">
        <v>106</v>
      </c>
      <c r="L221" s="31" t="s">
        <v>107</v>
      </c>
    </row>
    <row r="222" customFormat="false" ht="15" hidden="false" customHeight="false" outlineLevel="0" collapsed="false">
      <c r="A222" s="21" t="s">
        <v>769</v>
      </c>
      <c r="B222" s="5" t="s">
        <v>770</v>
      </c>
      <c r="C222" s="33" t="n">
        <v>11.3</v>
      </c>
      <c r="D222" s="5" t="s">
        <v>296</v>
      </c>
      <c r="E222" s="5" t="s">
        <v>101</v>
      </c>
      <c r="F222" s="23" t="s">
        <v>771</v>
      </c>
      <c r="G222" s="5" t="s">
        <v>213</v>
      </c>
      <c r="H222" s="24" t="n">
        <v>22</v>
      </c>
      <c r="I222" s="5" t="s">
        <v>224</v>
      </c>
      <c r="J222" s="23" t="s">
        <v>214</v>
      </c>
      <c r="K222" s="23" t="s">
        <v>106</v>
      </c>
      <c r="L222" s="25" t="s">
        <v>107</v>
      </c>
    </row>
    <row r="223" customFormat="false" ht="15" hidden="false" customHeight="false" outlineLevel="0" collapsed="false">
      <c r="A223" s="26" t="s">
        <v>772</v>
      </c>
      <c r="B223" s="27" t="s">
        <v>773</v>
      </c>
      <c r="C223" s="32" t="n">
        <v>3</v>
      </c>
      <c r="D223" s="27" t="s">
        <v>127</v>
      </c>
      <c r="E223" s="27" t="s">
        <v>663</v>
      </c>
      <c r="F223" s="29" t="s">
        <v>131</v>
      </c>
      <c r="G223" s="27" t="s">
        <v>113</v>
      </c>
      <c r="H223" s="30" t="n">
        <v>17</v>
      </c>
      <c r="I223" s="27" t="s">
        <v>224</v>
      </c>
      <c r="J223" s="29" t="s">
        <v>115</v>
      </c>
      <c r="K223" s="29" t="s">
        <v>106</v>
      </c>
      <c r="L223" s="31" t="s">
        <v>107</v>
      </c>
    </row>
    <row r="224" customFormat="false" ht="15" hidden="false" customHeight="false" outlineLevel="0" collapsed="false">
      <c r="A224" s="21" t="s">
        <v>774</v>
      </c>
      <c r="B224" s="5" t="s">
        <v>775</v>
      </c>
      <c r="C224" s="33" t="n">
        <v>4.9</v>
      </c>
      <c r="D224" s="5" t="s">
        <v>127</v>
      </c>
      <c r="E224" s="5" t="s">
        <v>153</v>
      </c>
      <c r="F224" s="23" t="s">
        <v>776</v>
      </c>
      <c r="G224" s="5" t="s">
        <v>113</v>
      </c>
      <c r="H224" s="24" t="n">
        <v>17</v>
      </c>
      <c r="I224" s="5" t="s">
        <v>224</v>
      </c>
      <c r="J224" s="23" t="s">
        <v>115</v>
      </c>
      <c r="K224" s="23" t="s">
        <v>106</v>
      </c>
      <c r="L224" s="25" t="s">
        <v>107</v>
      </c>
    </row>
    <row r="225" customFormat="false" ht="15" hidden="false" customHeight="false" outlineLevel="0" collapsed="false">
      <c r="A225" s="26" t="s">
        <v>777</v>
      </c>
      <c r="B225" s="27" t="s">
        <v>778</v>
      </c>
      <c r="C225" s="32" t="n">
        <v>135328</v>
      </c>
      <c r="D225" s="27" t="s">
        <v>714</v>
      </c>
      <c r="E225" s="27" t="s">
        <v>137</v>
      </c>
      <c r="F225" s="29" t="s">
        <v>779</v>
      </c>
      <c r="G225" s="27" t="s">
        <v>736</v>
      </c>
      <c r="H225" s="30" t="n">
        <v>43</v>
      </c>
      <c r="I225" s="27" t="s">
        <v>254</v>
      </c>
      <c r="J225" s="29" t="s">
        <v>737</v>
      </c>
      <c r="K225" s="29" t="s">
        <v>521</v>
      </c>
      <c r="L225" s="31" t="s">
        <v>107</v>
      </c>
    </row>
    <row r="226" customFormat="false" ht="15" hidden="false" customHeight="false" outlineLevel="0" collapsed="false">
      <c r="A226" s="21" t="s">
        <v>780</v>
      </c>
      <c r="B226" s="5" t="s">
        <v>781</v>
      </c>
      <c r="C226" s="22" t="n">
        <v>95369</v>
      </c>
      <c r="D226" s="5" t="s">
        <v>714</v>
      </c>
      <c r="E226" s="5" t="s">
        <v>137</v>
      </c>
      <c r="F226" s="23" t="s">
        <v>782</v>
      </c>
      <c r="G226" s="5" t="s">
        <v>736</v>
      </c>
      <c r="H226" s="24" t="n">
        <v>43</v>
      </c>
      <c r="I226" s="5" t="s">
        <v>254</v>
      </c>
      <c r="J226" s="23" t="s">
        <v>737</v>
      </c>
      <c r="K226" s="23" t="s">
        <v>521</v>
      </c>
      <c r="L226" s="25" t="s">
        <v>107</v>
      </c>
    </row>
    <row r="227" customFormat="false" ht="15" hidden="false" customHeight="false" outlineLevel="0" collapsed="false">
      <c r="A227" s="26" t="s">
        <v>783</v>
      </c>
      <c r="B227" s="27" t="s">
        <v>784</v>
      </c>
      <c r="C227" s="32" t="n">
        <v>230697</v>
      </c>
      <c r="D227" s="27" t="s">
        <v>714</v>
      </c>
      <c r="E227" s="27" t="s">
        <v>137</v>
      </c>
      <c r="F227" s="29" t="s">
        <v>785</v>
      </c>
      <c r="G227" s="27" t="s">
        <v>736</v>
      </c>
      <c r="H227" s="30" t="n">
        <v>43</v>
      </c>
      <c r="I227" s="27" t="s">
        <v>254</v>
      </c>
      <c r="J227" s="29" t="s">
        <v>737</v>
      </c>
      <c r="K227" s="29" t="s">
        <v>521</v>
      </c>
      <c r="L227" s="31" t="s">
        <v>107</v>
      </c>
    </row>
    <row r="228" customFormat="false" ht="15" hidden="false" customHeight="false" outlineLevel="0" collapsed="false">
      <c r="A228" s="21" t="s">
        <v>786</v>
      </c>
      <c r="B228" s="5" t="s">
        <v>787</v>
      </c>
      <c r="C228" s="22" t="n">
        <v>826315</v>
      </c>
      <c r="D228" s="5" t="s">
        <v>714</v>
      </c>
      <c r="E228" s="5" t="s">
        <v>137</v>
      </c>
      <c r="F228" s="23" t="s">
        <v>788</v>
      </c>
      <c r="G228" s="5" t="s">
        <v>736</v>
      </c>
      <c r="H228" s="24" t="n">
        <v>53</v>
      </c>
      <c r="I228" s="5" t="s">
        <v>224</v>
      </c>
      <c r="J228" s="23" t="s">
        <v>737</v>
      </c>
      <c r="K228" s="23" t="s">
        <v>521</v>
      </c>
      <c r="L228" s="25" t="s">
        <v>107</v>
      </c>
    </row>
    <row r="229" customFormat="false" ht="15" hidden="false" customHeight="false" outlineLevel="0" collapsed="false">
      <c r="A229" s="26" t="s">
        <v>789</v>
      </c>
      <c r="B229" s="27" t="s">
        <v>790</v>
      </c>
      <c r="C229" s="32" t="n">
        <v>127363</v>
      </c>
      <c r="D229" s="27" t="s">
        <v>714</v>
      </c>
      <c r="E229" s="27" t="s">
        <v>137</v>
      </c>
      <c r="F229" s="29" t="s">
        <v>791</v>
      </c>
      <c r="G229" s="27" t="s">
        <v>736</v>
      </c>
      <c r="H229" s="30" t="n">
        <v>53</v>
      </c>
      <c r="I229" s="27" t="s">
        <v>224</v>
      </c>
      <c r="J229" s="29" t="s">
        <v>737</v>
      </c>
      <c r="K229" s="29" t="s">
        <v>521</v>
      </c>
      <c r="L229" s="31" t="s">
        <v>107</v>
      </c>
    </row>
    <row r="230" customFormat="false" ht="15" hidden="false" customHeight="false" outlineLevel="0" collapsed="false">
      <c r="A230" s="21" t="s">
        <v>792</v>
      </c>
      <c r="B230" s="5" t="s">
        <v>793</v>
      </c>
      <c r="C230" s="22" t="n">
        <v>2763563</v>
      </c>
      <c r="D230" s="5" t="s">
        <v>714</v>
      </c>
      <c r="E230" s="5" t="s">
        <v>137</v>
      </c>
      <c r="F230" s="23" t="s">
        <v>794</v>
      </c>
      <c r="G230" s="5" t="s">
        <v>736</v>
      </c>
      <c r="H230" s="24" t="n">
        <v>53</v>
      </c>
      <c r="I230" s="5" t="s">
        <v>224</v>
      </c>
      <c r="J230" s="23" t="s">
        <v>737</v>
      </c>
      <c r="K230" s="23" t="s">
        <v>521</v>
      </c>
      <c r="L230" s="25" t="s">
        <v>107</v>
      </c>
    </row>
    <row r="231" customFormat="false" ht="15" hidden="false" customHeight="false" outlineLevel="0" collapsed="false">
      <c r="A231" s="26" t="s">
        <v>795</v>
      </c>
      <c r="B231" s="27" t="s">
        <v>796</v>
      </c>
      <c r="C231" s="32" t="n">
        <v>12600</v>
      </c>
      <c r="D231" s="27" t="s">
        <v>714</v>
      </c>
      <c r="E231" s="27" t="s">
        <v>137</v>
      </c>
      <c r="F231" s="29" t="s">
        <v>797</v>
      </c>
      <c r="G231" s="27" t="s">
        <v>736</v>
      </c>
      <c r="H231" s="30" t="n">
        <v>53</v>
      </c>
      <c r="I231" s="27" t="s">
        <v>224</v>
      </c>
      <c r="J231" s="29" t="s">
        <v>737</v>
      </c>
      <c r="K231" s="29" t="s">
        <v>521</v>
      </c>
      <c r="L231" s="31" t="s">
        <v>107</v>
      </c>
    </row>
    <row r="232" customFormat="false" ht="15" hidden="false" customHeight="false" outlineLevel="0" collapsed="false">
      <c r="A232" s="21" t="s">
        <v>798</v>
      </c>
      <c r="B232" s="5" t="s">
        <v>799</v>
      </c>
      <c r="C232" s="33" t="n">
        <v>18.5</v>
      </c>
      <c r="D232" s="5" t="s">
        <v>296</v>
      </c>
      <c r="E232" s="5" t="s">
        <v>524</v>
      </c>
      <c r="F232" s="23" t="s">
        <v>800</v>
      </c>
      <c r="G232" s="5" t="s">
        <v>519</v>
      </c>
      <c r="H232" s="24" t="n">
        <v>2</v>
      </c>
      <c r="I232" s="5" t="s">
        <v>104</v>
      </c>
      <c r="J232" s="23" t="s">
        <v>520</v>
      </c>
      <c r="K232" s="23" t="s">
        <v>521</v>
      </c>
      <c r="L232" s="25" t="s">
        <v>107</v>
      </c>
    </row>
    <row r="233" customFormat="false" ht="15" hidden="false" customHeight="false" outlineLevel="0" collapsed="false">
      <c r="A233" s="26" t="s">
        <v>801</v>
      </c>
      <c r="B233" s="27" t="s">
        <v>799</v>
      </c>
      <c r="C233" s="28" t="n">
        <v>19.5</v>
      </c>
      <c r="D233" s="27" t="s">
        <v>296</v>
      </c>
      <c r="E233" s="27" t="s">
        <v>802</v>
      </c>
      <c r="F233" s="29" t="s">
        <v>803</v>
      </c>
      <c r="G233" s="27" t="s">
        <v>519</v>
      </c>
      <c r="H233" s="30" t="n">
        <v>2</v>
      </c>
      <c r="I233" s="27" t="s">
        <v>104</v>
      </c>
      <c r="J233" s="29" t="s">
        <v>520</v>
      </c>
      <c r="K233" s="29" t="s">
        <v>521</v>
      </c>
      <c r="L233" s="31" t="s">
        <v>107</v>
      </c>
    </row>
    <row r="234" customFormat="false" ht="15" hidden="false" customHeight="false" outlineLevel="0" collapsed="false">
      <c r="A234" s="21" t="s">
        <v>804</v>
      </c>
      <c r="B234" s="5" t="s">
        <v>805</v>
      </c>
      <c r="C234" s="33" t="n">
        <v>13.5</v>
      </c>
      <c r="D234" s="5" t="s">
        <v>296</v>
      </c>
      <c r="E234" s="5" t="s">
        <v>524</v>
      </c>
      <c r="F234" s="23" t="s">
        <v>806</v>
      </c>
      <c r="G234" s="5" t="s">
        <v>519</v>
      </c>
      <c r="H234" s="24" t="n">
        <v>2</v>
      </c>
      <c r="I234" s="5" t="s">
        <v>104</v>
      </c>
      <c r="J234" s="23" t="s">
        <v>520</v>
      </c>
      <c r="K234" s="23" t="s">
        <v>521</v>
      </c>
      <c r="L234" s="25" t="s">
        <v>107</v>
      </c>
    </row>
    <row r="235" customFormat="false" ht="15" hidden="false" customHeight="false" outlineLevel="0" collapsed="false">
      <c r="A235" s="26" t="s">
        <v>807</v>
      </c>
      <c r="B235" s="27" t="s">
        <v>805</v>
      </c>
      <c r="C235" s="28" t="n">
        <v>14.5</v>
      </c>
      <c r="D235" s="27" t="s">
        <v>296</v>
      </c>
      <c r="E235" s="27" t="s">
        <v>802</v>
      </c>
      <c r="F235" s="29" t="s">
        <v>808</v>
      </c>
      <c r="G235" s="27" t="s">
        <v>519</v>
      </c>
      <c r="H235" s="30" t="n">
        <v>2</v>
      </c>
      <c r="I235" s="27" t="s">
        <v>104</v>
      </c>
      <c r="J235" s="29" t="s">
        <v>520</v>
      </c>
      <c r="K235" s="29" t="s">
        <v>521</v>
      </c>
      <c r="L235" s="31" t="s">
        <v>107</v>
      </c>
    </row>
    <row r="236" customFormat="false" ht="15" hidden="false" customHeight="false" outlineLevel="0" collapsed="false">
      <c r="A236" s="21" t="s">
        <v>809</v>
      </c>
      <c r="B236" s="5" t="s">
        <v>810</v>
      </c>
      <c r="C236" s="33" t="n">
        <v>5.4</v>
      </c>
      <c r="D236" s="5" t="s">
        <v>130</v>
      </c>
      <c r="E236" s="5" t="s">
        <v>117</v>
      </c>
      <c r="F236" s="23" t="s">
        <v>811</v>
      </c>
      <c r="G236" s="5" t="s">
        <v>519</v>
      </c>
      <c r="H236" s="24" t="n">
        <v>2</v>
      </c>
      <c r="I236" s="5" t="s">
        <v>104</v>
      </c>
      <c r="J236" s="23" t="s">
        <v>520</v>
      </c>
      <c r="K236" s="23" t="s">
        <v>521</v>
      </c>
      <c r="L236" s="25" t="s">
        <v>107</v>
      </c>
    </row>
    <row r="237" customFormat="false" ht="15" hidden="false" customHeight="false" outlineLevel="0" collapsed="false">
      <c r="A237" s="26" t="s">
        <v>812</v>
      </c>
      <c r="B237" s="27" t="s">
        <v>813</v>
      </c>
      <c r="C237" s="32" t="n">
        <v>29518</v>
      </c>
      <c r="D237" s="27" t="s">
        <v>100</v>
      </c>
      <c r="E237" s="27" t="s">
        <v>117</v>
      </c>
      <c r="F237" s="29" t="s">
        <v>814</v>
      </c>
      <c r="G237" s="27" t="s">
        <v>519</v>
      </c>
      <c r="H237" s="30" t="n">
        <v>11</v>
      </c>
      <c r="I237" s="27" t="s">
        <v>104</v>
      </c>
      <c r="J237" s="29" t="s">
        <v>520</v>
      </c>
      <c r="K237" s="29" t="s">
        <v>521</v>
      </c>
      <c r="L237" s="31" t="s">
        <v>107</v>
      </c>
    </row>
    <row r="238" customFormat="false" ht="15" hidden="false" customHeight="false" outlineLevel="0" collapsed="false">
      <c r="A238" s="21" t="s">
        <v>815</v>
      </c>
      <c r="B238" s="5" t="s">
        <v>816</v>
      </c>
      <c r="C238" s="22" t="n">
        <v>647</v>
      </c>
      <c r="D238" s="5" t="s">
        <v>100</v>
      </c>
      <c r="E238" s="5" t="s">
        <v>117</v>
      </c>
      <c r="F238" s="23" t="s">
        <v>817</v>
      </c>
      <c r="G238" s="5" t="s">
        <v>519</v>
      </c>
      <c r="H238" s="24" t="n">
        <v>11</v>
      </c>
      <c r="I238" s="5" t="s">
        <v>104</v>
      </c>
      <c r="J238" s="23" t="s">
        <v>520</v>
      </c>
      <c r="K238" s="23" t="s">
        <v>521</v>
      </c>
      <c r="L238" s="25" t="s">
        <v>107</v>
      </c>
    </row>
    <row r="239" customFormat="false" ht="15" hidden="false" customHeight="false" outlineLevel="0" collapsed="false">
      <c r="A239" s="26" t="s">
        <v>818</v>
      </c>
      <c r="B239" s="27" t="s">
        <v>819</v>
      </c>
      <c r="C239" s="32" t="n">
        <v>2050</v>
      </c>
      <c r="D239" s="27" t="s">
        <v>100</v>
      </c>
      <c r="E239" s="27" t="s">
        <v>117</v>
      </c>
      <c r="F239" s="29" t="s">
        <v>820</v>
      </c>
      <c r="G239" s="27" t="s">
        <v>519</v>
      </c>
      <c r="H239" s="30" t="n">
        <v>11</v>
      </c>
      <c r="I239" s="27" t="s">
        <v>104</v>
      </c>
      <c r="J239" s="29" t="s">
        <v>520</v>
      </c>
      <c r="K239" s="29" t="s">
        <v>521</v>
      </c>
      <c r="L239" s="31" t="s">
        <v>107</v>
      </c>
    </row>
    <row r="240" customFormat="false" ht="15" hidden="false" customHeight="false" outlineLevel="0" collapsed="false">
      <c r="A240" s="21" t="s">
        <v>821</v>
      </c>
      <c r="B240" s="5" t="s">
        <v>822</v>
      </c>
      <c r="C240" s="22" t="n">
        <v>1014</v>
      </c>
      <c r="D240" s="5" t="s">
        <v>100</v>
      </c>
      <c r="E240" s="5" t="s">
        <v>117</v>
      </c>
      <c r="F240" s="23" t="s">
        <v>823</v>
      </c>
      <c r="G240" s="5" t="s">
        <v>519</v>
      </c>
      <c r="H240" s="24" t="n">
        <v>11</v>
      </c>
      <c r="I240" s="5" t="s">
        <v>104</v>
      </c>
      <c r="J240" s="23" t="s">
        <v>520</v>
      </c>
      <c r="K240" s="23" t="s">
        <v>521</v>
      </c>
      <c r="L240" s="25" t="s">
        <v>107</v>
      </c>
    </row>
    <row r="241" customFormat="false" ht="15" hidden="false" customHeight="false" outlineLevel="0" collapsed="false">
      <c r="A241" s="26" t="s">
        <v>824</v>
      </c>
      <c r="B241" s="27" t="s">
        <v>825</v>
      </c>
      <c r="C241" s="32" t="n">
        <v>1650</v>
      </c>
      <c r="D241" s="27" t="s">
        <v>100</v>
      </c>
      <c r="E241" s="27" t="s">
        <v>117</v>
      </c>
      <c r="F241" s="29" t="s">
        <v>826</v>
      </c>
      <c r="G241" s="27" t="s">
        <v>519</v>
      </c>
      <c r="H241" s="30" t="n">
        <v>11</v>
      </c>
      <c r="I241" s="27" t="s">
        <v>104</v>
      </c>
      <c r="J241" s="29" t="s">
        <v>520</v>
      </c>
      <c r="K241" s="29" t="s">
        <v>521</v>
      </c>
      <c r="L241" s="31" t="s">
        <v>107</v>
      </c>
    </row>
    <row r="242" customFormat="false" ht="15" hidden="false" customHeight="false" outlineLevel="0" collapsed="false">
      <c r="A242" s="21" t="s">
        <v>827</v>
      </c>
      <c r="B242" s="5" t="s">
        <v>828</v>
      </c>
      <c r="C242" s="22" t="n">
        <v>34879</v>
      </c>
      <c r="D242" s="5" t="s">
        <v>100</v>
      </c>
      <c r="E242" s="5" t="s">
        <v>117</v>
      </c>
      <c r="F242" s="23" t="s">
        <v>829</v>
      </c>
      <c r="G242" s="5" t="s">
        <v>519</v>
      </c>
      <c r="H242" s="24" t="n">
        <v>11</v>
      </c>
      <c r="I242" s="5" t="s">
        <v>104</v>
      </c>
      <c r="J242" s="23" t="s">
        <v>520</v>
      </c>
      <c r="K242" s="23" t="s">
        <v>521</v>
      </c>
      <c r="L242" s="25" t="s">
        <v>107</v>
      </c>
    </row>
    <row r="243" customFormat="false" ht="15" hidden="false" customHeight="false" outlineLevel="0" collapsed="false">
      <c r="A243" s="26" t="s">
        <v>830</v>
      </c>
      <c r="B243" s="27" t="s">
        <v>831</v>
      </c>
      <c r="C243" s="32" t="n">
        <v>9475</v>
      </c>
      <c r="D243" s="27" t="s">
        <v>100</v>
      </c>
      <c r="E243" s="27" t="s">
        <v>117</v>
      </c>
      <c r="F243" s="29" t="s">
        <v>832</v>
      </c>
      <c r="G243" s="27" t="s">
        <v>519</v>
      </c>
      <c r="H243" s="30" t="n">
        <v>11</v>
      </c>
      <c r="I243" s="27" t="s">
        <v>104</v>
      </c>
      <c r="J243" s="29" t="s">
        <v>520</v>
      </c>
      <c r="K243" s="29" t="s">
        <v>521</v>
      </c>
      <c r="L243" s="31" t="s">
        <v>107</v>
      </c>
    </row>
    <row r="244" customFormat="false" ht="15" hidden="false" customHeight="false" outlineLevel="0" collapsed="false">
      <c r="A244" s="21" t="s">
        <v>833</v>
      </c>
      <c r="B244" s="5" t="s">
        <v>834</v>
      </c>
      <c r="C244" s="22" t="n">
        <v>25404</v>
      </c>
      <c r="D244" s="5" t="s">
        <v>100</v>
      </c>
      <c r="E244" s="5" t="s">
        <v>117</v>
      </c>
      <c r="F244" s="23" t="s">
        <v>835</v>
      </c>
      <c r="G244" s="5" t="s">
        <v>519</v>
      </c>
      <c r="H244" s="24" t="n">
        <v>11</v>
      </c>
      <c r="I244" s="5" t="s">
        <v>104</v>
      </c>
      <c r="J244" s="23" t="s">
        <v>520</v>
      </c>
      <c r="K244" s="23" t="s">
        <v>521</v>
      </c>
      <c r="L244" s="25" t="s">
        <v>107</v>
      </c>
    </row>
    <row r="245" customFormat="false" ht="15" hidden="false" customHeight="false" outlineLevel="0" collapsed="false">
      <c r="A245" s="26" t="s">
        <v>836</v>
      </c>
      <c r="B245" s="27" t="s">
        <v>834</v>
      </c>
      <c r="C245" s="32" t="n">
        <v>23273</v>
      </c>
      <c r="D245" s="27" t="s">
        <v>100</v>
      </c>
      <c r="E245" s="27" t="s">
        <v>157</v>
      </c>
      <c r="F245" s="29" t="s">
        <v>837</v>
      </c>
      <c r="G245" s="27" t="s">
        <v>519</v>
      </c>
      <c r="H245" s="30" t="n">
        <v>11</v>
      </c>
      <c r="I245" s="27" t="s">
        <v>104</v>
      </c>
      <c r="J245" s="29" t="s">
        <v>520</v>
      </c>
      <c r="K245" s="29" t="s">
        <v>521</v>
      </c>
      <c r="L245" s="31" t="s">
        <v>107</v>
      </c>
    </row>
    <row r="246" customFormat="false" ht="15" hidden="false" customHeight="false" outlineLevel="0" collapsed="false">
      <c r="A246" s="21" t="s">
        <v>838</v>
      </c>
      <c r="B246" s="5" t="s">
        <v>819</v>
      </c>
      <c r="C246" s="22" t="n">
        <v>1800</v>
      </c>
      <c r="D246" s="5" t="s">
        <v>100</v>
      </c>
      <c r="E246" s="5" t="s">
        <v>157</v>
      </c>
      <c r="F246" s="23" t="s">
        <v>839</v>
      </c>
      <c r="G246" s="5" t="s">
        <v>519</v>
      </c>
      <c r="H246" s="24" t="n">
        <v>11</v>
      </c>
      <c r="I246" s="5" t="s">
        <v>104</v>
      </c>
      <c r="J246" s="23" t="s">
        <v>520</v>
      </c>
      <c r="K246" s="23" t="s">
        <v>521</v>
      </c>
      <c r="L246" s="25" t="s">
        <v>107</v>
      </c>
    </row>
    <row r="247" customFormat="false" ht="15" hidden="false" customHeight="false" outlineLevel="0" collapsed="false">
      <c r="A247" s="26" t="s">
        <v>840</v>
      </c>
      <c r="B247" s="27" t="s">
        <v>841</v>
      </c>
      <c r="C247" s="32" t="n">
        <v>6464</v>
      </c>
      <c r="D247" s="27" t="s">
        <v>100</v>
      </c>
      <c r="E247" s="27" t="s">
        <v>117</v>
      </c>
      <c r="F247" s="29" t="s">
        <v>842</v>
      </c>
      <c r="G247" s="27" t="s">
        <v>519</v>
      </c>
      <c r="H247" s="30" t="n">
        <v>11</v>
      </c>
      <c r="I247" s="27" t="s">
        <v>104</v>
      </c>
      <c r="J247" s="29" t="s">
        <v>520</v>
      </c>
      <c r="K247" s="29" t="s">
        <v>521</v>
      </c>
      <c r="L247" s="31" t="s">
        <v>107</v>
      </c>
    </row>
    <row r="248" customFormat="false" ht="15" hidden="false" customHeight="false" outlineLevel="0" collapsed="false">
      <c r="A248" s="21" t="s">
        <v>843</v>
      </c>
      <c r="B248" s="5" t="s">
        <v>844</v>
      </c>
      <c r="C248" s="33" t="n">
        <v>6777.8</v>
      </c>
      <c r="D248" s="5" t="s">
        <v>100</v>
      </c>
      <c r="E248" s="5" t="s">
        <v>117</v>
      </c>
      <c r="F248" s="23" t="s">
        <v>845</v>
      </c>
      <c r="G248" s="5" t="s">
        <v>519</v>
      </c>
      <c r="H248" s="24" t="n">
        <v>11</v>
      </c>
      <c r="I248" s="5" t="s">
        <v>104</v>
      </c>
      <c r="J248" s="23" t="s">
        <v>520</v>
      </c>
      <c r="K248" s="23" t="s">
        <v>521</v>
      </c>
      <c r="L248" s="25" t="s">
        <v>107</v>
      </c>
    </row>
    <row r="249" customFormat="false" ht="15" hidden="false" customHeight="false" outlineLevel="0" collapsed="false">
      <c r="A249" s="26" t="s">
        <v>846</v>
      </c>
      <c r="B249" s="27" t="s">
        <v>847</v>
      </c>
      <c r="C249" s="32" t="n">
        <v>5160</v>
      </c>
      <c r="D249" s="27" t="s">
        <v>100</v>
      </c>
      <c r="E249" s="27" t="s">
        <v>117</v>
      </c>
      <c r="F249" s="29" t="s">
        <v>848</v>
      </c>
      <c r="G249" s="27" t="s">
        <v>519</v>
      </c>
      <c r="H249" s="30" t="n">
        <v>12</v>
      </c>
      <c r="I249" s="27" t="s">
        <v>104</v>
      </c>
      <c r="J249" s="29" t="s">
        <v>520</v>
      </c>
      <c r="K249" s="29" t="s">
        <v>521</v>
      </c>
      <c r="L249" s="31" t="s">
        <v>107</v>
      </c>
    </row>
    <row r="250" customFormat="false" ht="15" hidden="false" customHeight="false" outlineLevel="0" collapsed="false">
      <c r="A250" s="21" t="s">
        <v>849</v>
      </c>
      <c r="B250" s="5" t="s">
        <v>847</v>
      </c>
      <c r="C250" s="22" t="n">
        <v>4948</v>
      </c>
      <c r="D250" s="5" t="s">
        <v>100</v>
      </c>
      <c r="E250" s="5" t="s">
        <v>157</v>
      </c>
      <c r="F250" s="23" t="s">
        <v>850</v>
      </c>
      <c r="G250" s="5" t="s">
        <v>519</v>
      </c>
      <c r="H250" s="24" t="n">
        <v>12</v>
      </c>
      <c r="I250" s="5" t="s">
        <v>104</v>
      </c>
      <c r="J250" s="23" t="s">
        <v>520</v>
      </c>
      <c r="K250" s="23" t="s">
        <v>521</v>
      </c>
      <c r="L250" s="25" t="s">
        <v>107</v>
      </c>
    </row>
    <row r="251" customFormat="false" ht="15" hidden="false" customHeight="false" outlineLevel="0" collapsed="false">
      <c r="A251" s="26" t="s">
        <v>851</v>
      </c>
      <c r="B251" s="27" t="s">
        <v>847</v>
      </c>
      <c r="C251" s="32" t="n">
        <v>4655</v>
      </c>
      <c r="D251" s="27" t="s">
        <v>100</v>
      </c>
      <c r="E251" s="27" t="s">
        <v>543</v>
      </c>
      <c r="F251" s="29" t="s">
        <v>852</v>
      </c>
      <c r="G251" s="27" t="s">
        <v>519</v>
      </c>
      <c r="H251" s="30" t="n">
        <v>12</v>
      </c>
      <c r="I251" s="27" t="s">
        <v>104</v>
      </c>
      <c r="J251" s="29" t="s">
        <v>520</v>
      </c>
      <c r="K251" s="29" t="s">
        <v>521</v>
      </c>
      <c r="L251" s="31" t="s">
        <v>107</v>
      </c>
    </row>
    <row r="252" customFormat="false" ht="15" hidden="false" customHeight="false" outlineLevel="0" collapsed="false">
      <c r="A252" s="21" t="s">
        <v>853</v>
      </c>
      <c r="B252" s="5" t="s">
        <v>854</v>
      </c>
      <c r="C252" s="22" t="n">
        <v>1341</v>
      </c>
      <c r="D252" s="5" t="s">
        <v>100</v>
      </c>
      <c r="E252" s="5" t="s">
        <v>117</v>
      </c>
      <c r="F252" s="23" t="s">
        <v>855</v>
      </c>
      <c r="G252" s="5" t="s">
        <v>519</v>
      </c>
      <c r="H252" s="24" t="n">
        <v>12</v>
      </c>
      <c r="I252" s="5" t="s">
        <v>104</v>
      </c>
      <c r="J252" s="23" t="s">
        <v>520</v>
      </c>
      <c r="K252" s="23" t="s">
        <v>521</v>
      </c>
      <c r="L252" s="25" t="s">
        <v>107</v>
      </c>
    </row>
    <row r="253" customFormat="false" ht="15" hidden="false" customHeight="false" outlineLevel="0" collapsed="false">
      <c r="A253" s="26" t="s">
        <v>856</v>
      </c>
      <c r="B253" s="27" t="s">
        <v>857</v>
      </c>
      <c r="C253" s="32" t="n">
        <v>3819</v>
      </c>
      <c r="D253" s="27" t="s">
        <v>100</v>
      </c>
      <c r="E253" s="27" t="s">
        <v>117</v>
      </c>
      <c r="F253" s="29" t="s">
        <v>858</v>
      </c>
      <c r="G253" s="27" t="s">
        <v>519</v>
      </c>
      <c r="H253" s="30" t="n">
        <v>12</v>
      </c>
      <c r="I253" s="27" t="s">
        <v>124</v>
      </c>
      <c r="J253" s="29" t="s">
        <v>520</v>
      </c>
      <c r="K253" s="29" t="s">
        <v>521</v>
      </c>
      <c r="L253" s="31" t="s">
        <v>107</v>
      </c>
    </row>
    <row r="254" customFormat="false" ht="15" hidden="false" customHeight="false" outlineLevel="0" collapsed="false">
      <c r="A254" s="21" t="s">
        <v>859</v>
      </c>
      <c r="B254" s="5" t="s">
        <v>860</v>
      </c>
      <c r="C254" s="22" t="n">
        <v>4681</v>
      </c>
      <c r="D254" s="5" t="s">
        <v>100</v>
      </c>
      <c r="E254" s="5" t="s">
        <v>117</v>
      </c>
      <c r="F254" s="23" t="s">
        <v>861</v>
      </c>
      <c r="G254" s="5" t="s">
        <v>519</v>
      </c>
      <c r="H254" s="24" t="n">
        <v>12</v>
      </c>
      <c r="I254" s="5" t="s">
        <v>124</v>
      </c>
      <c r="J254" s="23" t="s">
        <v>520</v>
      </c>
      <c r="K254" s="23" t="s">
        <v>521</v>
      </c>
      <c r="L254" s="25" t="s">
        <v>107</v>
      </c>
    </row>
    <row r="255" customFormat="false" ht="15" hidden="false" customHeight="false" outlineLevel="0" collapsed="false">
      <c r="A255" s="26" t="s">
        <v>862</v>
      </c>
      <c r="B255" s="27" t="s">
        <v>863</v>
      </c>
      <c r="C255" s="32" t="n">
        <v>-272</v>
      </c>
      <c r="D255" s="27" t="s">
        <v>100</v>
      </c>
      <c r="E255" s="27" t="s">
        <v>117</v>
      </c>
      <c r="F255" s="29" t="s">
        <v>864</v>
      </c>
      <c r="G255" s="27" t="s">
        <v>519</v>
      </c>
      <c r="H255" s="30" t="n">
        <v>12</v>
      </c>
      <c r="I255" s="27" t="s">
        <v>124</v>
      </c>
      <c r="J255" s="29" t="s">
        <v>520</v>
      </c>
      <c r="K255" s="29" t="s">
        <v>521</v>
      </c>
      <c r="L255" s="31" t="s">
        <v>107</v>
      </c>
    </row>
    <row r="256" customFormat="false" ht="15" hidden="false" customHeight="false" outlineLevel="0" collapsed="false">
      <c r="A256" s="21" t="s">
        <v>865</v>
      </c>
      <c r="B256" s="5" t="s">
        <v>866</v>
      </c>
      <c r="C256" s="22" t="n">
        <v>1162</v>
      </c>
      <c r="D256" s="5" t="s">
        <v>100</v>
      </c>
      <c r="E256" s="5" t="s">
        <v>117</v>
      </c>
      <c r="F256" s="23" t="s">
        <v>867</v>
      </c>
      <c r="G256" s="5" t="s">
        <v>519</v>
      </c>
      <c r="H256" s="24" t="n">
        <v>12</v>
      </c>
      <c r="I256" s="5" t="s">
        <v>104</v>
      </c>
      <c r="J256" s="23" t="s">
        <v>520</v>
      </c>
      <c r="K256" s="23" t="s">
        <v>521</v>
      </c>
      <c r="L256" s="25" t="s">
        <v>107</v>
      </c>
    </row>
    <row r="257" customFormat="false" ht="15" hidden="false" customHeight="false" outlineLevel="0" collapsed="false">
      <c r="A257" s="26" t="s">
        <v>868</v>
      </c>
      <c r="B257" s="27" t="s">
        <v>869</v>
      </c>
      <c r="C257" s="28" t="n">
        <v>3.7</v>
      </c>
      <c r="D257" s="27" t="s">
        <v>130</v>
      </c>
      <c r="E257" s="27" t="s">
        <v>117</v>
      </c>
      <c r="F257" s="29" t="s">
        <v>870</v>
      </c>
      <c r="G257" s="27" t="s">
        <v>519</v>
      </c>
      <c r="H257" s="30" t="n">
        <v>12</v>
      </c>
      <c r="I257" s="27" t="s">
        <v>104</v>
      </c>
      <c r="J257" s="29" t="s">
        <v>520</v>
      </c>
      <c r="K257" s="29" t="s">
        <v>521</v>
      </c>
      <c r="L257" s="31" t="s">
        <v>107</v>
      </c>
    </row>
    <row r="258" customFormat="false" ht="15" hidden="false" customHeight="false" outlineLevel="0" collapsed="false">
      <c r="A258" s="21" t="s">
        <v>871</v>
      </c>
      <c r="B258" s="5" t="s">
        <v>872</v>
      </c>
      <c r="C258" s="33" t="n">
        <v>5.1</v>
      </c>
      <c r="D258" s="5" t="s">
        <v>130</v>
      </c>
      <c r="E258" s="5" t="s">
        <v>117</v>
      </c>
      <c r="F258" s="23" t="s">
        <v>552</v>
      </c>
      <c r="G258" s="5" t="s">
        <v>519</v>
      </c>
      <c r="H258" s="24" t="n">
        <v>12</v>
      </c>
      <c r="I258" s="5" t="s">
        <v>104</v>
      </c>
      <c r="J258" s="23" t="s">
        <v>520</v>
      </c>
      <c r="K258" s="23" t="s">
        <v>521</v>
      </c>
      <c r="L258" s="25" t="s">
        <v>107</v>
      </c>
    </row>
    <row r="259" customFormat="false" ht="15" hidden="false" customHeight="false" outlineLevel="0" collapsed="false">
      <c r="A259" s="26" t="s">
        <v>873</v>
      </c>
      <c r="B259" s="27" t="s">
        <v>874</v>
      </c>
      <c r="C259" s="32" t="n">
        <v>29518</v>
      </c>
      <c r="D259" s="27" t="s">
        <v>100</v>
      </c>
      <c r="E259" s="27" t="s">
        <v>137</v>
      </c>
      <c r="F259" s="29" t="s">
        <v>875</v>
      </c>
      <c r="G259" s="27" t="s">
        <v>169</v>
      </c>
      <c r="H259" s="30" t="n">
        <v>351</v>
      </c>
      <c r="I259" s="27" t="s">
        <v>104</v>
      </c>
      <c r="J259" s="29" t="s">
        <v>170</v>
      </c>
      <c r="K259" s="29" t="s">
        <v>106</v>
      </c>
      <c r="L259" s="31" t="s">
        <v>107</v>
      </c>
    </row>
    <row r="260" customFormat="false" ht="15" hidden="false" customHeight="false" outlineLevel="0" collapsed="false">
      <c r="A260" s="21" t="s">
        <v>876</v>
      </c>
      <c r="B260" s="5" t="s">
        <v>877</v>
      </c>
      <c r="C260" s="22" t="n">
        <v>8021</v>
      </c>
      <c r="D260" s="5" t="s">
        <v>100</v>
      </c>
      <c r="E260" s="5" t="s">
        <v>137</v>
      </c>
      <c r="F260" s="23" t="s">
        <v>878</v>
      </c>
      <c r="G260" s="5" t="s">
        <v>169</v>
      </c>
      <c r="H260" s="24" t="n">
        <v>351</v>
      </c>
      <c r="I260" s="5" t="s">
        <v>104</v>
      </c>
      <c r="J260" s="23" t="s">
        <v>170</v>
      </c>
      <c r="K260" s="23" t="s">
        <v>106</v>
      </c>
      <c r="L260" s="25" t="s">
        <v>107</v>
      </c>
    </row>
    <row r="261" customFormat="false" ht="15" hidden="false" customHeight="false" outlineLevel="0" collapsed="false">
      <c r="A261" s="26" t="s">
        <v>879</v>
      </c>
      <c r="B261" s="27" t="s">
        <v>880</v>
      </c>
      <c r="C261" s="32" t="n">
        <v>1952</v>
      </c>
      <c r="D261" s="27" t="s">
        <v>100</v>
      </c>
      <c r="E261" s="27" t="s">
        <v>137</v>
      </c>
      <c r="F261" s="29" t="s">
        <v>881</v>
      </c>
      <c r="G261" s="27" t="s">
        <v>169</v>
      </c>
      <c r="H261" s="30" t="n">
        <v>351</v>
      </c>
      <c r="I261" s="27" t="s">
        <v>104</v>
      </c>
      <c r="J261" s="29" t="s">
        <v>170</v>
      </c>
      <c r="K261" s="29" t="s">
        <v>106</v>
      </c>
      <c r="L261" s="31" t="s">
        <v>107</v>
      </c>
    </row>
    <row r="262" customFormat="false" ht="15" hidden="false" customHeight="false" outlineLevel="0" collapsed="false">
      <c r="A262" s="21" t="s">
        <v>882</v>
      </c>
      <c r="B262" s="5" t="s">
        <v>883</v>
      </c>
      <c r="C262" s="22" t="n">
        <v>276</v>
      </c>
      <c r="D262" s="5" t="s">
        <v>100</v>
      </c>
      <c r="E262" s="5" t="s">
        <v>137</v>
      </c>
      <c r="F262" s="23" t="s">
        <v>884</v>
      </c>
      <c r="G262" s="5" t="s">
        <v>169</v>
      </c>
      <c r="H262" s="24" t="n">
        <v>351</v>
      </c>
      <c r="I262" s="5" t="s">
        <v>104</v>
      </c>
      <c r="J262" s="23" t="s">
        <v>170</v>
      </c>
      <c r="K262" s="23" t="s">
        <v>106</v>
      </c>
      <c r="L262" s="25" t="s">
        <v>107</v>
      </c>
    </row>
    <row r="263" customFormat="false" ht="15" hidden="false" customHeight="false" outlineLevel="0" collapsed="false">
      <c r="A263" s="26" t="s">
        <v>885</v>
      </c>
      <c r="B263" s="27" t="s">
        <v>874</v>
      </c>
      <c r="C263" s="32" t="n">
        <v>29283</v>
      </c>
      <c r="D263" s="27" t="s">
        <v>100</v>
      </c>
      <c r="E263" s="27" t="s">
        <v>190</v>
      </c>
      <c r="F263" s="29" t="s">
        <v>886</v>
      </c>
      <c r="G263" s="27" t="s">
        <v>169</v>
      </c>
      <c r="H263" s="30" t="n">
        <v>351</v>
      </c>
      <c r="I263" s="27" t="s">
        <v>104</v>
      </c>
      <c r="J263" s="29" t="s">
        <v>170</v>
      </c>
      <c r="K263" s="29" t="s">
        <v>106</v>
      </c>
      <c r="L263" s="31" t="s">
        <v>107</v>
      </c>
    </row>
    <row r="264" customFormat="false" ht="15" hidden="false" customHeight="false" outlineLevel="0" collapsed="false">
      <c r="A264" s="21" t="s">
        <v>887</v>
      </c>
      <c r="B264" s="5" t="s">
        <v>877</v>
      </c>
      <c r="C264" s="22" t="n">
        <v>9601</v>
      </c>
      <c r="D264" s="5" t="s">
        <v>100</v>
      </c>
      <c r="E264" s="5" t="s">
        <v>190</v>
      </c>
      <c r="F264" s="23" t="s">
        <v>888</v>
      </c>
      <c r="G264" s="5" t="s">
        <v>169</v>
      </c>
      <c r="H264" s="24" t="n">
        <v>351</v>
      </c>
      <c r="I264" s="5" t="s">
        <v>104</v>
      </c>
      <c r="J264" s="23" t="s">
        <v>170</v>
      </c>
      <c r="K264" s="23" t="s">
        <v>106</v>
      </c>
      <c r="L264" s="25" t="s">
        <v>107</v>
      </c>
    </row>
    <row r="265" customFormat="false" ht="15" hidden="false" customHeight="false" outlineLevel="0" collapsed="false">
      <c r="A265" s="26" t="s">
        <v>889</v>
      </c>
      <c r="B265" s="27" t="s">
        <v>890</v>
      </c>
      <c r="C265" s="32" t="n">
        <v>29303</v>
      </c>
      <c r="D265" s="27" t="s">
        <v>100</v>
      </c>
      <c r="E265" s="27" t="s">
        <v>137</v>
      </c>
      <c r="F265" s="29" t="s">
        <v>891</v>
      </c>
      <c r="G265" s="27" t="s">
        <v>169</v>
      </c>
      <c r="H265" s="30" t="n">
        <v>405</v>
      </c>
      <c r="I265" s="27" t="s">
        <v>104</v>
      </c>
      <c r="J265" s="29" t="s">
        <v>170</v>
      </c>
      <c r="K265" s="29" t="s">
        <v>106</v>
      </c>
      <c r="L265" s="31" t="s">
        <v>107</v>
      </c>
    </row>
    <row r="266" customFormat="false" ht="15" hidden="false" customHeight="false" outlineLevel="0" collapsed="false">
      <c r="A266" s="21" t="s">
        <v>892</v>
      </c>
      <c r="B266" s="5" t="s">
        <v>893</v>
      </c>
      <c r="C266" s="22" t="n">
        <v>8810</v>
      </c>
      <c r="D266" s="5" t="s">
        <v>100</v>
      </c>
      <c r="E266" s="5" t="s">
        <v>137</v>
      </c>
      <c r="F266" s="23" t="s">
        <v>894</v>
      </c>
      <c r="G266" s="5" t="s">
        <v>169</v>
      </c>
      <c r="H266" s="24" t="n">
        <v>405</v>
      </c>
      <c r="I266" s="5" t="s">
        <v>104</v>
      </c>
      <c r="J266" s="23" t="s">
        <v>170</v>
      </c>
      <c r="K266" s="23" t="s">
        <v>106</v>
      </c>
      <c r="L266" s="25" t="s">
        <v>107</v>
      </c>
    </row>
    <row r="267" customFormat="false" ht="15" hidden="false" customHeight="false" outlineLevel="0" collapsed="false">
      <c r="A267" s="26" t="s">
        <v>895</v>
      </c>
      <c r="B267" s="27" t="s">
        <v>896</v>
      </c>
      <c r="C267" s="32" t="n">
        <v>20492</v>
      </c>
      <c r="D267" s="27" t="s">
        <v>100</v>
      </c>
      <c r="E267" s="27" t="s">
        <v>137</v>
      </c>
      <c r="F267" s="29" t="s">
        <v>897</v>
      </c>
      <c r="G267" s="27" t="s">
        <v>169</v>
      </c>
      <c r="H267" s="30" t="n">
        <v>405</v>
      </c>
      <c r="I267" s="27" t="s">
        <v>104</v>
      </c>
      <c r="J267" s="29" t="s">
        <v>170</v>
      </c>
      <c r="K267" s="29" t="s">
        <v>106</v>
      </c>
      <c r="L267" s="31" t="s">
        <v>107</v>
      </c>
    </row>
    <row r="268" customFormat="false" ht="15" hidden="false" customHeight="false" outlineLevel="0" collapsed="false">
      <c r="A268" s="21" t="s">
        <v>898</v>
      </c>
      <c r="B268" s="5" t="s">
        <v>899</v>
      </c>
      <c r="C268" s="22" t="n">
        <v>17992</v>
      </c>
      <c r="D268" s="5" t="s">
        <v>100</v>
      </c>
      <c r="E268" s="5" t="s">
        <v>137</v>
      </c>
      <c r="F268" s="23" t="s">
        <v>900</v>
      </c>
      <c r="G268" s="5" t="s">
        <v>169</v>
      </c>
      <c r="H268" s="24" t="n">
        <v>405</v>
      </c>
      <c r="I268" s="5" t="s">
        <v>104</v>
      </c>
      <c r="J268" s="23" t="s">
        <v>170</v>
      </c>
      <c r="K268" s="23" t="s">
        <v>106</v>
      </c>
      <c r="L268" s="25" t="s">
        <v>107</v>
      </c>
    </row>
    <row r="269" customFormat="false" ht="15" hidden="false" customHeight="false" outlineLevel="0" collapsed="false">
      <c r="A269" s="26" t="s">
        <v>901</v>
      </c>
      <c r="B269" s="27" t="s">
        <v>902</v>
      </c>
      <c r="C269" s="32" t="n">
        <v>9328</v>
      </c>
      <c r="D269" s="27" t="s">
        <v>100</v>
      </c>
      <c r="E269" s="27" t="s">
        <v>137</v>
      </c>
      <c r="F269" s="29" t="s">
        <v>903</v>
      </c>
      <c r="G269" s="27" t="s">
        <v>169</v>
      </c>
      <c r="H269" s="30" t="n">
        <v>405</v>
      </c>
      <c r="I269" s="27" t="s">
        <v>104</v>
      </c>
      <c r="J269" s="29" t="s">
        <v>170</v>
      </c>
      <c r="K269" s="29" t="s">
        <v>106</v>
      </c>
      <c r="L269" s="31" t="s">
        <v>107</v>
      </c>
    </row>
    <row r="270" customFormat="false" ht="15" hidden="false" customHeight="false" outlineLevel="0" collapsed="false">
      <c r="A270" s="21" t="s">
        <v>904</v>
      </c>
      <c r="B270" s="5" t="s">
        <v>905</v>
      </c>
      <c r="C270" s="22" t="n">
        <v>1983</v>
      </c>
      <c r="D270" s="5" t="s">
        <v>100</v>
      </c>
      <c r="E270" s="5" t="s">
        <v>137</v>
      </c>
      <c r="F270" s="23" t="s">
        <v>906</v>
      </c>
      <c r="G270" s="5" t="s">
        <v>169</v>
      </c>
      <c r="H270" s="24" t="n">
        <v>405</v>
      </c>
      <c r="I270" s="5" t="s">
        <v>104</v>
      </c>
      <c r="J270" s="23" t="s">
        <v>170</v>
      </c>
      <c r="K270" s="23" t="s">
        <v>106</v>
      </c>
      <c r="L270" s="25" t="s">
        <v>107</v>
      </c>
    </row>
    <row r="271" customFormat="false" ht="15" hidden="false" customHeight="false" outlineLevel="0" collapsed="false">
      <c r="A271" s="26" t="s">
        <v>907</v>
      </c>
      <c r="B271" s="27" t="s">
        <v>890</v>
      </c>
      <c r="C271" s="32" t="n">
        <v>29085</v>
      </c>
      <c r="D271" s="27" t="s">
        <v>100</v>
      </c>
      <c r="E271" s="27" t="s">
        <v>190</v>
      </c>
      <c r="F271" s="29" t="s">
        <v>908</v>
      </c>
      <c r="G271" s="27" t="s">
        <v>169</v>
      </c>
      <c r="H271" s="30" t="n">
        <v>405</v>
      </c>
      <c r="I271" s="27" t="s">
        <v>104</v>
      </c>
      <c r="J271" s="29" t="s">
        <v>170</v>
      </c>
      <c r="K271" s="29" t="s">
        <v>106</v>
      </c>
      <c r="L271" s="31" t="s">
        <v>107</v>
      </c>
    </row>
    <row r="272" customFormat="false" ht="15" hidden="false" customHeight="false" outlineLevel="0" collapsed="false">
      <c r="A272" s="21" t="s">
        <v>909</v>
      </c>
      <c r="B272" s="5" t="s">
        <v>910</v>
      </c>
      <c r="C272" s="22" t="n">
        <v>1451</v>
      </c>
      <c r="D272" s="5" t="s">
        <v>100</v>
      </c>
      <c r="E272" s="5" t="s">
        <v>137</v>
      </c>
      <c r="F272" s="23" t="s">
        <v>911</v>
      </c>
      <c r="G272" s="5" t="s">
        <v>169</v>
      </c>
      <c r="H272" s="24" t="n">
        <v>406</v>
      </c>
      <c r="I272" s="5" t="s">
        <v>104</v>
      </c>
      <c r="J272" s="23" t="s">
        <v>170</v>
      </c>
      <c r="K272" s="23" t="s">
        <v>106</v>
      </c>
      <c r="L272" s="25" t="s">
        <v>107</v>
      </c>
    </row>
    <row r="273" customFormat="false" ht="15" hidden="false" customHeight="false" outlineLevel="0" collapsed="false">
      <c r="A273" s="26" t="s">
        <v>912</v>
      </c>
      <c r="B273" s="27" t="s">
        <v>913</v>
      </c>
      <c r="C273" s="32" t="n">
        <v>4536</v>
      </c>
      <c r="D273" s="27" t="s">
        <v>100</v>
      </c>
      <c r="E273" s="27" t="s">
        <v>137</v>
      </c>
      <c r="F273" s="29" t="s">
        <v>914</v>
      </c>
      <c r="G273" s="27" t="s">
        <v>169</v>
      </c>
      <c r="H273" s="30" t="n">
        <v>406</v>
      </c>
      <c r="I273" s="27" t="s">
        <v>104</v>
      </c>
      <c r="J273" s="29" t="s">
        <v>170</v>
      </c>
      <c r="K273" s="29" t="s">
        <v>106</v>
      </c>
      <c r="L273" s="31" t="s">
        <v>107</v>
      </c>
    </row>
    <row r="274" customFormat="false" ht="15" hidden="false" customHeight="false" outlineLevel="0" collapsed="false">
      <c r="A274" s="21" t="s">
        <v>915</v>
      </c>
      <c r="B274" s="5" t="s">
        <v>916</v>
      </c>
      <c r="C274" s="22" t="n">
        <v>3128</v>
      </c>
      <c r="D274" s="5" t="s">
        <v>100</v>
      </c>
      <c r="E274" s="5" t="s">
        <v>137</v>
      </c>
      <c r="F274" s="23" t="s">
        <v>917</v>
      </c>
      <c r="G274" s="5" t="s">
        <v>169</v>
      </c>
      <c r="H274" s="24" t="n">
        <v>406</v>
      </c>
      <c r="I274" s="5" t="s">
        <v>104</v>
      </c>
      <c r="J274" s="23" t="s">
        <v>170</v>
      </c>
      <c r="K274" s="23" t="s">
        <v>106</v>
      </c>
      <c r="L274" s="25" t="s">
        <v>107</v>
      </c>
    </row>
    <row r="275" customFormat="false" ht="15" hidden="false" customHeight="false" outlineLevel="0" collapsed="false">
      <c r="A275" s="26" t="s">
        <v>918</v>
      </c>
      <c r="B275" s="27" t="s">
        <v>919</v>
      </c>
      <c r="C275" s="32" t="n">
        <v>8877</v>
      </c>
      <c r="D275" s="27" t="s">
        <v>100</v>
      </c>
      <c r="E275" s="27" t="s">
        <v>137</v>
      </c>
      <c r="F275" s="29" t="s">
        <v>920</v>
      </c>
      <c r="G275" s="27" t="s">
        <v>169</v>
      </c>
      <c r="H275" s="30" t="n">
        <v>406</v>
      </c>
      <c r="I275" s="27" t="s">
        <v>104</v>
      </c>
      <c r="J275" s="29" t="s">
        <v>170</v>
      </c>
      <c r="K275" s="29" t="s">
        <v>106</v>
      </c>
      <c r="L275" s="31" t="s">
        <v>107</v>
      </c>
    </row>
    <row r="276" customFormat="false" ht="15" hidden="false" customHeight="false" outlineLevel="0" collapsed="false">
      <c r="A276" s="21" t="s">
        <v>921</v>
      </c>
      <c r="B276" s="5" t="s">
        <v>922</v>
      </c>
      <c r="C276" s="22" t="n">
        <v>750</v>
      </c>
      <c r="D276" s="5" t="s">
        <v>100</v>
      </c>
      <c r="E276" s="5" t="s">
        <v>137</v>
      </c>
      <c r="F276" s="23" t="s">
        <v>923</v>
      </c>
      <c r="G276" s="5" t="s">
        <v>169</v>
      </c>
      <c r="H276" s="24" t="n">
        <v>406</v>
      </c>
      <c r="I276" s="5" t="s">
        <v>104</v>
      </c>
      <c r="J276" s="23" t="s">
        <v>170</v>
      </c>
      <c r="K276" s="23" t="s">
        <v>106</v>
      </c>
      <c r="L276" s="25" t="s">
        <v>107</v>
      </c>
    </row>
    <row r="277" customFormat="false" ht="15" hidden="false" customHeight="false" outlineLevel="0" collapsed="false">
      <c r="A277" s="26" t="s">
        <v>924</v>
      </c>
      <c r="B277" s="27" t="s">
        <v>925</v>
      </c>
      <c r="C277" s="32" t="n">
        <v>650</v>
      </c>
      <c r="D277" s="27" t="s">
        <v>100</v>
      </c>
      <c r="E277" s="27" t="s">
        <v>137</v>
      </c>
      <c r="F277" s="29" t="s">
        <v>926</v>
      </c>
      <c r="G277" s="27" t="s">
        <v>169</v>
      </c>
      <c r="H277" s="30" t="n">
        <v>406</v>
      </c>
      <c r="I277" s="27" t="s">
        <v>104</v>
      </c>
      <c r="J277" s="29" t="s">
        <v>170</v>
      </c>
      <c r="K277" s="29" t="s">
        <v>106</v>
      </c>
      <c r="L277" s="31" t="s">
        <v>107</v>
      </c>
    </row>
    <row r="278" customFormat="false" ht="15" hidden="false" customHeight="false" outlineLevel="0" collapsed="false">
      <c r="A278" s="21" t="s">
        <v>927</v>
      </c>
      <c r="B278" s="5" t="s">
        <v>928</v>
      </c>
      <c r="C278" s="22" t="n">
        <v>1879</v>
      </c>
      <c r="D278" s="5" t="s">
        <v>100</v>
      </c>
      <c r="E278" s="5" t="s">
        <v>117</v>
      </c>
      <c r="F278" s="23" t="s">
        <v>929</v>
      </c>
      <c r="G278" s="5" t="s">
        <v>169</v>
      </c>
      <c r="H278" s="24" t="n">
        <v>406</v>
      </c>
      <c r="I278" s="5" t="s">
        <v>104</v>
      </c>
      <c r="J278" s="23" t="s">
        <v>170</v>
      </c>
      <c r="K278" s="23" t="s">
        <v>106</v>
      </c>
      <c r="L278" s="25" t="s">
        <v>107</v>
      </c>
    </row>
    <row r="279" customFormat="false" ht="15" hidden="false" customHeight="false" outlineLevel="0" collapsed="false">
      <c r="A279" s="26" t="s">
        <v>930</v>
      </c>
      <c r="B279" s="27" t="s">
        <v>931</v>
      </c>
      <c r="C279" s="32" t="n">
        <v>-1482</v>
      </c>
      <c r="D279" s="27" t="s">
        <v>100</v>
      </c>
      <c r="E279" s="27" t="s">
        <v>117</v>
      </c>
      <c r="F279" s="29" t="s">
        <v>932</v>
      </c>
      <c r="G279" s="27" t="s">
        <v>169</v>
      </c>
      <c r="H279" s="30" t="n">
        <v>406</v>
      </c>
      <c r="I279" s="27" t="s">
        <v>104</v>
      </c>
      <c r="J279" s="29" t="s">
        <v>170</v>
      </c>
      <c r="K279" s="29" t="s">
        <v>106</v>
      </c>
      <c r="L279" s="31" t="s">
        <v>107</v>
      </c>
    </row>
    <row r="280" customFormat="false" ht="15" hidden="false" customHeight="false" outlineLevel="0" collapsed="false">
      <c r="A280" s="21" t="s">
        <v>933</v>
      </c>
      <c r="B280" s="5" t="s">
        <v>934</v>
      </c>
      <c r="C280" s="22" t="n">
        <v>850</v>
      </c>
      <c r="D280" s="5" t="s">
        <v>100</v>
      </c>
      <c r="E280" s="5" t="s">
        <v>117</v>
      </c>
      <c r="F280" s="23" t="s">
        <v>935</v>
      </c>
      <c r="G280" s="5" t="s">
        <v>169</v>
      </c>
      <c r="H280" s="24" t="n">
        <v>406</v>
      </c>
      <c r="I280" s="5" t="s">
        <v>104</v>
      </c>
      <c r="J280" s="23" t="s">
        <v>170</v>
      </c>
      <c r="K280" s="23" t="s">
        <v>106</v>
      </c>
      <c r="L280" s="25" t="s">
        <v>107</v>
      </c>
    </row>
    <row r="281" customFormat="false" ht="15" hidden="false" customHeight="false" outlineLevel="0" collapsed="false">
      <c r="A281" s="26" t="s">
        <v>936</v>
      </c>
      <c r="B281" s="27" t="s">
        <v>937</v>
      </c>
      <c r="C281" s="28" t="n">
        <v>3.324</v>
      </c>
      <c r="D281" s="27" t="s">
        <v>296</v>
      </c>
      <c r="E281" s="27" t="s">
        <v>117</v>
      </c>
      <c r="F281" s="29" t="s">
        <v>938</v>
      </c>
      <c r="G281" s="27" t="s">
        <v>169</v>
      </c>
      <c r="H281" s="30" t="n">
        <v>406</v>
      </c>
      <c r="I281" s="27" t="s">
        <v>104</v>
      </c>
      <c r="J281" s="29" t="s">
        <v>170</v>
      </c>
      <c r="K281" s="29" t="s">
        <v>106</v>
      </c>
      <c r="L281" s="31" t="s">
        <v>107</v>
      </c>
    </row>
    <row r="282" customFormat="false" ht="15" hidden="false" customHeight="false" outlineLevel="0" collapsed="false">
      <c r="A282" s="21" t="s">
        <v>939</v>
      </c>
      <c r="B282" s="5" t="s">
        <v>940</v>
      </c>
      <c r="C282" s="22" t="n">
        <v>650</v>
      </c>
      <c r="D282" s="5" t="s">
        <v>100</v>
      </c>
      <c r="E282" s="5" t="s">
        <v>117</v>
      </c>
      <c r="F282" s="23" t="s">
        <v>926</v>
      </c>
      <c r="G282" s="5" t="s">
        <v>169</v>
      </c>
      <c r="H282" s="24" t="n">
        <v>406</v>
      </c>
      <c r="I282" s="5" t="s">
        <v>104</v>
      </c>
      <c r="J282" s="23" t="s">
        <v>170</v>
      </c>
      <c r="K282" s="23" t="s">
        <v>106</v>
      </c>
      <c r="L282" s="25" t="s">
        <v>107</v>
      </c>
    </row>
    <row r="283" customFormat="false" ht="15" hidden="false" customHeight="false" outlineLevel="0" collapsed="false">
      <c r="A283" s="26" t="s">
        <v>941</v>
      </c>
      <c r="B283" s="27" t="s">
        <v>942</v>
      </c>
      <c r="C283" s="28" t="n">
        <v>3.795</v>
      </c>
      <c r="D283" s="27" t="s">
        <v>296</v>
      </c>
      <c r="E283" s="27" t="s">
        <v>117</v>
      </c>
      <c r="F283" s="29" t="s">
        <v>943</v>
      </c>
      <c r="G283" s="27" t="s">
        <v>169</v>
      </c>
      <c r="H283" s="30" t="n">
        <v>406</v>
      </c>
      <c r="I283" s="27" t="s">
        <v>104</v>
      </c>
      <c r="J283" s="29" t="s">
        <v>170</v>
      </c>
      <c r="K283" s="29" t="s">
        <v>106</v>
      </c>
      <c r="L283" s="31" t="s">
        <v>107</v>
      </c>
    </row>
    <row r="284" customFormat="false" ht="15" hidden="false" customHeight="false" outlineLevel="0" collapsed="false">
      <c r="A284" s="21" t="s">
        <v>944</v>
      </c>
      <c r="B284" s="5" t="s">
        <v>945</v>
      </c>
      <c r="C284" s="22" t="n">
        <v>700</v>
      </c>
      <c r="D284" s="5" t="s">
        <v>100</v>
      </c>
      <c r="E284" s="5" t="s">
        <v>137</v>
      </c>
      <c r="F284" s="23" t="s">
        <v>461</v>
      </c>
      <c r="G284" s="5" t="s">
        <v>169</v>
      </c>
      <c r="H284" s="24" t="n">
        <v>407</v>
      </c>
      <c r="I284" s="5" t="s">
        <v>104</v>
      </c>
      <c r="J284" s="23" t="s">
        <v>170</v>
      </c>
      <c r="K284" s="23" t="s">
        <v>106</v>
      </c>
      <c r="L284" s="25" t="s">
        <v>107</v>
      </c>
    </row>
    <row r="285" customFormat="false" ht="15" hidden="false" customHeight="false" outlineLevel="0" collapsed="false">
      <c r="A285" s="26" t="s">
        <v>946</v>
      </c>
      <c r="B285" s="27" t="s">
        <v>947</v>
      </c>
      <c r="C285" s="32" t="n">
        <v>0</v>
      </c>
      <c r="D285" s="27" t="s">
        <v>296</v>
      </c>
      <c r="E285" s="27" t="s">
        <v>137</v>
      </c>
      <c r="F285" s="29" t="s">
        <v>948</v>
      </c>
      <c r="G285" s="27" t="s">
        <v>169</v>
      </c>
      <c r="H285" s="30" t="n">
        <v>407</v>
      </c>
      <c r="I285" s="27" t="s">
        <v>104</v>
      </c>
      <c r="J285" s="29" t="s">
        <v>170</v>
      </c>
      <c r="K285" s="29" t="s">
        <v>106</v>
      </c>
      <c r="L285" s="31" t="s">
        <v>107</v>
      </c>
    </row>
    <row r="286" customFormat="false" ht="15" hidden="false" customHeight="false" outlineLevel="0" collapsed="false">
      <c r="A286" s="21" t="s">
        <v>949</v>
      </c>
      <c r="B286" s="5" t="s">
        <v>950</v>
      </c>
      <c r="C286" s="22" t="n">
        <v>750</v>
      </c>
      <c r="D286" s="5" t="s">
        <v>100</v>
      </c>
      <c r="E286" s="5" t="s">
        <v>137</v>
      </c>
      <c r="F286" s="23" t="s">
        <v>923</v>
      </c>
      <c r="G286" s="5" t="s">
        <v>169</v>
      </c>
      <c r="H286" s="24" t="n">
        <v>407</v>
      </c>
      <c r="I286" s="5" t="s">
        <v>104</v>
      </c>
      <c r="J286" s="23" t="s">
        <v>170</v>
      </c>
      <c r="K286" s="23" t="s">
        <v>106</v>
      </c>
      <c r="L286" s="25" t="s">
        <v>107</v>
      </c>
    </row>
    <row r="287" customFormat="false" ht="15" hidden="false" customHeight="false" outlineLevel="0" collapsed="false">
      <c r="A287" s="26" t="s">
        <v>951</v>
      </c>
      <c r="B287" s="27" t="s">
        <v>952</v>
      </c>
      <c r="C287" s="28" t="n">
        <v>4.625</v>
      </c>
      <c r="D287" s="27" t="s">
        <v>296</v>
      </c>
      <c r="E287" s="27" t="s">
        <v>137</v>
      </c>
      <c r="F287" s="29" t="s">
        <v>953</v>
      </c>
      <c r="G287" s="27" t="s">
        <v>169</v>
      </c>
      <c r="H287" s="30" t="n">
        <v>407</v>
      </c>
      <c r="I287" s="27" t="s">
        <v>104</v>
      </c>
      <c r="J287" s="29" t="s">
        <v>170</v>
      </c>
      <c r="K287" s="29" t="s">
        <v>106</v>
      </c>
      <c r="L287" s="31" t="s">
        <v>107</v>
      </c>
    </row>
    <row r="288" customFormat="false" ht="15" hidden="false" customHeight="false" outlineLevel="0" collapsed="false">
      <c r="A288" s="21" t="s">
        <v>954</v>
      </c>
      <c r="B288" s="5" t="s">
        <v>955</v>
      </c>
      <c r="C288" s="22" t="n">
        <v>850</v>
      </c>
      <c r="D288" s="5" t="s">
        <v>100</v>
      </c>
      <c r="E288" s="5" t="s">
        <v>137</v>
      </c>
      <c r="F288" s="23" t="s">
        <v>935</v>
      </c>
      <c r="G288" s="5" t="s">
        <v>169</v>
      </c>
      <c r="H288" s="24" t="n">
        <v>407</v>
      </c>
      <c r="I288" s="5" t="s">
        <v>104</v>
      </c>
      <c r="J288" s="23" t="s">
        <v>170</v>
      </c>
      <c r="K288" s="23" t="s">
        <v>106</v>
      </c>
      <c r="L288" s="25" t="s">
        <v>107</v>
      </c>
    </row>
    <row r="289" customFormat="false" ht="15" hidden="false" customHeight="false" outlineLevel="0" collapsed="false">
      <c r="A289" s="26" t="s">
        <v>956</v>
      </c>
      <c r="B289" s="27" t="s">
        <v>957</v>
      </c>
      <c r="C289" s="28" t="n">
        <v>1.25</v>
      </c>
      <c r="D289" s="27" t="s">
        <v>296</v>
      </c>
      <c r="E289" s="27" t="s">
        <v>137</v>
      </c>
      <c r="F289" s="29" t="s">
        <v>958</v>
      </c>
      <c r="G289" s="27" t="s">
        <v>169</v>
      </c>
      <c r="H289" s="30" t="n">
        <v>407</v>
      </c>
      <c r="I289" s="27" t="s">
        <v>104</v>
      </c>
      <c r="J289" s="29" t="s">
        <v>170</v>
      </c>
      <c r="K289" s="29" t="s">
        <v>106</v>
      </c>
      <c r="L289" s="31" t="s">
        <v>107</v>
      </c>
    </row>
    <row r="290" customFormat="false" ht="15" hidden="false" customHeight="false" outlineLevel="0" collapsed="false">
      <c r="A290" s="21" t="s">
        <v>959</v>
      </c>
      <c r="B290" s="5" t="s">
        <v>960</v>
      </c>
      <c r="C290" s="22" t="n">
        <v>250</v>
      </c>
      <c r="D290" s="5" t="s">
        <v>100</v>
      </c>
      <c r="E290" s="5" t="s">
        <v>137</v>
      </c>
      <c r="F290" s="23" t="s">
        <v>961</v>
      </c>
      <c r="G290" s="5" t="s">
        <v>169</v>
      </c>
      <c r="H290" s="24" t="n">
        <v>407</v>
      </c>
      <c r="I290" s="5" t="s">
        <v>104</v>
      </c>
      <c r="J290" s="23" t="s">
        <v>170</v>
      </c>
      <c r="K290" s="23" t="s">
        <v>106</v>
      </c>
      <c r="L290" s="25" t="s">
        <v>107</v>
      </c>
    </row>
    <row r="291" customFormat="false" ht="15" hidden="false" customHeight="false" outlineLevel="0" collapsed="false">
      <c r="A291" s="26" t="s">
        <v>962</v>
      </c>
      <c r="B291" s="27" t="s">
        <v>963</v>
      </c>
      <c r="C291" s="28" t="n">
        <v>1.904</v>
      </c>
      <c r="D291" s="27" t="s">
        <v>296</v>
      </c>
      <c r="E291" s="27" t="s">
        <v>137</v>
      </c>
      <c r="F291" s="29" t="s">
        <v>964</v>
      </c>
      <c r="G291" s="27" t="s">
        <v>169</v>
      </c>
      <c r="H291" s="30" t="n">
        <v>407</v>
      </c>
      <c r="I291" s="27" t="s">
        <v>104</v>
      </c>
      <c r="J291" s="29" t="s">
        <v>170</v>
      </c>
      <c r="K291" s="29" t="s">
        <v>106</v>
      </c>
      <c r="L291" s="31" t="s">
        <v>107</v>
      </c>
    </row>
    <row r="292" customFormat="false" ht="15" hidden="false" customHeight="false" outlineLevel="0" collapsed="false">
      <c r="A292" s="21" t="s">
        <v>965</v>
      </c>
      <c r="B292" s="5" t="s">
        <v>966</v>
      </c>
      <c r="C292" s="22" t="n">
        <v>500</v>
      </c>
      <c r="D292" s="5" t="s">
        <v>100</v>
      </c>
      <c r="E292" s="5" t="s">
        <v>137</v>
      </c>
      <c r="F292" s="23" t="s">
        <v>967</v>
      </c>
      <c r="G292" s="5" t="s">
        <v>169</v>
      </c>
      <c r="H292" s="24" t="n">
        <v>407</v>
      </c>
      <c r="I292" s="5" t="s">
        <v>104</v>
      </c>
      <c r="J292" s="23" t="s">
        <v>170</v>
      </c>
      <c r="K292" s="23" t="s">
        <v>106</v>
      </c>
      <c r="L292" s="25" t="s">
        <v>107</v>
      </c>
    </row>
    <row r="293" customFormat="false" ht="15" hidden="false" customHeight="false" outlineLevel="0" collapsed="false">
      <c r="A293" s="26" t="s">
        <v>968</v>
      </c>
      <c r="B293" s="27" t="s">
        <v>969</v>
      </c>
      <c r="C293" s="28" t="n">
        <v>1.59</v>
      </c>
      <c r="D293" s="27" t="s">
        <v>296</v>
      </c>
      <c r="E293" s="27" t="s">
        <v>137</v>
      </c>
      <c r="F293" s="29" t="s">
        <v>970</v>
      </c>
      <c r="G293" s="27" t="s">
        <v>169</v>
      </c>
      <c r="H293" s="30" t="n">
        <v>407</v>
      </c>
      <c r="I293" s="27" t="s">
        <v>104</v>
      </c>
      <c r="J293" s="29" t="s">
        <v>170</v>
      </c>
      <c r="K293" s="29" t="s">
        <v>106</v>
      </c>
      <c r="L293" s="31" t="s">
        <v>107</v>
      </c>
    </row>
    <row r="294" customFormat="false" ht="15" hidden="false" customHeight="false" outlineLevel="0" collapsed="false">
      <c r="A294" s="21" t="s">
        <v>971</v>
      </c>
      <c r="B294" s="5" t="s">
        <v>972</v>
      </c>
      <c r="C294" s="22" t="n">
        <v>287</v>
      </c>
      <c r="D294" s="5" t="s">
        <v>100</v>
      </c>
      <c r="E294" s="5" t="s">
        <v>137</v>
      </c>
      <c r="F294" s="23" t="s">
        <v>973</v>
      </c>
      <c r="G294" s="5" t="s">
        <v>169</v>
      </c>
      <c r="H294" s="24" t="n">
        <v>407</v>
      </c>
      <c r="I294" s="5" t="s">
        <v>104</v>
      </c>
      <c r="J294" s="23" t="s">
        <v>170</v>
      </c>
      <c r="K294" s="23" t="s">
        <v>106</v>
      </c>
      <c r="L294" s="25" t="s">
        <v>107</v>
      </c>
    </row>
    <row r="295" customFormat="false" ht="15" hidden="false" customHeight="false" outlineLevel="0" collapsed="false">
      <c r="A295" s="26" t="s">
        <v>974</v>
      </c>
      <c r="B295" s="27" t="s">
        <v>975</v>
      </c>
      <c r="C295" s="32" t="n">
        <v>13831</v>
      </c>
      <c r="D295" s="27" t="s">
        <v>100</v>
      </c>
      <c r="E295" s="27" t="s">
        <v>137</v>
      </c>
      <c r="F295" s="29" t="s">
        <v>976</v>
      </c>
      <c r="G295" s="27" t="s">
        <v>169</v>
      </c>
      <c r="H295" s="30" t="n">
        <v>407</v>
      </c>
      <c r="I295" s="27" t="s">
        <v>104</v>
      </c>
      <c r="J295" s="29" t="s">
        <v>170</v>
      </c>
      <c r="K295" s="29" t="s">
        <v>106</v>
      </c>
      <c r="L295" s="31" t="s">
        <v>107</v>
      </c>
    </row>
    <row r="296" customFormat="false" ht="15" hidden="false" customHeight="false" outlineLevel="0" collapsed="false">
      <c r="A296" s="21" t="s">
        <v>977</v>
      </c>
      <c r="B296" s="5" t="s">
        <v>978</v>
      </c>
      <c r="C296" s="22" t="n">
        <v>16541</v>
      </c>
      <c r="D296" s="5" t="s">
        <v>100</v>
      </c>
      <c r="E296" s="5" t="s">
        <v>137</v>
      </c>
      <c r="F296" s="23" t="s">
        <v>979</v>
      </c>
      <c r="G296" s="5" t="s">
        <v>169</v>
      </c>
      <c r="H296" s="24" t="n">
        <v>407</v>
      </c>
      <c r="I296" s="5" t="s">
        <v>104</v>
      </c>
      <c r="J296" s="23" t="s">
        <v>170</v>
      </c>
      <c r="K296" s="23" t="s">
        <v>106</v>
      </c>
      <c r="L296" s="25" t="s">
        <v>107</v>
      </c>
    </row>
    <row r="297" customFormat="false" ht="15" hidden="false" customHeight="false" outlineLevel="0" collapsed="false">
      <c r="A297" s="26" t="s">
        <v>980</v>
      </c>
      <c r="B297" s="27" t="s">
        <v>981</v>
      </c>
      <c r="C297" s="32" t="n">
        <v>6890</v>
      </c>
      <c r="D297" s="27" t="s">
        <v>100</v>
      </c>
      <c r="E297" s="27" t="s">
        <v>137</v>
      </c>
      <c r="F297" s="29" t="s">
        <v>982</v>
      </c>
      <c r="G297" s="27" t="s">
        <v>169</v>
      </c>
      <c r="H297" s="30" t="n">
        <v>408</v>
      </c>
      <c r="I297" s="27" t="s">
        <v>104</v>
      </c>
      <c r="J297" s="29" t="s">
        <v>170</v>
      </c>
      <c r="K297" s="29" t="s">
        <v>106</v>
      </c>
      <c r="L297" s="31" t="s">
        <v>107</v>
      </c>
    </row>
    <row r="298" customFormat="false" ht="15" hidden="false" customHeight="false" outlineLevel="0" collapsed="false">
      <c r="A298" s="21" t="s">
        <v>983</v>
      </c>
      <c r="B298" s="5" t="s">
        <v>984</v>
      </c>
      <c r="C298" s="22" t="n">
        <v>1064</v>
      </c>
      <c r="D298" s="5" t="s">
        <v>100</v>
      </c>
      <c r="E298" s="5" t="s">
        <v>137</v>
      </c>
      <c r="F298" s="23" t="s">
        <v>985</v>
      </c>
      <c r="G298" s="5" t="s">
        <v>169</v>
      </c>
      <c r="H298" s="24" t="n">
        <v>408</v>
      </c>
      <c r="I298" s="5" t="s">
        <v>104</v>
      </c>
      <c r="J298" s="23" t="s">
        <v>170</v>
      </c>
      <c r="K298" s="23" t="s">
        <v>106</v>
      </c>
      <c r="L298" s="25" t="s">
        <v>107</v>
      </c>
    </row>
    <row r="299" customFormat="false" ht="15" hidden="false" customHeight="false" outlineLevel="0" collapsed="false">
      <c r="A299" s="26" t="s">
        <v>986</v>
      </c>
      <c r="B299" s="27" t="s">
        <v>987</v>
      </c>
      <c r="C299" s="32" t="n">
        <v>462</v>
      </c>
      <c r="D299" s="27" t="s">
        <v>100</v>
      </c>
      <c r="E299" s="27" t="s">
        <v>137</v>
      </c>
      <c r="F299" s="29" t="s">
        <v>988</v>
      </c>
      <c r="G299" s="27" t="s">
        <v>169</v>
      </c>
      <c r="H299" s="30" t="n">
        <v>408</v>
      </c>
      <c r="I299" s="27" t="s">
        <v>104</v>
      </c>
      <c r="J299" s="29" t="s">
        <v>170</v>
      </c>
      <c r="K299" s="29" t="s">
        <v>106</v>
      </c>
      <c r="L299" s="31" t="s">
        <v>107</v>
      </c>
    </row>
    <row r="300" customFormat="false" ht="15" hidden="false" customHeight="false" outlineLevel="0" collapsed="false">
      <c r="A300" s="21" t="s">
        <v>989</v>
      </c>
      <c r="B300" s="5" t="s">
        <v>990</v>
      </c>
      <c r="C300" s="22" t="n">
        <v>911</v>
      </c>
      <c r="D300" s="5" t="s">
        <v>100</v>
      </c>
      <c r="E300" s="5" t="s">
        <v>137</v>
      </c>
      <c r="F300" s="23" t="s">
        <v>991</v>
      </c>
      <c r="G300" s="5" t="s">
        <v>169</v>
      </c>
      <c r="H300" s="24" t="n">
        <v>408</v>
      </c>
      <c r="I300" s="5" t="s">
        <v>104</v>
      </c>
      <c r="J300" s="23" t="s">
        <v>170</v>
      </c>
      <c r="K300" s="23" t="s">
        <v>106</v>
      </c>
      <c r="L300" s="25" t="s">
        <v>107</v>
      </c>
    </row>
    <row r="301" customFormat="false" ht="15" hidden="false" customHeight="false" outlineLevel="0" collapsed="false">
      <c r="A301" s="26" t="s">
        <v>992</v>
      </c>
      <c r="B301" s="27" t="s">
        <v>993</v>
      </c>
      <c r="C301" s="32" t="n">
        <v>4933</v>
      </c>
      <c r="D301" s="27" t="s">
        <v>100</v>
      </c>
      <c r="E301" s="27" t="s">
        <v>137</v>
      </c>
      <c r="F301" s="29" t="s">
        <v>994</v>
      </c>
      <c r="G301" s="27" t="s">
        <v>169</v>
      </c>
      <c r="H301" s="30" t="n">
        <v>408</v>
      </c>
      <c r="I301" s="27" t="s">
        <v>104</v>
      </c>
      <c r="J301" s="29" t="s">
        <v>170</v>
      </c>
      <c r="K301" s="29" t="s">
        <v>106</v>
      </c>
      <c r="L301" s="31" t="s">
        <v>107</v>
      </c>
    </row>
    <row r="302" customFormat="false" ht="15" hidden="false" customHeight="false" outlineLevel="0" collapsed="false">
      <c r="A302" s="21" t="s">
        <v>995</v>
      </c>
      <c r="B302" s="5" t="s">
        <v>996</v>
      </c>
      <c r="C302" s="22" t="n">
        <v>863</v>
      </c>
      <c r="D302" s="5" t="s">
        <v>100</v>
      </c>
      <c r="E302" s="5" t="s">
        <v>137</v>
      </c>
      <c r="F302" s="23" t="s">
        <v>997</v>
      </c>
      <c r="G302" s="5" t="s">
        <v>169</v>
      </c>
      <c r="H302" s="24" t="n">
        <v>408</v>
      </c>
      <c r="I302" s="5" t="s">
        <v>104</v>
      </c>
      <c r="J302" s="23" t="s">
        <v>170</v>
      </c>
      <c r="K302" s="23" t="s">
        <v>106</v>
      </c>
      <c r="L302" s="25" t="s">
        <v>107</v>
      </c>
    </row>
    <row r="303" customFormat="false" ht="15" hidden="false" customHeight="false" outlineLevel="0" collapsed="false">
      <c r="A303" s="26" t="s">
        <v>998</v>
      </c>
      <c r="B303" s="27" t="s">
        <v>999</v>
      </c>
      <c r="C303" s="32" t="n">
        <v>186</v>
      </c>
      <c r="D303" s="27" t="s">
        <v>100</v>
      </c>
      <c r="E303" s="27" t="s">
        <v>137</v>
      </c>
      <c r="F303" s="29" t="s">
        <v>1000</v>
      </c>
      <c r="G303" s="27" t="s">
        <v>169</v>
      </c>
      <c r="H303" s="30" t="n">
        <v>408</v>
      </c>
      <c r="I303" s="27" t="s">
        <v>104</v>
      </c>
      <c r="J303" s="29" t="s">
        <v>170</v>
      </c>
      <c r="K303" s="29" t="s">
        <v>106</v>
      </c>
      <c r="L303" s="31" t="s">
        <v>107</v>
      </c>
    </row>
    <row r="304" customFormat="false" ht="15" hidden="false" customHeight="false" outlineLevel="0" collapsed="false">
      <c r="A304" s="21" t="s">
        <v>1001</v>
      </c>
      <c r="B304" s="5" t="s">
        <v>1002</v>
      </c>
      <c r="C304" s="22" t="n">
        <v>1108</v>
      </c>
      <c r="D304" s="5" t="s">
        <v>100</v>
      </c>
      <c r="E304" s="5" t="s">
        <v>117</v>
      </c>
      <c r="F304" s="23" t="s">
        <v>1003</v>
      </c>
      <c r="G304" s="5" t="s">
        <v>169</v>
      </c>
      <c r="H304" s="24" t="n">
        <v>408</v>
      </c>
      <c r="I304" s="5" t="s">
        <v>104</v>
      </c>
      <c r="J304" s="23" t="s">
        <v>170</v>
      </c>
      <c r="K304" s="23" t="s">
        <v>106</v>
      </c>
      <c r="L304" s="25" t="s">
        <v>107</v>
      </c>
    </row>
    <row r="305" customFormat="false" ht="15" hidden="false" customHeight="false" outlineLevel="0" collapsed="false">
      <c r="A305" s="26" t="s">
        <v>1004</v>
      </c>
      <c r="B305" s="27" t="s">
        <v>1005</v>
      </c>
      <c r="C305" s="32" t="n">
        <v>469</v>
      </c>
      <c r="D305" s="27" t="s">
        <v>100</v>
      </c>
      <c r="E305" s="27" t="s">
        <v>137</v>
      </c>
      <c r="F305" s="29" t="s">
        <v>1006</v>
      </c>
      <c r="G305" s="27" t="s">
        <v>169</v>
      </c>
      <c r="H305" s="30" t="n">
        <v>409</v>
      </c>
      <c r="I305" s="27" t="s">
        <v>104</v>
      </c>
      <c r="J305" s="29" t="s">
        <v>170</v>
      </c>
      <c r="K305" s="29" t="s">
        <v>106</v>
      </c>
      <c r="L305" s="31" t="s">
        <v>107</v>
      </c>
    </row>
    <row r="306" customFormat="false" ht="15" hidden="false" customHeight="false" outlineLevel="0" collapsed="false">
      <c r="A306" s="21" t="s">
        <v>1007</v>
      </c>
      <c r="B306" s="5" t="s">
        <v>1008</v>
      </c>
      <c r="C306" s="22" t="n">
        <v>361</v>
      </c>
      <c r="D306" s="5" t="s">
        <v>100</v>
      </c>
      <c r="E306" s="5" t="s">
        <v>137</v>
      </c>
      <c r="F306" s="23" t="s">
        <v>1009</v>
      </c>
      <c r="G306" s="5" t="s">
        <v>169</v>
      </c>
      <c r="H306" s="24" t="n">
        <v>409</v>
      </c>
      <c r="I306" s="5" t="s">
        <v>104</v>
      </c>
      <c r="J306" s="23" t="s">
        <v>170</v>
      </c>
      <c r="K306" s="23" t="s">
        <v>106</v>
      </c>
      <c r="L306" s="25" t="s">
        <v>107</v>
      </c>
    </row>
    <row r="307" customFormat="false" ht="15" hidden="false" customHeight="false" outlineLevel="0" collapsed="false">
      <c r="A307" s="26" t="s">
        <v>1010</v>
      </c>
      <c r="B307" s="27" t="s">
        <v>1011</v>
      </c>
      <c r="C307" s="32" t="n">
        <v>300</v>
      </c>
      <c r="D307" s="27" t="s">
        <v>100</v>
      </c>
      <c r="E307" s="27" t="s">
        <v>137</v>
      </c>
      <c r="F307" s="29" t="s">
        <v>1012</v>
      </c>
      <c r="G307" s="27" t="s">
        <v>169</v>
      </c>
      <c r="H307" s="30" t="n">
        <v>409</v>
      </c>
      <c r="I307" s="27" t="s">
        <v>104</v>
      </c>
      <c r="J307" s="29" t="s">
        <v>170</v>
      </c>
      <c r="K307" s="29" t="s">
        <v>106</v>
      </c>
      <c r="L307" s="31" t="s">
        <v>107</v>
      </c>
    </row>
    <row r="308" customFormat="false" ht="15" hidden="false" customHeight="false" outlineLevel="0" collapsed="false">
      <c r="A308" s="21" t="s">
        <v>1013</v>
      </c>
      <c r="B308" s="5" t="s">
        <v>1014</v>
      </c>
      <c r="C308" s="22" t="n">
        <v>184</v>
      </c>
      <c r="D308" s="5" t="s">
        <v>100</v>
      </c>
      <c r="E308" s="5" t="s">
        <v>137</v>
      </c>
      <c r="F308" s="23" t="s">
        <v>1015</v>
      </c>
      <c r="G308" s="5" t="s">
        <v>169</v>
      </c>
      <c r="H308" s="24" t="n">
        <v>409</v>
      </c>
      <c r="I308" s="5" t="s">
        <v>104</v>
      </c>
      <c r="J308" s="23" t="s">
        <v>170</v>
      </c>
      <c r="K308" s="23" t="s">
        <v>106</v>
      </c>
      <c r="L308" s="25" t="s">
        <v>107</v>
      </c>
    </row>
    <row r="309" customFormat="false" ht="15" hidden="false" customHeight="false" outlineLevel="0" collapsed="false">
      <c r="A309" s="26" t="s">
        <v>1016</v>
      </c>
      <c r="B309" s="27" t="s">
        <v>1017</v>
      </c>
      <c r="C309" s="32" t="n">
        <v>136</v>
      </c>
      <c r="D309" s="27" t="s">
        <v>100</v>
      </c>
      <c r="E309" s="27" t="s">
        <v>137</v>
      </c>
      <c r="F309" s="29" t="s">
        <v>1018</v>
      </c>
      <c r="G309" s="27" t="s">
        <v>169</v>
      </c>
      <c r="H309" s="30" t="n">
        <v>409</v>
      </c>
      <c r="I309" s="27" t="s">
        <v>104</v>
      </c>
      <c r="J309" s="29" t="s">
        <v>170</v>
      </c>
      <c r="K309" s="29" t="s">
        <v>106</v>
      </c>
      <c r="L309" s="31" t="s">
        <v>107</v>
      </c>
    </row>
    <row r="310" customFormat="false" ht="15" hidden="false" customHeight="false" outlineLevel="0" collapsed="false">
      <c r="A310" s="21" t="s">
        <v>1019</v>
      </c>
      <c r="B310" s="5" t="s">
        <v>1020</v>
      </c>
      <c r="C310" s="22" t="n">
        <v>532</v>
      </c>
      <c r="D310" s="5" t="s">
        <v>100</v>
      </c>
      <c r="E310" s="5" t="s">
        <v>137</v>
      </c>
      <c r="F310" s="23" t="s">
        <v>1021</v>
      </c>
      <c r="G310" s="5" t="s">
        <v>169</v>
      </c>
      <c r="H310" s="24" t="n">
        <v>409</v>
      </c>
      <c r="I310" s="5" t="s">
        <v>104</v>
      </c>
      <c r="J310" s="23" t="s">
        <v>170</v>
      </c>
      <c r="K310" s="23" t="s">
        <v>106</v>
      </c>
      <c r="L310" s="25" t="s">
        <v>107</v>
      </c>
    </row>
    <row r="311" customFormat="false" ht="15" hidden="false" customHeight="false" outlineLevel="0" collapsed="false">
      <c r="A311" s="26" t="s">
        <v>1022</v>
      </c>
      <c r="B311" s="27" t="s">
        <v>1023</v>
      </c>
      <c r="C311" s="32" t="n">
        <v>556</v>
      </c>
      <c r="D311" s="27" t="s">
        <v>100</v>
      </c>
      <c r="E311" s="27" t="s">
        <v>117</v>
      </c>
      <c r="F311" s="29" t="s">
        <v>1024</v>
      </c>
      <c r="G311" s="27" t="s">
        <v>169</v>
      </c>
      <c r="H311" s="30" t="n">
        <v>409</v>
      </c>
      <c r="I311" s="27" t="s">
        <v>104</v>
      </c>
      <c r="J311" s="29" t="s">
        <v>170</v>
      </c>
      <c r="K311" s="29" t="s">
        <v>106</v>
      </c>
      <c r="L311" s="31" t="s">
        <v>107</v>
      </c>
    </row>
    <row r="312" customFormat="false" ht="15" hidden="false" customHeight="false" outlineLevel="0" collapsed="false">
      <c r="A312" s="21" t="s">
        <v>1025</v>
      </c>
      <c r="B312" s="5" t="s">
        <v>1026</v>
      </c>
      <c r="C312" s="22" t="n">
        <v>637</v>
      </c>
      <c r="D312" s="5" t="s">
        <v>100</v>
      </c>
      <c r="E312" s="5" t="s">
        <v>117</v>
      </c>
      <c r="F312" s="23" t="s">
        <v>1027</v>
      </c>
      <c r="G312" s="5" t="s">
        <v>169</v>
      </c>
      <c r="H312" s="24" t="n">
        <v>409</v>
      </c>
      <c r="I312" s="5" t="s">
        <v>104</v>
      </c>
      <c r="J312" s="23" t="s">
        <v>170</v>
      </c>
      <c r="K312" s="23" t="s">
        <v>106</v>
      </c>
      <c r="L312" s="25" t="s">
        <v>107</v>
      </c>
    </row>
    <row r="313" customFormat="false" ht="15" hidden="false" customHeight="false" outlineLevel="0" collapsed="false">
      <c r="A313" s="26" t="s">
        <v>1028</v>
      </c>
      <c r="B313" s="27" t="s">
        <v>1029</v>
      </c>
      <c r="C313" s="32" t="n">
        <v>6144</v>
      </c>
      <c r="D313" s="27" t="s">
        <v>100</v>
      </c>
      <c r="E313" s="27" t="s">
        <v>117</v>
      </c>
      <c r="F313" s="29" t="s">
        <v>1030</v>
      </c>
      <c r="G313" s="27" t="s">
        <v>169</v>
      </c>
      <c r="H313" s="30" t="n">
        <v>362</v>
      </c>
      <c r="I313" s="27" t="s">
        <v>104</v>
      </c>
      <c r="J313" s="29" t="s">
        <v>170</v>
      </c>
      <c r="K313" s="29" t="s">
        <v>106</v>
      </c>
      <c r="L313" s="31" t="s">
        <v>107</v>
      </c>
    </row>
    <row r="314" customFormat="false" ht="15" hidden="false" customHeight="false" outlineLevel="0" collapsed="false">
      <c r="A314" s="21" t="s">
        <v>1031</v>
      </c>
      <c r="B314" s="5" t="s">
        <v>1029</v>
      </c>
      <c r="C314" s="22" t="n">
        <v>5818</v>
      </c>
      <c r="D314" s="5" t="s">
        <v>100</v>
      </c>
      <c r="E314" s="5" t="s">
        <v>157</v>
      </c>
      <c r="F314" s="23" t="s">
        <v>1032</v>
      </c>
      <c r="G314" s="5" t="s">
        <v>169</v>
      </c>
      <c r="H314" s="24" t="n">
        <v>362</v>
      </c>
      <c r="I314" s="5" t="s">
        <v>104</v>
      </c>
      <c r="J314" s="23" t="s">
        <v>170</v>
      </c>
      <c r="K314" s="23" t="s">
        <v>106</v>
      </c>
      <c r="L314" s="25" t="s">
        <v>107</v>
      </c>
    </row>
    <row r="315" customFormat="false" ht="15" hidden="false" customHeight="false" outlineLevel="0" collapsed="false">
      <c r="A315" s="26" t="s">
        <v>1033</v>
      </c>
      <c r="B315" s="27" t="s">
        <v>1034</v>
      </c>
      <c r="C315" s="32" t="n">
        <v>-120</v>
      </c>
      <c r="D315" s="27" t="s">
        <v>100</v>
      </c>
      <c r="E315" s="27" t="s">
        <v>117</v>
      </c>
      <c r="F315" s="29" t="s">
        <v>1035</v>
      </c>
      <c r="G315" s="27" t="s">
        <v>169</v>
      </c>
      <c r="H315" s="30" t="n">
        <v>362</v>
      </c>
      <c r="I315" s="27" t="s">
        <v>124</v>
      </c>
      <c r="J315" s="29" t="s">
        <v>170</v>
      </c>
      <c r="K315" s="29" t="s">
        <v>106</v>
      </c>
      <c r="L315" s="31" t="s">
        <v>107</v>
      </c>
    </row>
    <row r="316" customFormat="false" ht="15" hidden="false" customHeight="false" outlineLevel="0" collapsed="false">
      <c r="A316" s="21" t="s">
        <v>1036</v>
      </c>
      <c r="B316" s="5" t="s">
        <v>1034</v>
      </c>
      <c r="C316" s="22" t="n">
        <v>75</v>
      </c>
      <c r="D316" s="5" t="s">
        <v>100</v>
      </c>
      <c r="E316" s="5" t="s">
        <v>157</v>
      </c>
      <c r="F316" s="23" t="s">
        <v>453</v>
      </c>
      <c r="G316" s="5" t="s">
        <v>169</v>
      </c>
      <c r="H316" s="24" t="n">
        <v>362</v>
      </c>
      <c r="I316" s="5" t="s">
        <v>124</v>
      </c>
      <c r="J316" s="23" t="s">
        <v>170</v>
      </c>
      <c r="K316" s="23" t="s">
        <v>106</v>
      </c>
      <c r="L316" s="25" t="s">
        <v>107</v>
      </c>
    </row>
    <row r="317" customFormat="false" ht="15" hidden="false" customHeight="false" outlineLevel="0" collapsed="false">
      <c r="A317" s="26" t="s">
        <v>1037</v>
      </c>
      <c r="B317" s="27" t="s">
        <v>1038</v>
      </c>
      <c r="C317" s="32" t="n">
        <v>-278</v>
      </c>
      <c r="D317" s="27" t="s">
        <v>100</v>
      </c>
      <c r="E317" s="27" t="s">
        <v>117</v>
      </c>
      <c r="F317" s="29" t="s">
        <v>1039</v>
      </c>
      <c r="G317" s="27" t="s">
        <v>169</v>
      </c>
      <c r="H317" s="30" t="n">
        <v>362</v>
      </c>
      <c r="I317" s="27" t="s">
        <v>124</v>
      </c>
      <c r="J317" s="29" t="s">
        <v>170</v>
      </c>
      <c r="K317" s="29" t="s">
        <v>106</v>
      </c>
      <c r="L317" s="31" t="s">
        <v>107</v>
      </c>
    </row>
    <row r="318" customFormat="false" ht="15" hidden="false" customHeight="false" outlineLevel="0" collapsed="false">
      <c r="A318" s="21" t="s">
        <v>1040</v>
      </c>
      <c r="B318" s="5" t="s">
        <v>1038</v>
      </c>
      <c r="C318" s="22" t="n">
        <v>-270</v>
      </c>
      <c r="D318" s="5" t="s">
        <v>100</v>
      </c>
      <c r="E318" s="5" t="s">
        <v>157</v>
      </c>
      <c r="F318" s="23" t="s">
        <v>1041</v>
      </c>
      <c r="G318" s="5" t="s">
        <v>169</v>
      </c>
      <c r="H318" s="24" t="n">
        <v>362</v>
      </c>
      <c r="I318" s="5" t="s">
        <v>124</v>
      </c>
      <c r="J318" s="23" t="s">
        <v>170</v>
      </c>
      <c r="K318" s="23" t="s">
        <v>106</v>
      </c>
      <c r="L318" s="25" t="s">
        <v>107</v>
      </c>
    </row>
    <row r="319" customFormat="false" ht="15" hidden="false" customHeight="false" outlineLevel="0" collapsed="false">
      <c r="A319" s="26" t="s">
        <v>1042</v>
      </c>
      <c r="B319" s="27" t="s">
        <v>1043</v>
      </c>
      <c r="C319" s="32" t="n">
        <v>-596</v>
      </c>
      <c r="D319" s="27" t="s">
        <v>100</v>
      </c>
      <c r="E319" s="27" t="s">
        <v>117</v>
      </c>
      <c r="F319" s="29" t="s">
        <v>1044</v>
      </c>
      <c r="G319" s="27" t="s">
        <v>169</v>
      </c>
      <c r="H319" s="30" t="n">
        <v>362</v>
      </c>
      <c r="I319" s="27" t="s">
        <v>104</v>
      </c>
      <c r="J319" s="29" t="s">
        <v>170</v>
      </c>
      <c r="K319" s="29" t="s">
        <v>106</v>
      </c>
      <c r="L319" s="31" t="s">
        <v>107</v>
      </c>
    </row>
    <row r="320" customFormat="false" ht="15" hidden="false" customHeight="false" outlineLevel="0" collapsed="false">
      <c r="A320" s="21" t="s">
        <v>1045</v>
      </c>
      <c r="B320" s="5" t="s">
        <v>1043</v>
      </c>
      <c r="C320" s="22" t="n">
        <v>-579</v>
      </c>
      <c r="D320" s="5" t="s">
        <v>100</v>
      </c>
      <c r="E320" s="5" t="s">
        <v>157</v>
      </c>
      <c r="F320" s="23" t="s">
        <v>1046</v>
      </c>
      <c r="G320" s="5" t="s">
        <v>169</v>
      </c>
      <c r="H320" s="24" t="n">
        <v>362</v>
      </c>
      <c r="I320" s="5" t="s">
        <v>104</v>
      </c>
      <c r="J320" s="23" t="s">
        <v>170</v>
      </c>
      <c r="K320" s="23" t="s">
        <v>106</v>
      </c>
      <c r="L320" s="25" t="s">
        <v>107</v>
      </c>
    </row>
    <row r="321" customFormat="false" ht="15" hidden="false" customHeight="false" outlineLevel="0" collapsed="false">
      <c r="A321" s="26" t="s">
        <v>1047</v>
      </c>
      <c r="B321" s="27" t="s">
        <v>1048</v>
      </c>
      <c r="C321" s="32" t="n">
        <v>5153</v>
      </c>
      <c r="D321" s="27" t="s">
        <v>100</v>
      </c>
      <c r="E321" s="27" t="s">
        <v>117</v>
      </c>
      <c r="F321" s="29" t="s">
        <v>1049</v>
      </c>
      <c r="G321" s="27" t="s">
        <v>169</v>
      </c>
      <c r="H321" s="30" t="n">
        <v>362</v>
      </c>
      <c r="I321" s="27" t="s">
        <v>124</v>
      </c>
      <c r="J321" s="29" t="s">
        <v>170</v>
      </c>
      <c r="K321" s="29" t="s">
        <v>106</v>
      </c>
      <c r="L321" s="31" t="s">
        <v>107</v>
      </c>
    </row>
    <row r="322" customFormat="false" ht="15" hidden="false" customHeight="false" outlineLevel="0" collapsed="false">
      <c r="A322" s="21" t="s">
        <v>1050</v>
      </c>
      <c r="B322" s="5" t="s">
        <v>1048</v>
      </c>
      <c r="C322" s="22" t="n">
        <v>5038</v>
      </c>
      <c r="D322" s="5" t="s">
        <v>100</v>
      </c>
      <c r="E322" s="5" t="s">
        <v>157</v>
      </c>
      <c r="F322" s="23" t="s">
        <v>1051</v>
      </c>
      <c r="G322" s="5" t="s">
        <v>169</v>
      </c>
      <c r="H322" s="24" t="n">
        <v>362</v>
      </c>
      <c r="I322" s="5" t="s">
        <v>124</v>
      </c>
      <c r="J322" s="23" t="s">
        <v>170</v>
      </c>
      <c r="K322" s="23" t="s">
        <v>106</v>
      </c>
      <c r="L322" s="25" t="s">
        <v>107</v>
      </c>
    </row>
    <row r="323" customFormat="false" ht="15" hidden="false" customHeight="false" outlineLevel="0" collapsed="false">
      <c r="A323" s="26" t="s">
        <v>1052</v>
      </c>
      <c r="B323" s="27" t="s">
        <v>1053</v>
      </c>
      <c r="C323" s="32" t="n">
        <v>-3056</v>
      </c>
      <c r="D323" s="27" t="s">
        <v>100</v>
      </c>
      <c r="E323" s="27" t="s">
        <v>117</v>
      </c>
      <c r="F323" s="29" t="s">
        <v>1054</v>
      </c>
      <c r="G323" s="27" t="s">
        <v>169</v>
      </c>
      <c r="H323" s="30" t="n">
        <v>362</v>
      </c>
      <c r="I323" s="27" t="s">
        <v>124</v>
      </c>
      <c r="J323" s="29" t="s">
        <v>170</v>
      </c>
      <c r="K323" s="29" t="s">
        <v>106</v>
      </c>
      <c r="L323" s="31" t="s">
        <v>107</v>
      </c>
    </row>
    <row r="324" customFormat="false" ht="15" hidden="false" customHeight="false" outlineLevel="0" collapsed="false">
      <c r="A324" s="21" t="s">
        <v>1055</v>
      </c>
      <c r="B324" s="5" t="s">
        <v>1056</v>
      </c>
      <c r="C324" s="22" t="n">
        <v>227</v>
      </c>
      <c r="D324" s="5" t="s">
        <v>100</v>
      </c>
      <c r="E324" s="5" t="s">
        <v>157</v>
      </c>
      <c r="F324" s="23" t="s">
        <v>1057</v>
      </c>
      <c r="G324" s="5" t="s">
        <v>169</v>
      </c>
      <c r="H324" s="24" t="n">
        <v>362</v>
      </c>
      <c r="I324" s="5" t="s">
        <v>104</v>
      </c>
      <c r="J324" s="23" t="s">
        <v>170</v>
      </c>
      <c r="K324" s="23" t="s">
        <v>106</v>
      </c>
      <c r="L324" s="25" t="s">
        <v>107</v>
      </c>
    </row>
    <row r="325" customFormat="false" ht="15" hidden="false" customHeight="false" outlineLevel="0" collapsed="false">
      <c r="A325" s="26" t="s">
        <v>1058</v>
      </c>
      <c r="B325" s="27" t="s">
        <v>1059</v>
      </c>
      <c r="C325" s="32" t="n">
        <v>105</v>
      </c>
      <c r="D325" s="27" t="s">
        <v>100</v>
      </c>
      <c r="E325" s="27" t="s">
        <v>117</v>
      </c>
      <c r="F325" s="29" t="s">
        <v>1060</v>
      </c>
      <c r="G325" s="27" t="s">
        <v>169</v>
      </c>
      <c r="H325" s="30" t="n">
        <v>362</v>
      </c>
      <c r="I325" s="27" t="s">
        <v>104</v>
      </c>
      <c r="J325" s="29" t="s">
        <v>170</v>
      </c>
      <c r="K325" s="29" t="s">
        <v>106</v>
      </c>
      <c r="L325" s="31" t="s">
        <v>107</v>
      </c>
    </row>
    <row r="326" customFormat="false" ht="15" hidden="false" customHeight="false" outlineLevel="0" collapsed="false">
      <c r="A326" s="21" t="s">
        <v>1061</v>
      </c>
      <c r="B326" s="5" t="s">
        <v>1059</v>
      </c>
      <c r="C326" s="22" t="n">
        <v>123</v>
      </c>
      <c r="D326" s="5" t="s">
        <v>100</v>
      </c>
      <c r="E326" s="5" t="s">
        <v>157</v>
      </c>
      <c r="F326" s="23" t="s">
        <v>1062</v>
      </c>
      <c r="G326" s="5" t="s">
        <v>169</v>
      </c>
      <c r="H326" s="24" t="n">
        <v>362</v>
      </c>
      <c r="I326" s="5" t="s">
        <v>104</v>
      </c>
      <c r="J326" s="23" t="s">
        <v>170</v>
      </c>
      <c r="K326" s="23" t="s">
        <v>106</v>
      </c>
      <c r="L326" s="25" t="s">
        <v>107</v>
      </c>
    </row>
    <row r="327" customFormat="false" ht="15" hidden="false" customHeight="false" outlineLevel="0" collapsed="false">
      <c r="A327" s="26" t="s">
        <v>1063</v>
      </c>
      <c r="B327" s="27" t="s">
        <v>1064</v>
      </c>
      <c r="C327" s="32" t="n">
        <v>-3296</v>
      </c>
      <c r="D327" s="27" t="s">
        <v>100</v>
      </c>
      <c r="E327" s="27" t="s">
        <v>117</v>
      </c>
      <c r="F327" s="29" t="s">
        <v>1065</v>
      </c>
      <c r="G327" s="27" t="s">
        <v>169</v>
      </c>
      <c r="H327" s="30" t="n">
        <v>362</v>
      </c>
      <c r="I327" s="27" t="s">
        <v>124</v>
      </c>
      <c r="J327" s="29" t="s">
        <v>170</v>
      </c>
      <c r="K327" s="29" t="s">
        <v>106</v>
      </c>
      <c r="L327" s="31" t="s">
        <v>107</v>
      </c>
    </row>
    <row r="328" customFormat="false" ht="15" hidden="false" customHeight="false" outlineLevel="0" collapsed="false">
      <c r="A328" s="21" t="s">
        <v>1066</v>
      </c>
      <c r="B328" s="5" t="s">
        <v>1064</v>
      </c>
      <c r="C328" s="22" t="n">
        <v>-2115</v>
      </c>
      <c r="D328" s="5" t="s">
        <v>100</v>
      </c>
      <c r="E328" s="5" t="s">
        <v>157</v>
      </c>
      <c r="F328" s="23" t="s">
        <v>1067</v>
      </c>
      <c r="G328" s="5" t="s">
        <v>169</v>
      </c>
      <c r="H328" s="24" t="n">
        <v>362</v>
      </c>
      <c r="I328" s="5" t="s">
        <v>124</v>
      </c>
      <c r="J328" s="23" t="s">
        <v>170</v>
      </c>
      <c r="K328" s="23" t="s">
        <v>106</v>
      </c>
      <c r="L328" s="25" t="s">
        <v>107</v>
      </c>
    </row>
    <row r="329" customFormat="false" ht="15" hidden="false" customHeight="false" outlineLevel="0" collapsed="false">
      <c r="A329" s="26" t="s">
        <v>1068</v>
      </c>
      <c r="B329" s="27" t="s">
        <v>1069</v>
      </c>
      <c r="C329" s="32" t="n">
        <v>654</v>
      </c>
      <c r="D329" s="27" t="s">
        <v>100</v>
      </c>
      <c r="E329" s="27" t="s">
        <v>117</v>
      </c>
      <c r="F329" s="29" t="s">
        <v>1070</v>
      </c>
      <c r="G329" s="27" t="s">
        <v>169</v>
      </c>
      <c r="H329" s="30" t="n">
        <v>362</v>
      </c>
      <c r="I329" s="27" t="s">
        <v>104</v>
      </c>
      <c r="J329" s="29" t="s">
        <v>170</v>
      </c>
      <c r="K329" s="29" t="s">
        <v>106</v>
      </c>
      <c r="L329" s="31" t="s">
        <v>107</v>
      </c>
    </row>
    <row r="330" customFormat="false" ht="15" hidden="false" customHeight="false" outlineLevel="0" collapsed="false">
      <c r="A330" s="21" t="s">
        <v>1071</v>
      </c>
      <c r="B330" s="5" t="s">
        <v>1069</v>
      </c>
      <c r="C330" s="22" t="n">
        <v>590</v>
      </c>
      <c r="D330" s="5" t="s">
        <v>100</v>
      </c>
      <c r="E330" s="5" t="s">
        <v>157</v>
      </c>
      <c r="F330" s="23" t="s">
        <v>1072</v>
      </c>
      <c r="G330" s="5" t="s">
        <v>169</v>
      </c>
      <c r="H330" s="24" t="n">
        <v>362</v>
      </c>
      <c r="I330" s="5" t="s">
        <v>104</v>
      </c>
      <c r="J330" s="23" t="s">
        <v>170</v>
      </c>
      <c r="K330" s="23" t="s">
        <v>106</v>
      </c>
      <c r="L330" s="25" t="s">
        <v>107</v>
      </c>
    </row>
    <row r="331" customFormat="false" ht="15" hidden="false" customHeight="false" outlineLevel="0" collapsed="false">
      <c r="A331" s="26" t="s">
        <v>1073</v>
      </c>
      <c r="B331" s="27" t="s">
        <v>1074</v>
      </c>
      <c r="C331" s="32" t="n">
        <v>587</v>
      </c>
      <c r="D331" s="27" t="s">
        <v>100</v>
      </c>
      <c r="E331" s="27" t="s">
        <v>117</v>
      </c>
      <c r="F331" s="29" t="s">
        <v>1075</v>
      </c>
      <c r="G331" s="27" t="s">
        <v>169</v>
      </c>
      <c r="H331" s="30" t="n">
        <v>362</v>
      </c>
      <c r="I331" s="27" t="s">
        <v>104</v>
      </c>
      <c r="J331" s="29" t="s">
        <v>170</v>
      </c>
      <c r="K331" s="29" t="s">
        <v>106</v>
      </c>
      <c r="L331" s="31" t="s">
        <v>107</v>
      </c>
    </row>
    <row r="332" customFormat="false" ht="15" hidden="false" customHeight="false" outlineLevel="0" collapsed="false">
      <c r="A332" s="21" t="s">
        <v>1076</v>
      </c>
      <c r="B332" s="5" t="s">
        <v>1074</v>
      </c>
      <c r="C332" s="22" t="n">
        <v>566</v>
      </c>
      <c r="D332" s="5" t="s">
        <v>100</v>
      </c>
      <c r="E332" s="5" t="s">
        <v>157</v>
      </c>
      <c r="F332" s="23" t="s">
        <v>1077</v>
      </c>
      <c r="G332" s="5" t="s">
        <v>169</v>
      </c>
      <c r="H332" s="24" t="n">
        <v>362</v>
      </c>
      <c r="I332" s="5" t="s">
        <v>104</v>
      </c>
      <c r="J332" s="23" t="s">
        <v>170</v>
      </c>
      <c r="K332" s="23" t="s">
        <v>106</v>
      </c>
      <c r="L332" s="25" t="s">
        <v>107</v>
      </c>
    </row>
    <row r="333" customFormat="false" ht="15" hidden="false" customHeight="false" outlineLevel="0" collapsed="false">
      <c r="A333" s="26" t="s">
        <v>1078</v>
      </c>
      <c r="B333" s="27" t="s">
        <v>1079</v>
      </c>
      <c r="C333" s="32" t="n">
        <v>-619</v>
      </c>
      <c r="D333" s="27" t="s">
        <v>100</v>
      </c>
      <c r="E333" s="27" t="s">
        <v>117</v>
      </c>
      <c r="F333" s="29" t="s">
        <v>1080</v>
      </c>
      <c r="G333" s="27" t="s">
        <v>169</v>
      </c>
      <c r="H333" s="30" t="n">
        <v>363</v>
      </c>
      <c r="I333" s="27" t="s">
        <v>104</v>
      </c>
      <c r="J333" s="29" t="s">
        <v>170</v>
      </c>
      <c r="K333" s="29" t="s">
        <v>106</v>
      </c>
      <c r="L333" s="31" t="s">
        <v>107</v>
      </c>
    </row>
    <row r="334" customFormat="false" ht="15" hidden="false" customHeight="false" outlineLevel="0" collapsed="false">
      <c r="A334" s="21" t="s">
        <v>1081</v>
      </c>
      <c r="B334" s="5" t="s">
        <v>1079</v>
      </c>
      <c r="C334" s="22" t="n">
        <v>-585</v>
      </c>
      <c r="D334" s="5" t="s">
        <v>100</v>
      </c>
      <c r="E334" s="5" t="s">
        <v>157</v>
      </c>
      <c r="F334" s="23" t="s">
        <v>1082</v>
      </c>
      <c r="G334" s="5" t="s">
        <v>169</v>
      </c>
      <c r="H334" s="24" t="n">
        <v>363</v>
      </c>
      <c r="I334" s="5" t="s">
        <v>104</v>
      </c>
      <c r="J334" s="23" t="s">
        <v>170</v>
      </c>
      <c r="K334" s="23" t="s">
        <v>106</v>
      </c>
      <c r="L334" s="25" t="s">
        <v>107</v>
      </c>
    </row>
    <row r="335" customFormat="false" ht="15" hidden="false" customHeight="false" outlineLevel="0" collapsed="false">
      <c r="A335" s="26" t="s">
        <v>1083</v>
      </c>
      <c r="B335" s="27" t="s">
        <v>1084</v>
      </c>
      <c r="C335" s="32" t="n">
        <v>-78</v>
      </c>
      <c r="D335" s="27" t="s">
        <v>100</v>
      </c>
      <c r="E335" s="27" t="s">
        <v>117</v>
      </c>
      <c r="F335" s="29" t="s">
        <v>1085</v>
      </c>
      <c r="G335" s="27" t="s">
        <v>169</v>
      </c>
      <c r="H335" s="30" t="n">
        <v>363</v>
      </c>
      <c r="I335" s="27" t="s">
        <v>104</v>
      </c>
      <c r="J335" s="29" t="s">
        <v>170</v>
      </c>
      <c r="K335" s="29" t="s">
        <v>106</v>
      </c>
      <c r="L335" s="31" t="s">
        <v>107</v>
      </c>
    </row>
    <row r="336" customFormat="false" ht="15" hidden="false" customHeight="false" outlineLevel="0" collapsed="false">
      <c r="A336" s="21" t="s">
        <v>1086</v>
      </c>
      <c r="B336" s="5" t="s">
        <v>1084</v>
      </c>
      <c r="C336" s="22" t="n">
        <v>-86</v>
      </c>
      <c r="D336" s="5" t="s">
        <v>100</v>
      </c>
      <c r="E336" s="5" t="s">
        <v>157</v>
      </c>
      <c r="F336" s="23" t="s">
        <v>1087</v>
      </c>
      <c r="G336" s="5" t="s">
        <v>169</v>
      </c>
      <c r="H336" s="24" t="n">
        <v>363</v>
      </c>
      <c r="I336" s="5" t="s">
        <v>104</v>
      </c>
      <c r="J336" s="23" t="s">
        <v>170</v>
      </c>
      <c r="K336" s="23" t="s">
        <v>106</v>
      </c>
      <c r="L336" s="25" t="s">
        <v>107</v>
      </c>
    </row>
    <row r="337" customFormat="false" ht="15" hidden="false" customHeight="false" outlineLevel="0" collapsed="false">
      <c r="A337" s="26" t="s">
        <v>1088</v>
      </c>
      <c r="B337" s="27" t="s">
        <v>1089</v>
      </c>
      <c r="C337" s="32" t="n">
        <v>-67</v>
      </c>
      <c r="D337" s="27" t="s">
        <v>100</v>
      </c>
      <c r="E337" s="27" t="s">
        <v>117</v>
      </c>
      <c r="F337" s="29" t="s">
        <v>1090</v>
      </c>
      <c r="G337" s="27" t="s">
        <v>169</v>
      </c>
      <c r="H337" s="30" t="n">
        <v>363</v>
      </c>
      <c r="I337" s="27" t="s">
        <v>104</v>
      </c>
      <c r="J337" s="29" t="s">
        <v>170</v>
      </c>
      <c r="K337" s="29" t="s">
        <v>106</v>
      </c>
      <c r="L337" s="31" t="s">
        <v>107</v>
      </c>
    </row>
    <row r="338" customFormat="false" ht="15" hidden="false" customHeight="false" outlineLevel="0" collapsed="false">
      <c r="A338" s="21" t="s">
        <v>1091</v>
      </c>
      <c r="B338" s="5" t="s">
        <v>1089</v>
      </c>
      <c r="C338" s="22" t="n">
        <v>-66</v>
      </c>
      <c r="D338" s="5" t="s">
        <v>100</v>
      </c>
      <c r="E338" s="5" t="s">
        <v>157</v>
      </c>
      <c r="F338" s="23" t="s">
        <v>1092</v>
      </c>
      <c r="G338" s="5" t="s">
        <v>169</v>
      </c>
      <c r="H338" s="24" t="n">
        <v>363</v>
      </c>
      <c r="I338" s="5" t="s">
        <v>104</v>
      </c>
      <c r="J338" s="23" t="s">
        <v>170</v>
      </c>
      <c r="K338" s="23" t="s">
        <v>106</v>
      </c>
      <c r="L338" s="25" t="s">
        <v>107</v>
      </c>
    </row>
    <row r="339" customFormat="false" ht="15" hidden="false" customHeight="false" outlineLevel="0" collapsed="false">
      <c r="A339" s="26" t="s">
        <v>1093</v>
      </c>
      <c r="B339" s="27" t="s">
        <v>1094</v>
      </c>
      <c r="C339" s="32" t="n">
        <v>-121</v>
      </c>
      <c r="D339" s="27" t="s">
        <v>100</v>
      </c>
      <c r="E339" s="27" t="s">
        <v>117</v>
      </c>
      <c r="F339" s="29" t="s">
        <v>1095</v>
      </c>
      <c r="G339" s="27" t="s">
        <v>169</v>
      </c>
      <c r="H339" s="30" t="n">
        <v>363</v>
      </c>
      <c r="I339" s="27" t="s">
        <v>104</v>
      </c>
      <c r="J339" s="29" t="s">
        <v>170</v>
      </c>
      <c r="K339" s="29" t="s">
        <v>106</v>
      </c>
      <c r="L339" s="31" t="s">
        <v>107</v>
      </c>
    </row>
    <row r="340" customFormat="false" ht="15" hidden="false" customHeight="false" outlineLevel="0" collapsed="false">
      <c r="A340" s="21" t="s">
        <v>1096</v>
      </c>
      <c r="B340" s="5" t="s">
        <v>1094</v>
      </c>
      <c r="C340" s="22" t="n">
        <v>-81</v>
      </c>
      <c r="D340" s="5" t="s">
        <v>100</v>
      </c>
      <c r="E340" s="5" t="s">
        <v>157</v>
      </c>
      <c r="F340" s="23" t="s">
        <v>1097</v>
      </c>
      <c r="G340" s="5" t="s">
        <v>169</v>
      </c>
      <c r="H340" s="24" t="n">
        <v>363</v>
      </c>
      <c r="I340" s="5" t="s">
        <v>104</v>
      </c>
      <c r="J340" s="23" t="s">
        <v>170</v>
      </c>
      <c r="K340" s="23" t="s">
        <v>106</v>
      </c>
      <c r="L340" s="25" t="s">
        <v>107</v>
      </c>
    </row>
    <row r="341" customFormat="false" ht="15" hidden="false" customHeight="false" outlineLevel="0" collapsed="false">
      <c r="A341" s="26" t="s">
        <v>1098</v>
      </c>
      <c r="B341" s="27" t="s">
        <v>1099</v>
      </c>
      <c r="C341" s="32" t="n">
        <v>-1280</v>
      </c>
      <c r="D341" s="27" t="s">
        <v>100</v>
      </c>
      <c r="E341" s="27" t="s">
        <v>117</v>
      </c>
      <c r="F341" s="29" t="s">
        <v>1100</v>
      </c>
      <c r="G341" s="27" t="s">
        <v>169</v>
      </c>
      <c r="H341" s="30" t="n">
        <v>363</v>
      </c>
      <c r="I341" s="27" t="s">
        <v>124</v>
      </c>
      <c r="J341" s="29" t="s">
        <v>170</v>
      </c>
      <c r="K341" s="29" t="s">
        <v>106</v>
      </c>
      <c r="L341" s="31" t="s">
        <v>107</v>
      </c>
    </row>
    <row r="342" customFormat="false" ht="15" hidden="false" customHeight="false" outlineLevel="0" collapsed="false">
      <c r="A342" s="21" t="s">
        <v>1101</v>
      </c>
      <c r="B342" s="5" t="s">
        <v>1099</v>
      </c>
      <c r="C342" s="22" t="n">
        <v>-1218</v>
      </c>
      <c r="D342" s="5" t="s">
        <v>100</v>
      </c>
      <c r="E342" s="5" t="s">
        <v>157</v>
      </c>
      <c r="F342" s="23" t="s">
        <v>1102</v>
      </c>
      <c r="G342" s="5" t="s">
        <v>169</v>
      </c>
      <c r="H342" s="24" t="n">
        <v>363</v>
      </c>
      <c r="I342" s="5" t="s">
        <v>124</v>
      </c>
      <c r="J342" s="23" t="s">
        <v>170</v>
      </c>
      <c r="K342" s="23" t="s">
        <v>106</v>
      </c>
      <c r="L342" s="25" t="s">
        <v>107</v>
      </c>
    </row>
    <row r="343" customFormat="false" ht="15" hidden="false" customHeight="false" outlineLevel="0" collapsed="false">
      <c r="A343" s="26" t="s">
        <v>1103</v>
      </c>
      <c r="B343" s="27" t="s">
        <v>1104</v>
      </c>
      <c r="C343" s="32" t="n">
        <v>-506</v>
      </c>
      <c r="D343" s="27" t="s">
        <v>100</v>
      </c>
      <c r="E343" s="27" t="s">
        <v>117</v>
      </c>
      <c r="F343" s="29" t="s">
        <v>1105</v>
      </c>
      <c r="G343" s="27" t="s">
        <v>169</v>
      </c>
      <c r="H343" s="30" t="n">
        <v>363</v>
      </c>
      <c r="I343" s="27" t="s">
        <v>104</v>
      </c>
      <c r="J343" s="29" t="s">
        <v>170</v>
      </c>
      <c r="K343" s="29" t="s">
        <v>106</v>
      </c>
      <c r="L343" s="31" t="s">
        <v>107</v>
      </c>
    </row>
    <row r="344" customFormat="false" ht="15" hidden="false" customHeight="false" outlineLevel="0" collapsed="false">
      <c r="A344" s="21" t="s">
        <v>1106</v>
      </c>
      <c r="B344" s="5" t="s">
        <v>1104</v>
      </c>
      <c r="C344" s="22" t="n">
        <v>-541</v>
      </c>
      <c r="D344" s="5" t="s">
        <v>100</v>
      </c>
      <c r="E344" s="5" t="s">
        <v>157</v>
      </c>
      <c r="F344" s="23" t="s">
        <v>1107</v>
      </c>
      <c r="G344" s="5" t="s">
        <v>169</v>
      </c>
      <c r="H344" s="24" t="n">
        <v>363</v>
      </c>
      <c r="I344" s="5" t="s">
        <v>104</v>
      </c>
      <c r="J344" s="23" t="s">
        <v>170</v>
      </c>
      <c r="K344" s="23" t="s">
        <v>106</v>
      </c>
      <c r="L344" s="25" t="s">
        <v>107</v>
      </c>
    </row>
    <row r="345" customFormat="false" ht="15" hidden="false" customHeight="false" outlineLevel="0" collapsed="false">
      <c r="A345" s="26" t="s">
        <v>1108</v>
      </c>
      <c r="B345" s="27" t="s">
        <v>1109</v>
      </c>
      <c r="C345" s="32" t="n">
        <v>2766</v>
      </c>
      <c r="D345" s="27" t="s">
        <v>100</v>
      </c>
      <c r="E345" s="27" t="s">
        <v>117</v>
      </c>
      <c r="F345" s="29" t="s">
        <v>1110</v>
      </c>
      <c r="G345" s="27" t="s">
        <v>169</v>
      </c>
      <c r="H345" s="30" t="n">
        <v>363</v>
      </c>
      <c r="I345" s="27" t="s">
        <v>104</v>
      </c>
      <c r="J345" s="29" t="s">
        <v>170</v>
      </c>
      <c r="K345" s="29" t="s">
        <v>106</v>
      </c>
      <c r="L345" s="31" t="s">
        <v>107</v>
      </c>
    </row>
    <row r="346" customFormat="false" ht="15" hidden="false" customHeight="false" outlineLevel="0" collapsed="false">
      <c r="A346" s="21" t="s">
        <v>1111</v>
      </c>
      <c r="B346" s="5" t="s">
        <v>1109</v>
      </c>
      <c r="C346" s="22" t="n">
        <v>1462</v>
      </c>
      <c r="D346" s="5" t="s">
        <v>100</v>
      </c>
      <c r="E346" s="5" t="s">
        <v>157</v>
      </c>
      <c r="F346" s="23" t="s">
        <v>1112</v>
      </c>
      <c r="G346" s="5" t="s">
        <v>169</v>
      </c>
      <c r="H346" s="24" t="n">
        <v>363</v>
      </c>
      <c r="I346" s="5" t="s">
        <v>104</v>
      </c>
      <c r="J346" s="23" t="s">
        <v>170</v>
      </c>
      <c r="K346" s="23" t="s">
        <v>106</v>
      </c>
      <c r="L346" s="25" t="s">
        <v>107</v>
      </c>
    </row>
    <row r="347" customFormat="false" ht="15" hidden="false" customHeight="false" outlineLevel="0" collapsed="false">
      <c r="A347" s="26" t="s">
        <v>1113</v>
      </c>
      <c r="B347" s="27" t="s">
        <v>1114</v>
      </c>
      <c r="C347" s="32" t="n">
        <v>-186</v>
      </c>
      <c r="D347" s="27" t="s">
        <v>100</v>
      </c>
      <c r="E347" s="27" t="s">
        <v>117</v>
      </c>
      <c r="F347" s="29" t="s">
        <v>1115</v>
      </c>
      <c r="G347" s="27" t="s">
        <v>169</v>
      </c>
      <c r="H347" s="30" t="n">
        <v>363</v>
      </c>
      <c r="I347" s="27" t="s">
        <v>104</v>
      </c>
      <c r="J347" s="29" t="s">
        <v>170</v>
      </c>
      <c r="K347" s="29" t="s">
        <v>106</v>
      </c>
      <c r="L347" s="31" t="s">
        <v>107</v>
      </c>
    </row>
    <row r="348" customFormat="false" ht="15" hidden="false" customHeight="false" outlineLevel="0" collapsed="false">
      <c r="A348" s="21" t="s">
        <v>1116</v>
      </c>
      <c r="B348" s="5" t="s">
        <v>1114</v>
      </c>
      <c r="C348" s="22" t="n">
        <v>-619</v>
      </c>
      <c r="D348" s="5" t="s">
        <v>100</v>
      </c>
      <c r="E348" s="5" t="s">
        <v>157</v>
      </c>
      <c r="F348" s="23" t="s">
        <v>1080</v>
      </c>
      <c r="G348" s="5" t="s">
        <v>169</v>
      </c>
      <c r="H348" s="24" t="n">
        <v>363</v>
      </c>
      <c r="I348" s="5" t="s">
        <v>104</v>
      </c>
      <c r="J348" s="23" t="s">
        <v>170</v>
      </c>
      <c r="K348" s="23" t="s">
        <v>106</v>
      </c>
      <c r="L348" s="25" t="s">
        <v>107</v>
      </c>
    </row>
    <row r="349" customFormat="false" ht="15" hidden="false" customHeight="false" outlineLevel="0" collapsed="false">
      <c r="A349" s="26" t="s">
        <v>1117</v>
      </c>
      <c r="B349" s="27" t="s">
        <v>1118</v>
      </c>
      <c r="C349" s="32" t="n">
        <v>-2170</v>
      </c>
      <c r="D349" s="27" t="s">
        <v>100</v>
      </c>
      <c r="E349" s="27" t="s">
        <v>117</v>
      </c>
      <c r="F349" s="29" t="s">
        <v>1119</v>
      </c>
      <c r="G349" s="27" t="s">
        <v>169</v>
      </c>
      <c r="H349" s="30" t="n">
        <v>363</v>
      </c>
      <c r="I349" s="27" t="s">
        <v>104</v>
      </c>
      <c r="J349" s="29" t="s">
        <v>170</v>
      </c>
      <c r="K349" s="29" t="s">
        <v>106</v>
      </c>
      <c r="L349" s="31" t="s">
        <v>107</v>
      </c>
    </row>
    <row r="350" customFormat="false" ht="15" hidden="false" customHeight="false" outlineLevel="0" collapsed="false">
      <c r="A350" s="21" t="s">
        <v>1120</v>
      </c>
      <c r="B350" s="5" t="s">
        <v>1118</v>
      </c>
      <c r="C350" s="22" t="n">
        <v>-5</v>
      </c>
      <c r="D350" s="5" t="s">
        <v>100</v>
      </c>
      <c r="E350" s="5" t="s">
        <v>157</v>
      </c>
      <c r="F350" s="23" t="s">
        <v>1121</v>
      </c>
      <c r="G350" s="5" t="s">
        <v>169</v>
      </c>
      <c r="H350" s="24" t="n">
        <v>363</v>
      </c>
      <c r="I350" s="5" t="s">
        <v>104</v>
      </c>
      <c r="J350" s="23" t="s">
        <v>170</v>
      </c>
      <c r="K350" s="23" t="s">
        <v>106</v>
      </c>
      <c r="L350" s="25" t="s">
        <v>107</v>
      </c>
    </row>
    <row r="351" customFormat="false" ht="15" hidden="false" customHeight="false" outlineLevel="0" collapsed="false">
      <c r="A351" s="26" t="s">
        <v>1122</v>
      </c>
      <c r="B351" s="27" t="s">
        <v>1123</v>
      </c>
      <c r="C351" s="32" t="n">
        <v>492</v>
      </c>
      <c r="D351" s="27" t="s">
        <v>100</v>
      </c>
      <c r="E351" s="27" t="s">
        <v>117</v>
      </c>
      <c r="F351" s="29" t="s">
        <v>1124</v>
      </c>
      <c r="G351" s="27" t="s">
        <v>169</v>
      </c>
      <c r="H351" s="30" t="n">
        <v>363</v>
      </c>
      <c r="I351" s="27" t="s">
        <v>104</v>
      </c>
      <c r="J351" s="29" t="s">
        <v>170</v>
      </c>
      <c r="K351" s="29" t="s">
        <v>106</v>
      </c>
      <c r="L351" s="31" t="s">
        <v>107</v>
      </c>
    </row>
    <row r="352" customFormat="false" ht="15" hidden="false" customHeight="false" outlineLevel="0" collapsed="false">
      <c r="A352" s="21" t="s">
        <v>1125</v>
      </c>
      <c r="B352" s="5" t="s">
        <v>1123</v>
      </c>
      <c r="C352" s="22" t="n">
        <v>-221</v>
      </c>
      <c r="D352" s="5" t="s">
        <v>100</v>
      </c>
      <c r="E352" s="5" t="s">
        <v>157</v>
      </c>
      <c r="F352" s="23" t="s">
        <v>1126</v>
      </c>
      <c r="G352" s="5" t="s">
        <v>169</v>
      </c>
      <c r="H352" s="24" t="n">
        <v>363</v>
      </c>
      <c r="I352" s="5" t="s">
        <v>104</v>
      </c>
      <c r="J352" s="23" t="s">
        <v>170</v>
      </c>
      <c r="K352" s="23" t="s">
        <v>106</v>
      </c>
      <c r="L352" s="25" t="s">
        <v>107</v>
      </c>
    </row>
    <row r="353" customFormat="false" ht="15" hidden="false" customHeight="false" outlineLevel="0" collapsed="false">
      <c r="A353" s="26" t="s">
        <v>1127</v>
      </c>
      <c r="B353" s="27" t="s">
        <v>1128</v>
      </c>
      <c r="C353" s="32" t="n">
        <v>-402</v>
      </c>
      <c r="D353" s="27" t="s">
        <v>100</v>
      </c>
      <c r="E353" s="27" t="s">
        <v>117</v>
      </c>
      <c r="F353" s="29" t="s">
        <v>341</v>
      </c>
      <c r="G353" s="27" t="s">
        <v>169</v>
      </c>
      <c r="H353" s="30" t="n">
        <v>363</v>
      </c>
      <c r="I353" s="27" t="s">
        <v>124</v>
      </c>
      <c r="J353" s="29" t="s">
        <v>170</v>
      </c>
      <c r="K353" s="29" t="s">
        <v>106</v>
      </c>
      <c r="L353" s="31" t="s">
        <v>107</v>
      </c>
    </row>
    <row r="354" customFormat="false" ht="15" hidden="false" customHeight="false" outlineLevel="0" collapsed="false">
      <c r="A354" s="21" t="s">
        <v>1129</v>
      </c>
      <c r="B354" s="5" t="s">
        <v>1130</v>
      </c>
      <c r="C354" s="22" t="n">
        <v>3043</v>
      </c>
      <c r="D354" s="5" t="s">
        <v>100</v>
      </c>
      <c r="E354" s="5" t="s">
        <v>137</v>
      </c>
      <c r="F354" s="23" t="s">
        <v>1131</v>
      </c>
      <c r="G354" s="5" t="s">
        <v>169</v>
      </c>
      <c r="H354" s="24" t="n">
        <v>421</v>
      </c>
      <c r="I354" s="5" t="s">
        <v>104</v>
      </c>
      <c r="J354" s="23" t="s">
        <v>170</v>
      </c>
      <c r="K354" s="23" t="s">
        <v>106</v>
      </c>
      <c r="L354" s="25" t="s">
        <v>107</v>
      </c>
    </row>
    <row r="355" customFormat="false" ht="15" hidden="false" customHeight="false" outlineLevel="0" collapsed="false">
      <c r="A355" s="26" t="s">
        <v>1132</v>
      </c>
      <c r="B355" s="27" t="s">
        <v>1133</v>
      </c>
      <c r="C355" s="32" t="n">
        <v>2447</v>
      </c>
      <c r="D355" s="27" t="s">
        <v>100</v>
      </c>
      <c r="E355" s="27" t="s">
        <v>137</v>
      </c>
      <c r="F355" s="29" t="s">
        <v>1134</v>
      </c>
      <c r="G355" s="27" t="s">
        <v>169</v>
      </c>
      <c r="H355" s="30" t="n">
        <v>421</v>
      </c>
      <c r="I355" s="27" t="s">
        <v>104</v>
      </c>
      <c r="J355" s="29" t="s">
        <v>170</v>
      </c>
      <c r="K355" s="29" t="s">
        <v>106</v>
      </c>
      <c r="L355" s="31" t="s">
        <v>107</v>
      </c>
    </row>
    <row r="356" customFormat="false" ht="15" hidden="false" customHeight="false" outlineLevel="0" collapsed="false">
      <c r="A356" s="21" t="s">
        <v>1135</v>
      </c>
      <c r="B356" s="5" t="s">
        <v>1136</v>
      </c>
      <c r="C356" s="22" t="n">
        <v>1781</v>
      </c>
      <c r="D356" s="5" t="s">
        <v>100</v>
      </c>
      <c r="E356" s="5" t="s">
        <v>137</v>
      </c>
      <c r="F356" s="23" t="s">
        <v>1137</v>
      </c>
      <c r="G356" s="5" t="s">
        <v>169</v>
      </c>
      <c r="H356" s="24" t="n">
        <v>421</v>
      </c>
      <c r="I356" s="5" t="s">
        <v>104</v>
      </c>
      <c r="J356" s="23" t="s">
        <v>170</v>
      </c>
      <c r="K356" s="23" t="s">
        <v>106</v>
      </c>
      <c r="L356" s="25" t="s">
        <v>107</v>
      </c>
    </row>
    <row r="357" customFormat="false" ht="15" hidden="false" customHeight="false" outlineLevel="0" collapsed="false">
      <c r="A357" s="26" t="s">
        <v>1138</v>
      </c>
      <c r="B357" s="27" t="s">
        <v>1139</v>
      </c>
      <c r="C357" s="32" t="n">
        <v>2006</v>
      </c>
      <c r="D357" s="27" t="s">
        <v>100</v>
      </c>
      <c r="E357" s="27" t="s">
        <v>137</v>
      </c>
      <c r="F357" s="29" t="s">
        <v>1140</v>
      </c>
      <c r="G357" s="27" t="s">
        <v>169</v>
      </c>
      <c r="H357" s="30" t="n">
        <v>421</v>
      </c>
      <c r="I357" s="27" t="s">
        <v>104</v>
      </c>
      <c r="J357" s="29" t="s">
        <v>170</v>
      </c>
      <c r="K357" s="29" t="s">
        <v>106</v>
      </c>
      <c r="L357" s="31" t="s">
        <v>107</v>
      </c>
    </row>
    <row r="358" customFormat="false" ht="15" hidden="false" customHeight="false" outlineLevel="0" collapsed="false">
      <c r="A358" s="21" t="s">
        <v>1141</v>
      </c>
      <c r="B358" s="5" t="s">
        <v>1142</v>
      </c>
      <c r="C358" s="22" t="n">
        <v>11065</v>
      </c>
      <c r="D358" s="5" t="s">
        <v>100</v>
      </c>
      <c r="E358" s="5" t="s">
        <v>137</v>
      </c>
      <c r="F358" s="23" t="s">
        <v>1143</v>
      </c>
      <c r="G358" s="5" t="s">
        <v>169</v>
      </c>
      <c r="H358" s="24" t="n">
        <v>421</v>
      </c>
      <c r="I358" s="5" t="s">
        <v>104</v>
      </c>
      <c r="J358" s="23" t="s">
        <v>170</v>
      </c>
      <c r="K358" s="23" t="s">
        <v>106</v>
      </c>
      <c r="L358" s="25" t="s">
        <v>107</v>
      </c>
    </row>
    <row r="359" customFormat="false" ht="15" hidden="false" customHeight="false" outlineLevel="0" collapsed="false">
      <c r="A359" s="26" t="s">
        <v>1144</v>
      </c>
      <c r="B359" s="27" t="s">
        <v>1145</v>
      </c>
      <c r="C359" s="32" t="n">
        <v>9977</v>
      </c>
      <c r="D359" s="27" t="s">
        <v>100</v>
      </c>
      <c r="E359" s="27" t="s">
        <v>137</v>
      </c>
      <c r="F359" s="29" t="s">
        <v>1146</v>
      </c>
      <c r="G359" s="27" t="s">
        <v>169</v>
      </c>
      <c r="H359" s="30" t="n">
        <v>421</v>
      </c>
      <c r="I359" s="27" t="s">
        <v>104</v>
      </c>
      <c r="J359" s="29" t="s">
        <v>170</v>
      </c>
      <c r="K359" s="29" t="s">
        <v>106</v>
      </c>
      <c r="L359" s="31" t="s">
        <v>107</v>
      </c>
    </row>
    <row r="360" customFormat="false" ht="15" hidden="false" customHeight="false" outlineLevel="0" collapsed="false">
      <c r="A360" s="21" t="s">
        <v>1147</v>
      </c>
      <c r="B360" s="5" t="s">
        <v>1148</v>
      </c>
      <c r="C360" s="22" t="n">
        <v>7219</v>
      </c>
      <c r="D360" s="5" t="s">
        <v>100</v>
      </c>
      <c r="E360" s="5" t="s">
        <v>137</v>
      </c>
      <c r="F360" s="23" t="s">
        <v>1149</v>
      </c>
      <c r="G360" s="5" t="s">
        <v>169</v>
      </c>
      <c r="H360" s="24" t="n">
        <v>421</v>
      </c>
      <c r="I360" s="5" t="s">
        <v>104</v>
      </c>
      <c r="J360" s="23" t="s">
        <v>170</v>
      </c>
      <c r="K360" s="23" t="s">
        <v>106</v>
      </c>
      <c r="L360" s="25" t="s">
        <v>107</v>
      </c>
    </row>
    <row r="361" customFormat="false" ht="15" hidden="false" customHeight="false" outlineLevel="0" collapsed="false">
      <c r="A361" s="26" t="s">
        <v>1150</v>
      </c>
      <c r="B361" s="27" t="s">
        <v>1151</v>
      </c>
      <c r="C361" s="32" t="n">
        <v>465</v>
      </c>
      <c r="D361" s="27" t="s">
        <v>100</v>
      </c>
      <c r="E361" s="27" t="s">
        <v>137</v>
      </c>
      <c r="F361" s="29" t="s">
        <v>1152</v>
      </c>
      <c r="G361" s="27" t="s">
        <v>169</v>
      </c>
      <c r="H361" s="30" t="n">
        <v>421</v>
      </c>
      <c r="I361" s="27" t="s">
        <v>104</v>
      </c>
      <c r="J361" s="29" t="s">
        <v>170</v>
      </c>
      <c r="K361" s="29" t="s">
        <v>106</v>
      </c>
      <c r="L361" s="31" t="s">
        <v>107</v>
      </c>
    </row>
    <row r="362" customFormat="false" ht="15" hidden="false" customHeight="false" outlineLevel="0" collapsed="false">
      <c r="A362" s="21" t="s">
        <v>1153</v>
      </c>
      <c r="B362" s="5" t="s">
        <v>1154</v>
      </c>
      <c r="C362" s="22" t="n">
        <v>728</v>
      </c>
      <c r="D362" s="5" t="s">
        <v>100</v>
      </c>
      <c r="E362" s="5" t="s">
        <v>137</v>
      </c>
      <c r="F362" s="23" t="s">
        <v>1155</v>
      </c>
      <c r="G362" s="5" t="s">
        <v>169</v>
      </c>
      <c r="H362" s="24" t="n">
        <v>421</v>
      </c>
      <c r="I362" s="5" t="s">
        <v>104</v>
      </c>
      <c r="J362" s="23" t="s">
        <v>170</v>
      </c>
      <c r="K362" s="23" t="s">
        <v>106</v>
      </c>
      <c r="L362" s="25" t="s">
        <v>107</v>
      </c>
    </row>
    <row r="363" customFormat="false" ht="15" hidden="false" customHeight="false" outlineLevel="0" collapsed="false">
      <c r="A363" s="26" t="s">
        <v>1156</v>
      </c>
      <c r="B363" s="27" t="s">
        <v>1157</v>
      </c>
      <c r="C363" s="32" t="n">
        <v>302</v>
      </c>
      <c r="D363" s="27" t="s">
        <v>100</v>
      </c>
      <c r="E363" s="27" t="s">
        <v>137</v>
      </c>
      <c r="F363" s="29" t="s">
        <v>1158</v>
      </c>
      <c r="G363" s="27" t="s">
        <v>169</v>
      </c>
      <c r="H363" s="30" t="n">
        <v>421</v>
      </c>
      <c r="I363" s="27" t="s">
        <v>104</v>
      </c>
      <c r="J363" s="29" t="s">
        <v>170</v>
      </c>
      <c r="K363" s="29" t="s">
        <v>106</v>
      </c>
      <c r="L363" s="31" t="s">
        <v>107</v>
      </c>
    </row>
    <row r="364" customFormat="false" ht="15" hidden="false" customHeight="false" outlineLevel="0" collapsed="false">
      <c r="A364" s="21" t="s">
        <v>1159</v>
      </c>
      <c r="B364" s="5" t="s">
        <v>1160</v>
      </c>
      <c r="C364" s="22" t="n">
        <v>254</v>
      </c>
      <c r="D364" s="5" t="s">
        <v>100</v>
      </c>
      <c r="E364" s="5" t="s">
        <v>137</v>
      </c>
      <c r="F364" s="23" t="s">
        <v>1161</v>
      </c>
      <c r="G364" s="5" t="s">
        <v>169</v>
      </c>
      <c r="H364" s="24" t="n">
        <v>421</v>
      </c>
      <c r="I364" s="5" t="s">
        <v>104</v>
      </c>
      <c r="J364" s="23" t="s">
        <v>170</v>
      </c>
      <c r="K364" s="23" t="s">
        <v>106</v>
      </c>
      <c r="L364" s="25" t="s">
        <v>107</v>
      </c>
    </row>
    <row r="365" customFormat="false" ht="15" hidden="false" customHeight="false" outlineLevel="0" collapsed="false">
      <c r="A365" s="26" t="s">
        <v>1162</v>
      </c>
      <c r="B365" s="27" t="s">
        <v>1163</v>
      </c>
      <c r="C365" s="32" t="n">
        <v>1009</v>
      </c>
      <c r="D365" s="27" t="s">
        <v>100</v>
      </c>
      <c r="E365" s="27" t="s">
        <v>137</v>
      </c>
      <c r="F365" s="29" t="s">
        <v>1164</v>
      </c>
      <c r="G365" s="27" t="s">
        <v>169</v>
      </c>
      <c r="H365" s="30" t="n">
        <v>421</v>
      </c>
      <c r="I365" s="27" t="s">
        <v>104</v>
      </c>
      <c r="J365" s="29" t="s">
        <v>170</v>
      </c>
      <c r="K365" s="29" t="s">
        <v>106</v>
      </c>
      <c r="L365" s="31" t="s">
        <v>107</v>
      </c>
    </row>
    <row r="366" customFormat="false" ht="15" hidden="false" customHeight="false" outlineLevel="0" collapsed="false">
      <c r="A366" s="21" t="s">
        <v>1165</v>
      </c>
      <c r="B366" s="5" t="s">
        <v>1166</v>
      </c>
      <c r="C366" s="22" t="n">
        <v>2162</v>
      </c>
      <c r="D366" s="5" t="s">
        <v>100</v>
      </c>
      <c r="E366" s="5" t="s">
        <v>137</v>
      </c>
      <c r="F366" s="23" t="s">
        <v>1167</v>
      </c>
      <c r="G366" s="5" t="s">
        <v>169</v>
      </c>
      <c r="H366" s="24" t="n">
        <v>421</v>
      </c>
      <c r="I366" s="5" t="s">
        <v>104</v>
      </c>
      <c r="J366" s="23" t="s">
        <v>170</v>
      </c>
      <c r="K366" s="23" t="s">
        <v>106</v>
      </c>
      <c r="L366" s="25" t="s">
        <v>107</v>
      </c>
    </row>
    <row r="367" customFormat="false" ht="15" hidden="false" customHeight="false" outlineLevel="0" collapsed="false">
      <c r="A367" s="26" t="s">
        <v>1168</v>
      </c>
      <c r="B367" s="27" t="s">
        <v>1169</v>
      </c>
      <c r="C367" s="32" t="n">
        <v>499</v>
      </c>
      <c r="D367" s="27" t="s">
        <v>100</v>
      </c>
      <c r="E367" s="27" t="s">
        <v>137</v>
      </c>
      <c r="F367" s="29" t="s">
        <v>1170</v>
      </c>
      <c r="G367" s="27" t="s">
        <v>169</v>
      </c>
      <c r="H367" s="30" t="n">
        <v>421</v>
      </c>
      <c r="I367" s="27" t="s">
        <v>104</v>
      </c>
      <c r="J367" s="29" t="s">
        <v>170</v>
      </c>
      <c r="K367" s="29" t="s">
        <v>106</v>
      </c>
      <c r="L367" s="31" t="s">
        <v>107</v>
      </c>
    </row>
    <row r="368" customFormat="false" ht="15" hidden="false" customHeight="false" outlineLevel="0" collapsed="false">
      <c r="A368" s="21" t="s">
        <v>1171</v>
      </c>
      <c r="B368" s="5" t="s">
        <v>1172</v>
      </c>
      <c r="C368" s="22" t="n">
        <v>384</v>
      </c>
      <c r="D368" s="5" t="s">
        <v>100</v>
      </c>
      <c r="E368" s="5" t="s">
        <v>137</v>
      </c>
      <c r="F368" s="23" t="s">
        <v>1173</v>
      </c>
      <c r="G368" s="5" t="s">
        <v>169</v>
      </c>
      <c r="H368" s="24" t="n">
        <v>421</v>
      </c>
      <c r="I368" s="5" t="s">
        <v>104</v>
      </c>
      <c r="J368" s="23" t="s">
        <v>170</v>
      </c>
      <c r="K368" s="23" t="s">
        <v>106</v>
      </c>
      <c r="L368" s="25" t="s">
        <v>107</v>
      </c>
    </row>
    <row r="369" customFormat="false" ht="15" hidden="false" customHeight="false" outlineLevel="0" collapsed="false">
      <c r="A369" s="26" t="s">
        <v>1174</v>
      </c>
      <c r="B369" s="27" t="s">
        <v>1175</v>
      </c>
      <c r="C369" s="32" t="n">
        <v>317</v>
      </c>
      <c r="D369" s="27" t="s">
        <v>100</v>
      </c>
      <c r="E369" s="27" t="s">
        <v>137</v>
      </c>
      <c r="F369" s="29" t="s">
        <v>1176</v>
      </c>
      <c r="G369" s="27" t="s">
        <v>169</v>
      </c>
      <c r="H369" s="30" t="n">
        <v>421</v>
      </c>
      <c r="I369" s="27" t="s">
        <v>104</v>
      </c>
      <c r="J369" s="29" t="s">
        <v>170</v>
      </c>
      <c r="K369" s="29" t="s">
        <v>106</v>
      </c>
      <c r="L369" s="31" t="s">
        <v>107</v>
      </c>
    </row>
    <row r="370" customFormat="false" ht="15" hidden="false" customHeight="false" outlineLevel="0" collapsed="false">
      <c r="A370" s="21" t="s">
        <v>1177</v>
      </c>
      <c r="B370" s="5" t="s">
        <v>1178</v>
      </c>
      <c r="C370" s="22" t="n">
        <v>198</v>
      </c>
      <c r="D370" s="5" t="s">
        <v>100</v>
      </c>
      <c r="E370" s="5" t="s">
        <v>137</v>
      </c>
      <c r="F370" s="23" t="s">
        <v>1179</v>
      </c>
      <c r="G370" s="5" t="s">
        <v>169</v>
      </c>
      <c r="H370" s="24" t="n">
        <v>421</v>
      </c>
      <c r="I370" s="5" t="s">
        <v>104</v>
      </c>
      <c r="J370" s="23" t="s">
        <v>170</v>
      </c>
      <c r="K370" s="23" t="s">
        <v>106</v>
      </c>
      <c r="L370" s="25" t="s">
        <v>107</v>
      </c>
    </row>
    <row r="371" customFormat="false" ht="15" hidden="false" customHeight="false" outlineLevel="0" collapsed="false">
      <c r="A371" s="26" t="s">
        <v>1180</v>
      </c>
      <c r="B371" s="27" t="s">
        <v>1181</v>
      </c>
      <c r="C371" s="32" t="n">
        <v>147</v>
      </c>
      <c r="D371" s="27" t="s">
        <v>100</v>
      </c>
      <c r="E371" s="27" t="s">
        <v>137</v>
      </c>
      <c r="F371" s="29" t="s">
        <v>1182</v>
      </c>
      <c r="G371" s="27" t="s">
        <v>169</v>
      </c>
      <c r="H371" s="30" t="n">
        <v>421</v>
      </c>
      <c r="I371" s="27" t="s">
        <v>104</v>
      </c>
      <c r="J371" s="29" t="s">
        <v>170</v>
      </c>
      <c r="K371" s="29" t="s">
        <v>106</v>
      </c>
      <c r="L371" s="31" t="s">
        <v>107</v>
      </c>
    </row>
    <row r="372" customFormat="false" ht="15" hidden="false" customHeight="false" outlineLevel="0" collapsed="false">
      <c r="A372" s="21" t="s">
        <v>1183</v>
      </c>
      <c r="B372" s="5" t="s">
        <v>1184</v>
      </c>
      <c r="C372" s="22" t="n">
        <v>618</v>
      </c>
      <c r="D372" s="5" t="s">
        <v>100</v>
      </c>
      <c r="E372" s="5" t="s">
        <v>137</v>
      </c>
      <c r="F372" s="23" t="s">
        <v>1185</v>
      </c>
      <c r="G372" s="5" t="s">
        <v>169</v>
      </c>
      <c r="H372" s="24" t="n">
        <v>421</v>
      </c>
      <c r="I372" s="5" t="s">
        <v>104</v>
      </c>
      <c r="J372" s="23" t="s">
        <v>170</v>
      </c>
      <c r="K372" s="23" t="s">
        <v>106</v>
      </c>
      <c r="L372" s="25" t="s">
        <v>107</v>
      </c>
    </row>
    <row r="373" customFormat="false" ht="15" hidden="false" customHeight="false" outlineLevel="0" collapsed="false">
      <c r="A373" s="26" t="s">
        <v>1186</v>
      </c>
      <c r="B373" s="27" t="s">
        <v>1187</v>
      </c>
      <c r="C373" s="32" t="n">
        <v>3891</v>
      </c>
      <c r="D373" s="27" t="s">
        <v>100</v>
      </c>
      <c r="E373" s="27" t="s">
        <v>137</v>
      </c>
      <c r="F373" s="29" t="s">
        <v>1188</v>
      </c>
      <c r="G373" s="27" t="s">
        <v>169</v>
      </c>
      <c r="H373" s="30" t="n">
        <v>421</v>
      </c>
      <c r="I373" s="27" t="s">
        <v>104</v>
      </c>
      <c r="J373" s="29" t="s">
        <v>170</v>
      </c>
      <c r="K373" s="29" t="s">
        <v>106</v>
      </c>
      <c r="L373" s="31" t="s">
        <v>107</v>
      </c>
    </row>
    <row r="374" customFormat="false" ht="15" hidden="false" customHeight="false" outlineLevel="0" collapsed="false">
      <c r="A374" s="21" t="s">
        <v>1189</v>
      </c>
      <c r="B374" s="5" t="s">
        <v>1190</v>
      </c>
      <c r="C374" s="22" t="n">
        <v>3492</v>
      </c>
      <c r="D374" s="5" t="s">
        <v>100</v>
      </c>
      <c r="E374" s="5" t="s">
        <v>137</v>
      </c>
      <c r="F374" s="23" t="s">
        <v>1191</v>
      </c>
      <c r="G374" s="5" t="s">
        <v>169</v>
      </c>
      <c r="H374" s="24" t="n">
        <v>421</v>
      </c>
      <c r="I374" s="5" t="s">
        <v>104</v>
      </c>
      <c r="J374" s="23" t="s">
        <v>170</v>
      </c>
      <c r="K374" s="23" t="s">
        <v>106</v>
      </c>
      <c r="L374" s="25" t="s">
        <v>107</v>
      </c>
    </row>
    <row r="375" customFormat="false" ht="15" hidden="false" customHeight="false" outlineLevel="0" collapsed="false">
      <c r="A375" s="26" t="s">
        <v>1192</v>
      </c>
      <c r="B375" s="27" t="s">
        <v>1193</v>
      </c>
      <c r="C375" s="32" t="n">
        <v>2281</v>
      </c>
      <c r="D375" s="27" t="s">
        <v>100</v>
      </c>
      <c r="E375" s="27" t="s">
        <v>137</v>
      </c>
      <c r="F375" s="29" t="s">
        <v>1194</v>
      </c>
      <c r="G375" s="27" t="s">
        <v>169</v>
      </c>
      <c r="H375" s="30" t="n">
        <v>421</v>
      </c>
      <c r="I375" s="27" t="s">
        <v>104</v>
      </c>
      <c r="J375" s="29" t="s">
        <v>170</v>
      </c>
      <c r="K375" s="29" t="s">
        <v>106</v>
      </c>
      <c r="L375" s="31" t="s">
        <v>107</v>
      </c>
    </row>
    <row r="376" customFormat="false" ht="15" hidden="false" customHeight="false" outlineLevel="0" collapsed="false">
      <c r="A376" s="21" t="s">
        <v>1195</v>
      </c>
      <c r="B376" s="5" t="s">
        <v>1196</v>
      </c>
      <c r="C376" s="22" t="n">
        <v>2407</v>
      </c>
      <c r="D376" s="5" t="s">
        <v>100</v>
      </c>
      <c r="E376" s="5" t="s">
        <v>137</v>
      </c>
      <c r="F376" s="23" t="s">
        <v>1197</v>
      </c>
      <c r="G376" s="5" t="s">
        <v>169</v>
      </c>
      <c r="H376" s="24" t="n">
        <v>421</v>
      </c>
      <c r="I376" s="5" t="s">
        <v>104</v>
      </c>
      <c r="J376" s="23" t="s">
        <v>170</v>
      </c>
      <c r="K376" s="23" t="s">
        <v>106</v>
      </c>
      <c r="L376" s="25" t="s">
        <v>107</v>
      </c>
    </row>
    <row r="377" customFormat="false" ht="15" hidden="false" customHeight="false" outlineLevel="0" collapsed="false">
      <c r="A377" s="26" t="s">
        <v>1198</v>
      </c>
      <c r="B377" s="27" t="s">
        <v>1199</v>
      </c>
      <c r="C377" s="32" t="n">
        <v>12692</v>
      </c>
      <c r="D377" s="27" t="s">
        <v>100</v>
      </c>
      <c r="E377" s="27" t="s">
        <v>137</v>
      </c>
      <c r="F377" s="29" t="s">
        <v>1200</v>
      </c>
      <c r="G377" s="27" t="s">
        <v>169</v>
      </c>
      <c r="H377" s="30" t="n">
        <v>421</v>
      </c>
      <c r="I377" s="27" t="s">
        <v>104</v>
      </c>
      <c r="J377" s="29" t="s">
        <v>170</v>
      </c>
      <c r="K377" s="29" t="s">
        <v>106</v>
      </c>
      <c r="L377" s="31" t="s">
        <v>107</v>
      </c>
    </row>
    <row r="378" customFormat="false" ht="15" hidden="false" customHeight="false" outlineLevel="0" collapsed="false">
      <c r="A378" s="21" t="s">
        <v>1201</v>
      </c>
      <c r="B378" s="5" t="s">
        <v>1202</v>
      </c>
      <c r="C378" s="22" t="n">
        <v>4500</v>
      </c>
      <c r="D378" s="5" t="s">
        <v>100</v>
      </c>
      <c r="E378" s="5" t="s">
        <v>137</v>
      </c>
      <c r="F378" s="23" t="s">
        <v>1203</v>
      </c>
      <c r="G378" s="5" t="s">
        <v>169</v>
      </c>
      <c r="H378" s="24" t="n">
        <v>421</v>
      </c>
      <c r="I378" s="5" t="s">
        <v>104</v>
      </c>
      <c r="J378" s="23" t="s">
        <v>170</v>
      </c>
      <c r="K378" s="23" t="s">
        <v>106</v>
      </c>
      <c r="L378" s="25" t="s">
        <v>107</v>
      </c>
    </row>
    <row r="379" customFormat="false" ht="15" hidden="false" customHeight="false" outlineLevel="0" collapsed="false">
      <c r="A379" s="26" t="s">
        <v>1204</v>
      </c>
      <c r="B379" s="27" t="s">
        <v>1205</v>
      </c>
      <c r="C379" s="32" t="n">
        <v>765</v>
      </c>
      <c r="D379" s="27" t="s">
        <v>100</v>
      </c>
      <c r="E379" s="27" t="s">
        <v>137</v>
      </c>
      <c r="F379" s="29" t="s">
        <v>1206</v>
      </c>
      <c r="G379" s="27" t="s">
        <v>169</v>
      </c>
      <c r="H379" s="30" t="n">
        <v>421</v>
      </c>
      <c r="I379" s="27" t="s">
        <v>104</v>
      </c>
      <c r="J379" s="29" t="s">
        <v>170</v>
      </c>
      <c r="K379" s="29" t="s">
        <v>106</v>
      </c>
      <c r="L379" s="31" t="s">
        <v>107</v>
      </c>
    </row>
    <row r="380" customFormat="false" ht="15" hidden="false" customHeight="false" outlineLevel="0" collapsed="false">
      <c r="A380" s="21" t="s">
        <v>1207</v>
      </c>
      <c r="B380" s="5" t="s">
        <v>1208</v>
      </c>
      <c r="C380" s="22" t="n">
        <v>7551</v>
      </c>
      <c r="D380" s="5" t="s">
        <v>100</v>
      </c>
      <c r="E380" s="5" t="s">
        <v>137</v>
      </c>
      <c r="F380" s="23" t="s">
        <v>1209</v>
      </c>
      <c r="G380" s="5" t="s">
        <v>169</v>
      </c>
      <c r="H380" s="24" t="n">
        <v>421</v>
      </c>
      <c r="I380" s="5" t="s">
        <v>104</v>
      </c>
      <c r="J380" s="23" t="s">
        <v>170</v>
      </c>
      <c r="K380" s="23" t="s">
        <v>106</v>
      </c>
      <c r="L380" s="25" t="s">
        <v>107</v>
      </c>
    </row>
    <row r="381" customFormat="false" ht="15" hidden="false" customHeight="false" outlineLevel="0" collapsed="false">
      <c r="A381" s="26" t="s">
        <v>1210</v>
      </c>
      <c r="B381" s="27" t="s">
        <v>1211</v>
      </c>
      <c r="C381" s="32" t="n">
        <v>673</v>
      </c>
      <c r="D381" s="27" t="s">
        <v>100</v>
      </c>
      <c r="E381" s="27" t="s">
        <v>137</v>
      </c>
      <c r="F381" s="29" t="s">
        <v>1212</v>
      </c>
      <c r="G381" s="27" t="s">
        <v>169</v>
      </c>
      <c r="H381" s="30" t="n">
        <v>421</v>
      </c>
      <c r="I381" s="27" t="s">
        <v>104</v>
      </c>
      <c r="J381" s="29" t="s">
        <v>170</v>
      </c>
      <c r="K381" s="29" t="s">
        <v>106</v>
      </c>
      <c r="L381" s="31" t="s">
        <v>107</v>
      </c>
    </row>
    <row r="382" customFormat="false" ht="15" hidden="false" customHeight="false" outlineLevel="0" collapsed="false">
      <c r="A382" s="21" t="s">
        <v>1213</v>
      </c>
      <c r="B382" s="5" t="s">
        <v>1214</v>
      </c>
      <c r="C382" s="22" t="n">
        <v>700</v>
      </c>
      <c r="D382" s="5" t="s">
        <v>100</v>
      </c>
      <c r="E382" s="5" t="s">
        <v>137</v>
      </c>
      <c r="F382" s="23" t="s">
        <v>461</v>
      </c>
      <c r="G382" s="5" t="s">
        <v>169</v>
      </c>
      <c r="H382" s="24" t="n">
        <v>407</v>
      </c>
      <c r="I382" s="5" t="s">
        <v>104</v>
      </c>
      <c r="J382" s="23" t="s">
        <v>170</v>
      </c>
      <c r="K382" s="23" t="s">
        <v>106</v>
      </c>
      <c r="L382" s="25" t="s">
        <v>107</v>
      </c>
    </row>
    <row r="383" customFormat="false" ht="15" hidden="false" customHeight="false" outlineLevel="0" collapsed="false">
      <c r="A383" s="26" t="s">
        <v>1215</v>
      </c>
      <c r="B383" s="27" t="s">
        <v>1216</v>
      </c>
      <c r="C383" s="28" t="n">
        <v>1.25</v>
      </c>
      <c r="D383" s="27" t="s">
        <v>296</v>
      </c>
      <c r="E383" s="27" t="s">
        <v>137</v>
      </c>
      <c r="F383" s="29" t="s">
        <v>958</v>
      </c>
      <c r="G383" s="27" t="s">
        <v>169</v>
      </c>
      <c r="H383" s="30" t="n">
        <v>407</v>
      </c>
      <c r="I383" s="27" t="s">
        <v>104</v>
      </c>
      <c r="J383" s="29" t="s">
        <v>170</v>
      </c>
      <c r="K383" s="29" t="s">
        <v>106</v>
      </c>
      <c r="L383" s="31" t="s">
        <v>107</v>
      </c>
    </row>
    <row r="384" customFormat="false" ht="15" hidden="false" customHeight="false" outlineLevel="0" collapsed="false">
      <c r="A384" s="21" t="s">
        <v>1217</v>
      </c>
      <c r="B384" s="5" t="s">
        <v>1218</v>
      </c>
      <c r="C384" s="22" t="n">
        <v>800</v>
      </c>
      <c r="D384" s="5" t="s">
        <v>100</v>
      </c>
      <c r="E384" s="5" t="s">
        <v>137</v>
      </c>
      <c r="F384" s="23" t="s">
        <v>1219</v>
      </c>
      <c r="G384" s="5" t="s">
        <v>169</v>
      </c>
      <c r="H384" s="24" t="n">
        <v>407</v>
      </c>
      <c r="I384" s="5" t="s">
        <v>104</v>
      </c>
      <c r="J384" s="23" t="s">
        <v>170</v>
      </c>
      <c r="K384" s="23" t="s">
        <v>106</v>
      </c>
      <c r="L384" s="25" t="s">
        <v>107</v>
      </c>
    </row>
    <row r="385" customFormat="false" ht="15" hidden="false" customHeight="false" outlineLevel="0" collapsed="false">
      <c r="A385" s="26" t="s">
        <v>1220</v>
      </c>
      <c r="B385" s="27" t="s">
        <v>1221</v>
      </c>
      <c r="C385" s="28" t="n">
        <v>1.25</v>
      </c>
      <c r="D385" s="27" t="s">
        <v>296</v>
      </c>
      <c r="E385" s="27" t="s">
        <v>137</v>
      </c>
      <c r="F385" s="29" t="s">
        <v>958</v>
      </c>
      <c r="G385" s="27" t="s">
        <v>169</v>
      </c>
      <c r="H385" s="30" t="n">
        <v>407</v>
      </c>
      <c r="I385" s="27" t="s">
        <v>104</v>
      </c>
      <c r="J385" s="29" t="s">
        <v>170</v>
      </c>
      <c r="K385" s="29" t="s">
        <v>106</v>
      </c>
      <c r="L385" s="31" t="s">
        <v>107</v>
      </c>
    </row>
    <row r="386" customFormat="false" ht="15" hidden="false" customHeight="false" outlineLevel="0" collapsed="false">
      <c r="A386" s="21" t="s">
        <v>1222</v>
      </c>
      <c r="B386" s="5" t="s">
        <v>1223</v>
      </c>
      <c r="C386" s="22" t="n">
        <v>500</v>
      </c>
      <c r="D386" s="5" t="s">
        <v>100</v>
      </c>
      <c r="E386" s="5" t="s">
        <v>137</v>
      </c>
      <c r="F386" s="23" t="s">
        <v>967</v>
      </c>
      <c r="G386" s="5" t="s">
        <v>169</v>
      </c>
      <c r="H386" s="24" t="n">
        <v>407</v>
      </c>
      <c r="I386" s="5" t="s">
        <v>104</v>
      </c>
      <c r="J386" s="23" t="s">
        <v>170</v>
      </c>
      <c r="K386" s="23" t="s">
        <v>106</v>
      </c>
      <c r="L386" s="25" t="s">
        <v>107</v>
      </c>
    </row>
    <row r="387" customFormat="false" ht="15" hidden="false" customHeight="false" outlineLevel="0" collapsed="false">
      <c r="A387" s="26" t="s">
        <v>1224</v>
      </c>
      <c r="B387" s="27" t="s">
        <v>1225</v>
      </c>
      <c r="C387" s="32" t="n">
        <v>700</v>
      </c>
      <c r="D387" s="27" t="s">
        <v>100</v>
      </c>
      <c r="E387" s="27" t="s">
        <v>137</v>
      </c>
      <c r="F387" s="29" t="s">
        <v>461</v>
      </c>
      <c r="G387" s="27" t="s">
        <v>169</v>
      </c>
      <c r="H387" s="30" t="n">
        <v>407</v>
      </c>
      <c r="I387" s="27" t="s">
        <v>104</v>
      </c>
      <c r="J387" s="29" t="s">
        <v>170</v>
      </c>
      <c r="K387" s="29" t="s">
        <v>106</v>
      </c>
      <c r="L387" s="31" t="s">
        <v>107</v>
      </c>
    </row>
    <row r="388" customFormat="false" ht="15" hidden="false" customHeight="false" outlineLevel="0" collapsed="false">
      <c r="A388" s="21" t="s">
        <v>1226</v>
      </c>
      <c r="B388" s="5" t="s">
        <v>1227</v>
      </c>
      <c r="C388" s="22" t="n">
        <v>75</v>
      </c>
      <c r="D388" s="5" t="s">
        <v>100</v>
      </c>
      <c r="E388" s="5" t="s">
        <v>137</v>
      </c>
      <c r="F388" s="23" t="s">
        <v>453</v>
      </c>
      <c r="G388" s="5" t="s">
        <v>169</v>
      </c>
      <c r="H388" s="24" t="n">
        <v>407</v>
      </c>
      <c r="I388" s="5" t="s">
        <v>104</v>
      </c>
      <c r="J388" s="23" t="s">
        <v>170</v>
      </c>
      <c r="K388" s="23" t="s">
        <v>106</v>
      </c>
      <c r="L388" s="25" t="s">
        <v>107</v>
      </c>
    </row>
    <row r="389" customFormat="false" ht="15" hidden="false" customHeight="false" outlineLevel="0" collapsed="false">
      <c r="A389" s="26" t="s">
        <v>1228</v>
      </c>
      <c r="B389" s="27" t="s">
        <v>1229</v>
      </c>
      <c r="C389" s="32" t="n">
        <v>750</v>
      </c>
      <c r="D389" s="27" t="s">
        <v>100</v>
      </c>
      <c r="E389" s="27" t="s">
        <v>137</v>
      </c>
      <c r="F389" s="29" t="s">
        <v>923</v>
      </c>
      <c r="G389" s="27" t="s">
        <v>169</v>
      </c>
      <c r="H389" s="30" t="n">
        <v>407</v>
      </c>
      <c r="I389" s="27" t="s">
        <v>104</v>
      </c>
      <c r="J389" s="29" t="s">
        <v>170</v>
      </c>
      <c r="K389" s="29" t="s">
        <v>106</v>
      </c>
      <c r="L389" s="31" t="s">
        <v>107</v>
      </c>
    </row>
    <row r="390" customFormat="false" ht="15" hidden="false" customHeight="false" outlineLevel="0" collapsed="false">
      <c r="A390" s="21" t="s">
        <v>1230</v>
      </c>
      <c r="B390" s="5" t="s">
        <v>1231</v>
      </c>
      <c r="C390" s="22" t="n">
        <v>50</v>
      </c>
      <c r="D390" s="5" t="s">
        <v>100</v>
      </c>
      <c r="E390" s="5" t="s">
        <v>137</v>
      </c>
      <c r="F390" s="23" t="s">
        <v>1232</v>
      </c>
      <c r="G390" s="5" t="s">
        <v>169</v>
      </c>
      <c r="H390" s="24" t="n">
        <v>407</v>
      </c>
      <c r="I390" s="5" t="s">
        <v>104</v>
      </c>
      <c r="J390" s="23" t="s">
        <v>170</v>
      </c>
      <c r="K390" s="23" t="s">
        <v>106</v>
      </c>
      <c r="L390" s="25" t="s">
        <v>107</v>
      </c>
    </row>
    <row r="391" customFormat="false" ht="15" hidden="false" customHeight="false" outlineLevel="0" collapsed="false">
      <c r="A391" s="26" t="s">
        <v>1233</v>
      </c>
      <c r="B391" s="27" t="s">
        <v>1234</v>
      </c>
      <c r="C391" s="32" t="n">
        <v>500</v>
      </c>
      <c r="D391" s="27" t="s">
        <v>100</v>
      </c>
      <c r="E391" s="27" t="s">
        <v>137</v>
      </c>
      <c r="F391" s="29" t="s">
        <v>967</v>
      </c>
      <c r="G391" s="27" t="s">
        <v>169</v>
      </c>
      <c r="H391" s="30" t="n">
        <v>407</v>
      </c>
      <c r="I391" s="27" t="s">
        <v>104</v>
      </c>
      <c r="J391" s="29" t="s">
        <v>170</v>
      </c>
      <c r="K391" s="29" t="s">
        <v>106</v>
      </c>
      <c r="L391" s="31" t="s">
        <v>107</v>
      </c>
    </row>
    <row r="392" customFormat="false" ht="15" hidden="false" customHeight="false" outlineLevel="0" collapsed="false">
      <c r="A392" s="21" t="s">
        <v>1235</v>
      </c>
      <c r="B392" s="5" t="s">
        <v>1053</v>
      </c>
      <c r="C392" s="22" t="n">
        <v>-2965</v>
      </c>
      <c r="D392" s="5" t="s">
        <v>100</v>
      </c>
      <c r="E392" s="5" t="s">
        <v>157</v>
      </c>
      <c r="F392" s="23" t="s">
        <v>1236</v>
      </c>
      <c r="G392" s="5" t="s">
        <v>169</v>
      </c>
      <c r="H392" s="24" t="n">
        <v>362</v>
      </c>
      <c r="I392" s="5" t="s">
        <v>124</v>
      </c>
      <c r="J392" s="23" t="s">
        <v>170</v>
      </c>
      <c r="K392" s="23" t="s">
        <v>106</v>
      </c>
      <c r="L392" s="25" t="s">
        <v>107</v>
      </c>
    </row>
    <row r="393" customFormat="false" ht="15" hidden="false" customHeight="false" outlineLevel="0" collapsed="false">
      <c r="A393" s="26" t="s">
        <v>1237</v>
      </c>
      <c r="B393" s="27" t="s">
        <v>1238</v>
      </c>
      <c r="C393" s="32" t="n">
        <v>199</v>
      </c>
      <c r="D393" s="27" t="s">
        <v>100</v>
      </c>
      <c r="E393" s="27" t="s">
        <v>117</v>
      </c>
      <c r="F393" s="29" t="s">
        <v>1239</v>
      </c>
      <c r="G393" s="27" t="s">
        <v>169</v>
      </c>
      <c r="H393" s="30" t="n">
        <v>362</v>
      </c>
      <c r="I393" s="27" t="s">
        <v>124</v>
      </c>
      <c r="J393" s="29" t="s">
        <v>170</v>
      </c>
      <c r="K393" s="29" t="s">
        <v>106</v>
      </c>
      <c r="L393" s="31" t="s">
        <v>107</v>
      </c>
    </row>
    <row r="394" customFormat="false" ht="15" hidden="false" customHeight="false" outlineLevel="0" collapsed="false">
      <c r="A394" s="21" t="s">
        <v>1240</v>
      </c>
      <c r="B394" s="5" t="s">
        <v>1238</v>
      </c>
      <c r="C394" s="22" t="n">
        <v>212</v>
      </c>
      <c r="D394" s="5" t="s">
        <v>100</v>
      </c>
      <c r="E394" s="5" t="s">
        <v>157</v>
      </c>
      <c r="F394" s="23" t="s">
        <v>1241</v>
      </c>
      <c r="G394" s="5" t="s">
        <v>169</v>
      </c>
      <c r="H394" s="24" t="n">
        <v>362</v>
      </c>
      <c r="I394" s="5" t="s">
        <v>124</v>
      </c>
      <c r="J394" s="23" t="s">
        <v>170</v>
      </c>
      <c r="K394" s="23" t="s">
        <v>106</v>
      </c>
      <c r="L394" s="25" t="s">
        <v>107</v>
      </c>
    </row>
    <row r="395" customFormat="false" ht="15" hidden="false" customHeight="false" outlineLevel="0" collapsed="false">
      <c r="A395" s="26" t="s">
        <v>1242</v>
      </c>
      <c r="B395" s="27" t="s">
        <v>1243</v>
      </c>
      <c r="C395" s="32" t="n">
        <v>-702</v>
      </c>
      <c r="D395" s="27" t="s">
        <v>100</v>
      </c>
      <c r="E395" s="27" t="s">
        <v>117</v>
      </c>
      <c r="F395" s="29" t="s">
        <v>1244</v>
      </c>
      <c r="G395" s="27" t="s">
        <v>169</v>
      </c>
      <c r="H395" s="30" t="n">
        <v>362</v>
      </c>
      <c r="I395" s="27" t="s">
        <v>124</v>
      </c>
      <c r="J395" s="29" t="s">
        <v>170</v>
      </c>
      <c r="K395" s="29" t="s">
        <v>106</v>
      </c>
      <c r="L395" s="31" t="s">
        <v>107</v>
      </c>
    </row>
    <row r="396" customFormat="false" ht="15" hidden="false" customHeight="false" outlineLevel="0" collapsed="false">
      <c r="A396" s="21" t="s">
        <v>1245</v>
      </c>
      <c r="B396" s="5" t="s">
        <v>1243</v>
      </c>
      <c r="C396" s="22" t="n">
        <v>-482</v>
      </c>
      <c r="D396" s="5" t="s">
        <v>100</v>
      </c>
      <c r="E396" s="5" t="s">
        <v>157</v>
      </c>
      <c r="F396" s="23" t="s">
        <v>1246</v>
      </c>
      <c r="G396" s="5" t="s">
        <v>169</v>
      </c>
      <c r="H396" s="24" t="n">
        <v>362</v>
      </c>
      <c r="I396" s="5" t="s">
        <v>124</v>
      </c>
      <c r="J396" s="23" t="s">
        <v>170</v>
      </c>
      <c r="K396" s="23" t="s">
        <v>106</v>
      </c>
      <c r="L396" s="25" t="s">
        <v>107</v>
      </c>
    </row>
    <row r="397" customFormat="false" ht="15" hidden="false" customHeight="false" outlineLevel="0" collapsed="false">
      <c r="A397" s="26" t="s">
        <v>1247</v>
      </c>
      <c r="B397" s="27" t="s">
        <v>1248</v>
      </c>
      <c r="C397" s="32" t="n">
        <v>59</v>
      </c>
      <c r="D397" s="27" t="s">
        <v>100</v>
      </c>
      <c r="E397" s="27" t="s">
        <v>117</v>
      </c>
      <c r="F397" s="29" t="s">
        <v>1249</v>
      </c>
      <c r="G397" s="27" t="s">
        <v>169</v>
      </c>
      <c r="H397" s="30" t="n">
        <v>362</v>
      </c>
      <c r="I397" s="27" t="s">
        <v>124</v>
      </c>
      <c r="J397" s="29" t="s">
        <v>170</v>
      </c>
      <c r="K397" s="29" t="s">
        <v>106</v>
      </c>
      <c r="L397" s="31" t="s">
        <v>107</v>
      </c>
    </row>
    <row r="398" customFormat="false" ht="15" hidden="false" customHeight="false" outlineLevel="0" collapsed="false">
      <c r="A398" s="21" t="s">
        <v>1250</v>
      </c>
      <c r="B398" s="5" t="s">
        <v>1248</v>
      </c>
      <c r="C398" s="22" t="n">
        <v>949</v>
      </c>
      <c r="D398" s="5" t="s">
        <v>100</v>
      </c>
      <c r="E398" s="5" t="s">
        <v>157</v>
      </c>
      <c r="F398" s="23" t="s">
        <v>1251</v>
      </c>
      <c r="G398" s="5" t="s">
        <v>169</v>
      </c>
      <c r="H398" s="24" t="n">
        <v>362</v>
      </c>
      <c r="I398" s="5" t="s">
        <v>124</v>
      </c>
      <c r="J398" s="23" t="s">
        <v>170</v>
      </c>
      <c r="K398" s="23" t="s">
        <v>106</v>
      </c>
      <c r="L398" s="25" t="s">
        <v>107</v>
      </c>
    </row>
    <row r="399" customFormat="false" ht="15" hidden="false" customHeight="false" outlineLevel="0" collapsed="false">
      <c r="A399" s="26" t="s">
        <v>1252</v>
      </c>
      <c r="B399" s="27" t="s">
        <v>1253</v>
      </c>
      <c r="C399" s="32" t="n">
        <v>-156</v>
      </c>
      <c r="D399" s="27" t="s">
        <v>100</v>
      </c>
      <c r="E399" s="27" t="s">
        <v>117</v>
      </c>
      <c r="F399" s="29" t="s">
        <v>1254</v>
      </c>
      <c r="G399" s="27" t="s">
        <v>169</v>
      </c>
      <c r="H399" s="30" t="n">
        <v>362</v>
      </c>
      <c r="I399" s="27" t="s">
        <v>104</v>
      </c>
      <c r="J399" s="29" t="s">
        <v>170</v>
      </c>
      <c r="K399" s="29" t="s">
        <v>106</v>
      </c>
      <c r="L399" s="31" t="s">
        <v>107</v>
      </c>
    </row>
    <row r="400" customFormat="false" ht="15" hidden="false" customHeight="false" outlineLevel="0" collapsed="false">
      <c r="A400" s="21" t="s">
        <v>1255</v>
      </c>
      <c r="B400" s="5" t="s">
        <v>1253</v>
      </c>
      <c r="C400" s="22" t="n">
        <v>-225</v>
      </c>
      <c r="D400" s="5" t="s">
        <v>100</v>
      </c>
      <c r="E400" s="5" t="s">
        <v>157</v>
      </c>
      <c r="F400" s="23" t="s">
        <v>1256</v>
      </c>
      <c r="G400" s="5" t="s">
        <v>169</v>
      </c>
      <c r="H400" s="24" t="n">
        <v>362</v>
      </c>
      <c r="I400" s="5" t="s">
        <v>104</v>
      </c>
      <c r="J400" s="23" t="s">
        <v>170</v>
      </c>
      <c r="K400" s="23" t="s">
        <v>106</v>
      </c>
      <c r="L400" s="25" t="s">
        <v>107</v>
      </c>
    </row>
    <row r="401" customFormat="false" ht="15" hidden="false" customHeight="false" outlineLevel="0" collapsed="false">
      <c r="A401" s="26" t="s">
        <v>1257</v>
      </c>
      <c r="B401" s="27" t="s">
        <v>1056</v>
      </c>
      <c r="C401" s="32" t="n">
        <v>268</v>
      </c>
      <c r="D401" s="27" t="s">
        <v>100</v>
      </c>
      <c r="E401" s="27" t="s">
        <v>117</v>
      </c>
      <c r="F401" s="29" t="s">
        <v>1258</v>
      </c>
      <c r="G401" s="27" t="s">
        <v>169</v>
      </c>
      <c r="H401" s="30" t="n">
        <v>362</v>
      </c>
      <c r="I401" s="27" t="s">
        <v>104</v>
      </c>
      <c r="J401" s="29" t="s">
        <v>170</v>
      </c>
      <c r="K401" s="29" t="s">
        <v>106</v>
      </c>
      <c r="L401" s="31" t="s">
        <v>107</v>
      </c>
    </row>
    <row r="402" customFormat="false" ht="15" hidden="false" customHeight="false" outlineLevel="0" collapsed="false">
      <c r="A402" s="21" t="s">
        <v>1259</v>
      </c>
      <c r="B402" s="5" t="s">
        <v>1260</v>
      </c>
      <c r="C402" s="22" t="n">
        <v>-1563</v>
      </c>
      <c r="D402" s="5" t="s">
        <v>100</v>
      </c>
      <c r="E402" s="5" t="s">
        <v>117</v>
      </c>
      <c r="F402" s="23" t="s">
        <v>1261</v>
      </c>
      <c r="G402" s="5" t="s">
        <v>169</v>
      </c>
      <c r="H402" s="24" t="n">
        <v>363</v>
      </c>
      <c r="I402" s="5" t="s">
        <v>124</v>
      </c>
      <c r="J402" s="23" t="s">
        <v>170</v>
      </c>
      <c r="K402" s="23" t="s">
        <v>106</v>
      </c>
      <c r="L402" s="25" t="s">
        <v>107</v>
      </c>
    </row>
    <row r="403" customFormat="false" ht="15" hidden="false" customHeight="false" outlineLevel="0" collapsed="false">
      <c r="A403" s="26" t="s">
        <v>1262</v>
      </c>
      <c r="B403" s="27" t="s">
        <v>1260</v>
      </c>
      <c r="C403" s="32" t="n">
        <v>-32</v>
      </c>
      <c r="D403" s="27" t="s">
        <v>100</v>
      </c>
      <c r="E403" s="27" t="s">
        <v>157</v>
      </c>
      <c r="F403" s="29" t="s">
        <v>1263</v>
      </c>
      <c r="G403" s="27" t="s">
        <v>169</v>
      </c>
      <c r="H403" s="30" t="n">
        <v>363</v>
      </c>
      <c r="I403" s="27" t="s">
        <v>124</v>
      </c>
      <c r="J403" s="29" t="s">
        <v>170</v>
      </c>
      <c r="K403" s="29" t="s">
        <v>106</v>
      </c>
      <c r="L403" s="31" t="s">
        <v>107</v>
      </c>
    </row>
    <row r="404" customFormat="false" ht="15" hidden="false" customHeight="false" outlineLevel="0" collapsed="false">
      <c r="A404" s="21" t="s">
        <v>1264</v>
      </c>
      <c r="B404" s="5" t="s">
        <v>1265</v>
      </c>
      <c r="C404" s="22" t="n">
        <v>318</v>
      </c>
      <c r="D404" s="5" t="s">
        <v>100</v>
      </c>
      <c r="E404" s="5" t="s">
        <v>117</v>
      </c>
      <c r="F404" s="23" t="s">
        <v>338</v>
      </c>
      <c r="G404" s="5" t="s">
        <v>169</v>
      </c>
      <c r="H404" s="24" t="n">
        <v>363</v>
      </c>
      <c r="I404" s="5" t="s">
        <v>124</v>
      </c>
      <c r="J404" s="23" t="s">
        <v>170</v>
      </c>
      <c r="K404" s="23" t="s">
        <v>106</v>
      </c>
      <c r="L404" s="25" t="s">
        <v>107</v>
      </c>
    </row>
    <row r="405" customFormat="false" ht="15" hidden="false" customHeight="false" outlineLevel="0" collapsed="false">
      <c r="A405" s="26" t="s">
        <v>1266</v>
      </c>
      <c r="B405" s="27" t="s">
        <v>1265</v>
      </c>
      <c r="C405" s="32" t="n">
        <v>341</v>
      </c>
      <c r="D405" s="27" t="s">
        <v>100</v>
      </c>
      <c r="E405" s="27" t="s">
        <v>157</v>
      </c>
      <c r="F405" s="29" t="s">
        <v>1267</v>
      </c>
      <c r="G405" s="27" t="s">
        <v>169</v>
      </c>
      <c r="H405" s="30" t="n">
        <v>363</v>
      </c>
      <c r="I405" s="27" t="s">
        <v>124</v>
      </c>
      <c r="J405" s="29" t="s">
        <v>170</v>
      </c>
      <c r="K405" s="29" t="s">
        <v>106</v>
      </c>
      <c r="L405" s="31" t="s">
        <v>107</v>
      </c>
    </row>
    <row r="406" customFormat="false" ht="15" hidden="false" customHeight="false" outlineLevel="0" collapsed="false">
      <c r="A406" s="21" t="s">
        <v>1268</v>
      </c>
      <c r="B406" s="5" t="s">
        <v>1269</v>
      </c>
      <c r="C406" s="22" t="n">
        <v>-3358</v>
      </c>
      <c r="D406" s="5" t="s">
        <v>100</v>
      </c>
      <c r="E406" s="5" t="s">
        <v>117</v>
      </c>
      <c r="F406" s="23" t="s">
        <v>1270</v>
      </c>
      <c r="G406" s="5" t="s">
        <v>169</v>
      </c>
      <c r="H406" s="24" t="n">
        <v>363</v>
      </c>
      <c r="I406" s="5" t="s">
        <v>124</v>
      </c>
      <c r="J406" s="23" t="s">
        <v>170</v>
      </c>
      <c r="K406" s="23" t="s">
        <v>106</v>
      </c>
      <c r="L406" s="25" t="s">
        <v>107</v>
      </c>
    </row>
    <row r="407" customFormat="false" ht="15" hidden="false" customHeight="false" outlineLevel="0" collapsed="false">
      <c r="A407" s="26" t="s">
        <v>1271</v>
      </c>
      <c r="B407" s="27" t="s">
        <v>1269</v>
      </c>
      <c r="C407" s="32" t="n">
        <v>-1857</v>
      </c>
      <c r="D407" s="27" t="s">
        <v>100</v>
      </c>
      <c r="E407" s="27" t="s">
        <v>157</v>
      </c>
      <c r="F407" s="29" t="s">
        <v>1272</v>
      </c>
      <c r="G407" s="27" t="s">
        <v>169</v>
      </c>
      <c r="H407" s="30" t="n">
        <v>363</v>
      </c>
      <c r="I407" s="27" t="s">
        <v>124</v>
      </c>
      <c r="J407" s="29" t="s">
        <v>170</v>
      </c>
      <c r="K407" s="29" t="s">
        <v>106</v>
      </c>
      <c r="L407" s="31" t="s">
        <v>107</v>
      </c>
    </row>
    <row r="408" customFormat="false" ht="15" hidden="false" customHeight="false" outlineLevel="0" collapsed="false">
      <c r="A408" s="21" t="s">
        <v>1273</v>
      </c>
      <c r="B408" s="5" t="s">
        <v>1274</v>
      </c>
      <c r="C408" s="22" t="n">
        <v>7806</v>
      </c>
      <c r="D408" s="5" t="s">
        <v>100</v>
      </c>
      <c r="E408" s="5" t="s">
        <v>117</v>
      </c>
      <c r="F408" s="23" t="s">
        <v>1275</v>
      </c>
      <c r="G408" s="5" t="s">
        <v>169</v>
      </c>
      <c r="H408" s="24" t="n">
        <v>363</v>
      </c>
      <c r="I408" s="5" t="s">
        <v>104</v>
      </c>
      <c r="J408" s="23" t="s">
        <v>170</v>
      </c>
      <c r="K408" s="23" t="s">
        <v>106</v>
      </c>
      <c r="L408" s="25" t="s">
        <v>107</v>
      </c>
    </row>
    <row r="409" customFormat="false" ht="15" hidden="false" customHeight="false" outlineLevel="0" collapsed="false">
      <c r="A409" s="26" t="s">
        <v>1276</v>
      </c>
      <c r="B409" s="27" t="s">
        <v>1274</v>
      </c>
      <c r="C409" s="32" t="n">
        <v>9404</v>
      </c>
      <c r="D409" s="27" t="s">
        <v>100</v>
      </c>
      <c r="E409" s="27" t="s">
        <v>157</v>
      </c>
      <c r="F409" s="29" t="s">
        <v>1277</v>
      </c>
      <c r="G409" s="27" t="s">
        <v>169</v>
      </c>
      <c r="H409" s="30" t="n">
        <v>363</v>
      </c>
      <c r="I409" s="27" t="s">
        <v>104</v>
      </c>
      <c r="J409" s="29" t="s">
        <v>170</v>
      </c>
      <c r="K409" s="29" t="s">
        <v>106</v>
      </c>
      <c r="L409" s="31" t="s">
        <v>107</v>
      </c>
    </row>
    <row r="410" customFormat="false" ht="15" hidden="false" customHeight="false" outlineLevel="0" collapsed="false">
      <c r="A410" s="21" t="s">
        <v>1278</v>
      </c>
      <c r="B410" s="5" t="s">
        <v>1279</v>
      </c>
      <c r="C410" s="22" t="n">
        <v>22265</v>
      </c>
      <c r="D410" s="5" t="s">
        <v>100</v>
      </c>
      <c r="E410" s="5" t="s">
        <v>137</v>
      </c>
      <c r="F410" s="23" t="s">
        <v>1280</v>
      </c>
      <c r="G410" s="5" t="s">
        <v>169</v>
      </c>
      <c r="H410" s="24" t="n">
        <v>421</v>
      </c>
      <c r="I410" s="5" t="s">
        <v>104</v>
      </c>
      <c r="J410" s="23" t="s">
        <v>170</v>
      </c>
      <c r="K410" s="23" t="s">
        <v>106</v>
      </c>
      <c r="L410" s="25" t="s">
        <v>107</v>
      </c>
    </row>
    <row r="411" customFormat="false" ht="15" hidden="false" customHeight="false" outlineLevel="0" collapsed="false">
      <c r="A411" s="26" t="s">
        <v>1281</v>
      </c>
      <c r="B411" s="27" t="s">
        <v>1282</v>
      </c>
      <c r="C411" s="32" t="n">
        <v>1924</v>
      </c>
      <c r="D411" s="27" t="s">
        <v>100</v>
      </c>
      <c r="E411" s="27" t="s">
        <v>137</v>
      </c>
      <c r="F411" s="29" t="s">
        <v>1283</v>
      </c>
      <c r="G411" s="27" t="s">
        <v>169</v>
      </c>
      <c r="H411" s="30" t="n">
        <v>421</v>
      </c>
      <c r="I411" s="27" t="s">
        <v>104</v>
      </c>
      <c r="J411" s="29" t="s">
        <v>170</v>
      </c>
      <c r="K411" s="29" t="s">
        <v>106</v>
      </c>
      <c r="L411" s="31" t="s">
        <v>107</v>
      </c>
    </row>
    <row r="412" customFormat="false" ht="15" hidden="false" customHeight="false" outlineLevel="0" collapsed="false">
      <c r="A412" s="21" t="s">
        <v>1284</v>
      </c>
      <c r="B412" s="5" t="s">
        <v>1285</v>
      </c>
      <c r="C412" s="22" t="n">
        <v>34404</v>
      </c>
      <c r="D412" s="5" t="s">
        <v>100</v>
      </c>
      <c r="E412" s="5" t="s">
        <v>137</v>
      </c>
      <c r="F412" s="23" t="s">
        <v>1286</v>
      </c>
      <c r="G412" s="5" t="s">
        <v>169</v>
      </c>
      <c r="H412" s="24" t="n">
        <v>421</v>
      </c>
      <c r="I412" s="5" t="s">
        <v>104</v>
      </c>
      <c r="J412" s="23" t="s">
        <v>170</v>
      </c>
      <c r="K412" s="23" t="s">
        <v>106</v>
      </c>
      <c r="L412" s="25" t="s">
        <v>107</v>
      </c>
    </row>
    <row r="413" customFormat="false" ht="15" hidden="false" customHeight="false" outlineLevel="0" collapsed="false">
      <c r="A413" s="26" t="s">
        <v>1287</v>
      </c>
      <c r="B413" s="27" t="s">
        <v>1288</v>
      </c>
      <c r="C413" s="32" t="n">
        <v>9642</v>
      </c>
      <c r="D413" s="27" t="s">
        <v>100</v>
      </c>
      <c r="E413" s="27" t="s">
        <v>137</v>
      </c>
      <c r="F413" s="29" t="s">
        <v>1289</v>
      </c>
      <c r="G413" s="27" t="s">
        <v>169</v>
      </c>
      <c r="H413" s="30" t="n">
        <v>421</v>
      </c>
      <c r="I413" s="27" t="s">
        <v>104</v>
      </c>
      <c r="J413" s="29" t="s">
        <v>170</v>
      </c>
      <c r="K413" s="29" t="s">
        <v>106</v>
      </c>
      <c r="L413" s="31" t="s">
        <v>107</v>
      </c>
    </row>
    <row r="414" customFormat="false" ht="15" hidden="false" customHeight="false" outlineLevel="0" collapsed="false">
      <c r="A414" s="21" t="s">
        <v>1290</v>
      </c>
      <c r="B414" s="5" t="s">
        <v>1291</v>
      </c>
      <c r="C414" s="22" t="n">
        <v>2422</v>
      </c>
      <c r="D414" s="5" t="s">
        <v>100</v>
      </c>
      <c r="E414" s="5" t="s">
        <v>137</v>
      </c>
      <c r="F414" s="23" t="s">
        <v>1292</v>
      </c>
      <c r="G414" s="5" t="s">
        <v>169</v>
      </c>
      <c r="H414" s="24" t="n">
        <v>421</v>
      </c>
      <c r="I414" s="5" t="s">
        <v>104</v>
      </c>
      <c r="J414" s="23" t="s">
        <v>170</v>
      </c>
      <c r="K414" s="23" t="s">
        <v>106</v>
      </c>
      <c r="L414" s="25" t="s">
        <v>107</v>
      </c>
    </row>
    <row r="415" customFormat="false" ht="15" hidden="false" customHeight="false" outlineLevel="0" collapsed="false">
      <c r="A415" s="26" t="s">
        <v>1293</v>
      </c>
      <c r="B415" s="27" t="s">
        <v>1294</v>
      </c>
      <c r="C415" s="32" t="n">
        <v>9026</v>
      </c>
      <c r="D415" s="27" t="s">
        <v>100</v>
      </c>
      <c r="E415" s="27" t="s">
        <v>137</v>
      </c>
      <c r="F415" s="29" t="s">
        <v>1295</v>
      </c>
      <c r="G415" s="27" t="s">
        <v>169</v>
      </c>
      <c r="H415" s="30" t="n">
        <v>421</v>
      </c>
      <c r="I415" s="27" t="s">
        <v>104</v>
      </c>
      <c r="J415" s="29" t="s">
        <v>170</v>
      </c>
      <c r="K415" s="29" t="s">
        <v>106</v>
      </c>
      <c r="L415" s="31" t="s">
        <v>107</v>
      </c>
    </row>
    <row r="416" customFormat="false" ht="15" hidden="false" customHeight="false" outlineLevel="0" collapsed="false">
      <c r="A416" s="21" t="s">
        <v>1296</v>
      </c>
      <c r="B416" s="5" t="s">
        <v>1297</v>
      </c>
      <c r="C416" s="22" t="n">
        <v>6886</v>
      </c>
      <c r="D416" s="5" t="s">
        <v>100</v>
      </c>
      <c r="E416" s="5" t="s">
        <v>137</v>
      </c>
      <c r="F416" s="23" t="s">
        <v>1298</v>
      </c>
      <c r="G416" s="5" t="s">
        <v>169</v>
      </c>
      <c r="H416" s="24" t="n">
        <v>421</v>
      </c>
      <c r="I416" s="5" t="s">
        <v>104</v>
      </c>
      <c r="J416" s="23" t="s">
        <v>170</v>
      </c>
      <c r="K416" s="23" t="s">
        <v>106</v>
      </c>
      <c r="L416" s="25" t="s">
        <v>107</v>
      </c>
    </row>
    <row r="417" customFormat="false" ht="15" hidden="false" customHeight="false" outlineLevel="0" collapsed="false">
      <c r="A417" s="26" t="s">
        <v>1299</v>
      </c>
      <c r="B417" s="27" t="s">
        <v>1300</v>
      </c>
      <c r="C417" s="32" t="n">
        <v>17792</v>
      </c>
      <c r="D417" s="27" t="s">
        <v>100</v>
      </c>
      <c r="E417" s="27" t="s">
        <v>190</v>
      </c>
      <c r="F417" s="29" t="s">
        <v>1301</v>
      </c>
      <c r="G417" s="27" t="s">
        <v>169</v>
      </c>
      <c r="H417" s="30" t="n">
        <v>421</v>
      </c>
      <c r="I417" s="27" t="s">
        <v>104</v>
      </c>
      <c r="J417" s="29" t="s">
        <v>170</v>
      </c>
      <c r="K417" s="29" t="s">
        <v>106</v>
      </c>
      <c r="L417" s="31" t="s">
        <v>107</v>
      </c>
    </row>
    <row r="418" customFormat="false" ht="15" hidden="false" customHeight="false" outlineLevel="0" collapsed="false">
      <c r="A418" s="21" t="s">
        <v>1302</v>
      </c>
      <c r="B418" s="5" t="s">
        <v>1297</v>
      </c>
      <c r="C418" s="22" t="n">
        <v>8313</v>
      </c>
      <c r="D418" s="5" t="s">
        <v>100</v>
      </c>
      <c r="E418" s="5" t="s">
        <v>190</v>
      </c>
      <c r="F418" s="23" t="s">
        <v>1303</v>
      </c>
      <c r="G418" s="5" t="s">
        <v>169</v>
      </c>
      <c r="H418" s="24" t="n">
        <v>421</v>
      </c>
      <c r="I418" s="5" t="s">
        <v>104</v>
      </c>
      <c r="J418" s="23" t="s">
        <v>170</v>
      </c>
      <c r="K418" s="23" t="s">
        <v>106</v>
      </c>
      <c r="L418" s="25" t="s">
        <v>107</v>
      </c>
    </row>
    <row r="419" customFormat="false" ht="15" hidden="false" customHeight="false" outlineLevel="0" collapsed="false">
      <c r="A419" s="26" t="s">
        <v>1304</v>
      </c>
      <c r="B419" s="27" t="s">
        <v>1305</v>
      </c>
      <c r="C419" s="32" t="n">
        <v>2030</v>
      </c>
      <c r="D419" s="27" t="s">
        <v>1306</v>
      </c>
      <c r="E419" s="27" t="s">
        <v>137</v>
      </c>
      <c r="F419" s="29" t="s">
        <v>1307</v>
      </c>
      <c r="G419" s="27" t="s">
        <v>169</v>
      </c>
      <c r="H419" s="30" t="n">
        <v>421</v>
      </c>
      <c r="I419" s="27" t="s">
        <v>104</v>
      </c>
      <c r="J419" s="29" t="s">
        <v>170</v>
      </c>
      <c r="K419" s="29" t="s">
        <v>106</v>
      </c>
      <c r="L419" s="31" t="s">
        <v>107</v>
      </c>
    </row>
    <row r="420" customFormat="false" ht="15" hidden="false" customHeight="false" outlineLevel="0" collapsed="false">
      <c r="A420" s="21" t="s">
        <v>1308</v>
      </c>
      <c r="B420" s="5" t="s">
        <v>1309</v>
      </c>
      <c r="C420" s="22" t="n">
        <v>5938</v>
      </c>
      <c r="D420" s="5" t="s">
        <v>100</v>
      </c>
      <c r="E420" s="5" t="s">
        <v>137</v>
      </c>
      <c r="F420" s="23" t="s">
        <v>1310</v>
      </c>
      <c r="G420" s="5" t="s">
        <v>169</v>
      </c>
      <c r="H420" s="24" t="n">
        <v>422</v>
      </c>
      <c r="I420" s="5" t="s">
        <v>104</v>
      </c>
      <c r="J420" s="23" t="s">
        <v>170</v>
      </c>
      <c r="K420" s="23" t="s">
        <v>106</v>
      </c>
      <c r="L420" s="25" t="s">
        <v>107</v>
      </c>
    </row>
    <row r="421" customFormat="false" ht="15" hidden="false" customHeight="false" outlineLevel="0" collapsed="false">
      <c r="A421" s="26" t="s">
        <v>1311</v>
      </c>
      <c r="B421" s="27" t="s">
        <v>1312</v>
      </c>
      <c r="C421" s="32" t="n">
        <v>4650</v>
      </c>
      <c r="D421" s="27" t="s">
        <v>100</v>
      </c>
      <c r="E421" s="27" t="s">
        <v>137</v>
      </c>
      <c r="F421" s="29" t="s">
        <v>1313</v>
      </c>
      <c r="G421" s="27" t="s">
        <v>169</v>
      </c>
      <c r="H421" s="30" t="n">
        <v>422</v>
      </c>
      <c r="I421" s="27" t="s">
        <v>104</v>
      </c>
      <c r="J421" s="29" t="s">
        <v>170</v>
      </c>
      <c r="K421" s="29" t="s">
        <v>106</v>
      </c>
      <c r="L421" s="31" t="s">
        <v>107</v>
      </c>
    </row>
    <row r="422" customFormat="false" ht="15" hidden="false" customHeight="false" outlineLevel="0" collapsed="false">
      <c r="A422" s="21" t="s">
        <v>1314</v>
      </c>
      <c r="B422" s="5" t="s">
        <v>1300</v>
      </c>
      <c r="C422" s="22" t="n">
        <v>15911</v>
      </c>
      <c r="D422" s="5" t="s">
        <v>100</v>
      </c>
      <c r="E422" s="5" t="s">
        <v>137</v>
      </c>
      <c r="F422" s="23" t="s">
        <v>1315</v>
      </c>
      <c r="G422" s="5" t="s">
        <v>169</v>
      </c>
      <c r="H422" s="24" t="n">
        <v>421</v>
      </c>
      <c r="I422" s="5" t="s">
        <v>104</v>
      </c>
      <c r="J422" s="23" t="s">
        <v>170</v>
      </c>
      <c r="K422" s="23" t="s">
        <v>106</v>
      </c>
      <c r="L422" s="25" t="s">
        <v>107</v>
      </c>
    </row>
    <row r="423" customFormat="false" ht="15" hidden="false" customHeight="false" outlineLevel="0" collapsed="false">
      <c r="A423" s="26" t="s">
        <v>1316</v>
      </c>
      <c r="B423" s="27" t="s">
        <v>1317</v>
      </c>
      <c r="C423" s="28" t="n">
        <v>6.5</v>
      </c>
      <c r="D423" s="27" t="s">
        <v>127</v>
      </c>
      <c r="E423" s="27" t="s">
        <v>663</v>
      </c>
      <c r="F423" s="29" t="s">
        <v>510</v>
      </c>
      <c r="G423" s="27" t="s">
        <v>113</v>
      </c>
      <c r="H423" s="30" t="n">
        <v>58</v>
      </c>
      <c r="I423" s="27" t="s">
        <v>224</v>
      </c>
      <c r="J423" s="29" t="s">
        <v>115</v>
      </c>
      <c r="K423" s="29" t="s">
        <v>106</v>
      </c>
      <c r="L423" s="31" t="s">
        <v>107</v>
      </c>
    </row>
    <row r="424" customFormat="false" ht="15" hidden="false" customHeight="false" outlineLevel="0" collapsed="false">
      <c r="A424" s="21" t="s">
        <v>1318</v>
      </c>
      <c r="B424" s="5" t="s">
        <v>1319</v>
      </c>
      <c r="C424" s="22" t="n">
        <v>5</v>
      </c>
      <c r="D424" s="5" t="s">
        <v>296</v>
      </c>
      <c r="E424" s="5" t="s">
        <v>1320</v>
      </c>
      <c r="F424" s="23" t="s">
        <v>395</v>
      </c>
      <c r="G424" s="5" t="s">
        <v>113</v>
      </c>
      <c r="H424" s="24" t="n">
        <v>58</v>
      </c>
      <c r="I424" s="5" t="s">
        <v>224</v>
      </c>
      <c r="J424" s="23" t="s">
        <v>115</v>
      </c>
      <c r="K424" s="23" t="s">
        <v>106</v>
      </c>
      <c r="L424" s="25" t="s">
        <v>107</v>
      </c>
    </row>
    <row r="425" customFormat="false" ht="15" hidden="false" customHeight="false" outlineLevel="0" collapsed="false">
      <c r="A425" s="26" t="s">
        <v>1321</v>
      </c>
      <c r="B425" s="27" t="s">
        <v>1322</v>
      </c>
      <c r="C425" s="32" t="n">
        <v>350</v>
      </c>
      <c r="D425" s="27" t="s">
        <v>100</v>
      </c>
      <c r="E425" s="27" t="s">
        <v>111</v>
      </c>
      <c r="F425" s="29" t="s">
        <v>1323</v>
      </c>
      <c r="G425" s="27" t="s">
        <v>113</v>
      </c>
      <c r="H425" s="30" t="n">
        <v>58</v>
      </c>
      <c r="I425" s="27" t="s">
        <v>224</v>
      </c>
      <c r="J425" s="29" t="s">
        <v>115</v>
      </c>
      <c r="K425" s="29" t="s">
        <v>106</v>
      </c>
      <c r="L425" s="31" t="s">
        <v>107</v>
      </c>
    </row>
    <row r="426" customFormat="false" ht="15" hidden="false" customHeight="false" outlineLevel="0" collapsed="false">
      <c r="A426" s="21" t="s">
        <v>1324</v>
      </c>
      <c r="B426" s="5" t="s">
        <v>1325</v>
      </c>
      <c r="C426" s="22" t="n">
        <v>200</v>
      </c>
      <c r="D426" s="5" t="s">
        <v>100</v>
      </c>
      <c r="E426" s="5" t="s">
        <v>1326</v>
      </c>
      <c r="F426" s="23" t="s">
        <v>290</v>
      </c>
      <c r="G426" s="5" t="s">
        <v>113</v>
      </c>
      <c r="H426" s="24" t="n">
        <v>58</v>
      </c>
      <c r="I426" s="5" t="s">
        <v>224</v>
      </c>
      <c r="J426" s="23" t="s">
        <v>115</v>
      </c>
      <c r="K426" s="23" t="s">
        <v>106</v>
      </c>
      <c r="L426" s="25" t="s">
        <v>107</v>
      </c>
    </row>
    <row r="427" customFormat="false" ht="15" hidden="false" customHeight="false" outlineLevel="0" collapsed="false">
      <c r="A427" s="26" t="s">
        <v>1327</v>
      </c>
      <c r="B427" s="27" t="s">
        <v>1328</v>
      </c>
      <c r="C427" s="32" t="n">
        <v>500</v>
      </c>
      <c r="D427" s="27" t="s">
        <v>100</v>
      </c>
      <c r="E427" s="27" t="s">
        <v>1329</v>
      </c>
      <c r="F427" s="29" t="s">
        <v>967</v>
      </c>
      <c r="G427" s="27" t="s">
        <v>113</v>
      </c>
      <c r="H427" s="30" t="n">
        <v>58</v>
      </c>
      <c r="I427" s="27" t="s">
        <v>224</v>
      </c>
      <c r="J427" s="29" t="s">
        <v>115</v>
      </c>
      <c r="K427" s="29" t="s">
        <v>106</v>
      </c>
      <c r="L427" s="31" t="s">
        <v>107</v>
      </c>
    </row>
    <row r="428" customFormat="false" ht="15" hidden="false" customHeight="false" outlineLevel="0" collapsed="false">
      <c r="A428" s="21" t="s">
        <v>1330</v>
      </c>
      <c r="B428" s="5" t="s">
        <v>1331</v>
      </c>
      <c r="C428" s="22" t="n">
        <v>10</v>
      </c>
      <c r="D428" s="5" t="s">
        <v>296</v>
      </c>
      <c r="E428" s="5" t="s">
        <v>1320</v>
      </c>
      <c r="F428" s="23" t="s">
        <v>233</v>
      </c>
      <c r="G428" s="5" t="s">
        <v>113</v>
      </c>
      <c r="H428" s="24" t="n">
        <v>69</v>
      </c>
      <c r="I428" s="5" t="s">
        <v>224</v>
      </c>
      <c r="J428" s="23" t="s">
        <v>115</v>
      </c>
      <c r="K428" s="23" t="s">
        <v>106</v>
      </c>
      <c r="L428" s="25" t="s">
        <v>107</v>
      </c>
    </row>
    <row r="429" customFormat="false" ht="15" hidden="false" customHeight="false" outlineLevel="0" collapsed="false">
      <c r="A429" s="26" t="s">
        <v>1332</v>
      </c>
      <c r="B429" s="27" t="s">
        <v>1333</v>
      </c>
      <c r="C429" s="32" t="n">
        <v>399</v>
      </c>
      <c r="D429" s="27" t="s">
        <v>100</v>
      </c>
      <c r="E429" s="27" t="s">
        <v>117</v>
      </c>
      <c r="F429" s="29" t="s">
        <v>1334</v>
      </c>
      <c r="G429" s="27" t="s">
        <v>583</v>
      </c>
      <c r="H429" s="30" t="n">
        <v>21</v>
      </c>
      <c r="I429" s="27" t="s">
        <v>224</v>
      </c>
      <c r="J429" s="29" t="s">
        <v>584</v>
      </c>
      <c r="K429" s="29" t="s">
        <v>106</v>
      </c>
      <c r="L429" s="31" t="s">
        <v>107</v>
      </c>
    </row>
    <row r="430" customFormat="false" ht="15" hidden="false" customHeight="false" outlineLevel="0" collapsed="false">
      <c r="A430" s="21" t="s">
        <v>1335</v>
      </c>
      <c r="B430" s="5" t="s">
        <v>1336</v>
      </c>
      <c r="C430" s="33" t="n">
        <v>6.3</v>
      </c>
      <c r="D430" s="5" t="s">
        <v>296</v>
      </c>
      <c r="E430" s="5" t="s">
        <v>117</v>
      </c>
      <c r="F430" s="23" t="s">
        <v>1337</v>
      </c>
      <c r="G430" s="5" t="s">
        <v>583</v>
      </c>
      <c r="H430" s="24" t="n">
        <v>21</v>
      </c>
      <c r="I430" s="5" t="s">
        <v>224</v>
      </c>
      <c r="J430" s="23" t="s">
        <v>584</v>
      </c>
      <c r="K430" s="23" t="s">
        <v>106</v>
      </c>
      <c r="L430" s="25" t="s">
        <v>107</v>
      </c>
    </row>
    <row r="431" customFormat="false" ht="15" hidden="false" customHeight="false" outlineLevel="0" collapsed="false">
      <c r="A431" s="26" t="s">
        <v>1338</v>
      </c>
      <c r="B431" s="27" t="s">
        <v>1339</v>
      </c>
      <c r="C431" s="28" t="n">
        <v>15.9</v>
      </c>
      <c r="D431" s="27" t="s">
        <v>296</v>
      </c>
      <c r="E431" s="27" t="s">
        <v>117</v>
      </c>
      <c r="F431" s="29" t="s">
        <v>1340</v>
      </c>
      <c r="G431" s="27" t="s">
        <v>583</v>
      </c>
      <c r="H431" s="30" t="n">
        <v>21</v>
      </c>
      <c r="I431" s="27" t="s">
        <v>224</v>
      </c>
      <c r="J431" s="29" t="s">
        <v>584</v>
      </c>
      <c r="K431" s="29" t="s">
        <v>106</v>
      </c>
      <c r="L431" s="31" t="s">
        <v>107</v>
      </c>
    </row>
    <row r="432" customFormat="false" ht="15" hidden="false" customHeight="false" outlineLevel="0" collapsed="false">
      <c r="A432" s="21" t="s">
        <v>1341</v>
      </c>
      <c r="B432" s="5" t="s">
        <v>1342</v>
      </c>
      <c r="C432" s="33" t="n">
        <v>2.8</v>
      </c>
      <c r="D432" s="5" t="s">
        <v>296</v>
      </c>
      <c r="E432" s="5" t="s">
        <v>117</v>
      </c>
      <c r="F432" s="23" t="s">
        <v>1343</v>
      </c>
      <c r="G432" s="5" t="s">
        <v>583</v>
      </c>
      <c r="H432" s="24" t="n">
        <v>21</v>
      </c>
      <c r="I432" s="5" t="s">
        <v>224</v>
      </c>
      <c r="J432" s="23" t="s">
        <v>584</v>
      </c>
      <c r="K432" s="23" t="s">
        <v>106</v>
      </c>
      <c r="L432" s="25" t="s">
        <v>107</v>
      </c>
    </row>
    <row r="433" customFormat="false" ht="15" hidden="false" customHeight="false" outlineLevel="0" collapsed="false">
      <c r="A433" s="26" t="s">
        <v>1344</v>
      </c>
      <c r="B433" s="27" t="s">
        <v>1345</v>
      </c>
      <c r="C433" s="32" t="n">
        <v>8</v>
      </c>
      <c r="D433" s="27" t="s">
        <v>296</v>
      </c>
      <c r="E433" s="27" t="s">
        <v>117</v>
      </c>
      <c r="F433" s="29" t="s">
        <v>1346</v>
      </c>
      <c r="G433" s="27" t="s">
        <v>583</v>
      </c>
      <c r="H433" s="30" t="n">
        <v>21</v>
      </c>
      <c r="I433" s="27" t="s">
        <v>224</v>
      </c>
      <c r="J433" s="29" t="s">
        <v>584</v>
      </c>
      <c r="K433" s="29" t="s">
        <v>106</v>
      </c>
      <c r="L433" s="31" t="s">
        <v>107</v>
      </c>
    </row>
    <row r="434" customFormat="false" ht="15" hidden="false" customHeight="false" outlineLevel="0" collapsed="false">
      <c r="A434" s="21" t="s">
        <v>1347</v>
      </c>
      <c r="B434" s="5" t="s">
        <v>1348</v>
      </c>
      <c r="C434" s="22" t="n">
        <v>31205</v>
      </c>
      <c r="D434" s="5" t="s">
        <v>100</v>
      </c>
      <c r="E434" s="5" t="s">
        <v>117</v>
      </c>
      <c r="F434" s="23" t="s">
        <v>1349</v>
      </c>
      <c r="G434" s="5" t="s">
        <v>583</v>
      </c>
      <c r="H434" s="24" t="n">
        <v>24</v>
      </c>
      <c r="I434" s="5" t="s">
        <v>224</v>
      </c>
      <c r="J434" s="23" t="s">
        <v>584</v>
      </c>
      <c r="K434" s="23" t="s">
        <v>106</v>
      </c>
      <c r="L434" s="25" t="s">
        <v>107</v>
      </c>
    </row>
    <row r="435" customFormat="false" ht="15" hidden="false" customHeight="false" outlineLevel="0" collapsed="false">
      <c r="A435" s="26" t="s">
        <v>1350</v>
      </c>
      <c r="B435" s="27" t="s">
        <v>1351</v>
      </c>
      <c r="C435" s="28" t="n">
        <v>2.2</v>
      </c>
      <c r="D435" s="27" t="s">
        <v>296</v>
      </c>
      <c r="E435" s="27" t="s">
        <v>117</v>
      </c>
      <c r="F435" s="29" t="s">
        <v>1352</v>
      </c>
      <c r="G435" s="27" t="s">
        <v>583</v>
      </c>
      <c r="H435" s="30" t="n">
        <v>24</v>
      </c>
      <c r="I435" s="27" t="s">
        <v>224</v>
      </c>
      <c r="J435" s="29" t="s">
        <v>584</v>
      </c>
      <c r="K435" s="29" t="s">
        <v>106</v>
      </c>
      <c r="L435" s="31" t="s">
        <v>107</v>
      </c>
    </row>
    <row r="436" customFormat="false" ht="15" hidden="false" customHeight="false" outlineLevel="0" collapsed="false">
      <c r="A436" s="21" t="s">
        <v>1353</v>
      </c>
      <c r="B436" s="5" t="s">
        <v>1354</v>
      </c>
      <c r="C436" s="22" t="n">
        <v>5383</v>
      </c>
      <c r="D436" s="5" t="s">
        <v>100</v>
      </c>
      <c r="E436" s="5" t="s">
        <v>117</v>
      </c>
      <c r="F436" s="23" t="s">
        <v>1355</v>
      </c>
      <c r="G436" s="5" t="s">
        <v>583</v>
      </c>
      <c r="H436" s="24" t="n">
        <v>24</v>
      </c>
      <c r="I436" s="5" t="s">
        <v>224</v>
      </c>
      <c r="J436" s="23" t="s">
        <v>584</v>
      </c>
      <c r="K436" s="23" t="s">
        <v>106</v>
      </c>
      <c r="L436" s="25" t="s">
        <v>107</v>
      </c>
    </row>
    <row r="437" customFormat="false" ht="15" hidden="false" customHeight="false" outlineLevel="0" collapsed="false">
      <c r="A437" s="26" t="s">
        <v>1356</v>
      </c>
      <c r="B437" s="27" t="s">
        <v>1357</v>
      </c>
      <c r="C437" s="28" t="n">
        <v>4.8</v>
      </c>
      <c r="D437" s="27" t="s">
        <v>296</v>
      </c>
      <c r="E437" s="27" t="s">
        <v>117</v>
      </c>
      <c r="F437" s="29" t="s">
        <v>1358</v>
      </c>
      <c r="G437" s="27" t="s">
        <v>583</v>
      </c>
      <c r="H437" s="30" t="n">
        <v>24</v>
      </c>
      <c r="I437" s="27" t="s">
        <v>224</v>
      </c>
      <c r="J437" s="29" t="s">
        <v>584</v>
      </c>
      <c r="K437" s="29" t="s">
        <v>106</v>
      </c>
      <c r="L437" s="31" t="s">
        <v>107</v>
      </c>
    </row>
    <row r="438" customFormat="false" ht="15" hidden="false" customHeight="false" outlineLevel="0" collapsed="false">
      <c r="A438" s="21" t="s">
        <v>1359</v>
      </c>
      <c r="B438" s="5" t="s">
        <v>1360</v>
      </c>
      <c r="C438" s="33" t="n">
        <v>17.2</v>
      </c>
      <c r="D438" s="5" t="s">
        <v>296</v>
      </c>
      <c r="E438" s="5" t="s">
        <v>117</v>
      </c>
      <c r="F438" s="23" t="s">
        <v>1361</v>
      </c>
      <c r="G438" s="5" t="s">
        <v>583</v>
      </c>
      <c r="H438" s="24" t="n">
        <v>24</v>
      </c>
      <c r="I438" s="5" t="s">
        <v>224</v>
      </c>
      <c r="J438" s="23" t="s">
        <v>584</v>
      </c>
      <c r="K438" s="23" t="s">
        <v>106</v>
      </c>
      <c r="L438" s="25" t="s">
        <v>107</v>
      </c>
    </row>
    <row r="439" customFormat="false" ht="15" hidden="false" customHeight="false" outlineLevel="0" collapsed="false">
      <c r="A439" s="26" t="s">
        <v>1362</v>
      </c>
      <c r="B439" s="27" t="s">
        <v>1363</v>
      </c>
      <c r="C439" s="32" t="n">
        <v>12739</v>
      </c>
      <c r="D439" s="27" t="s">
        <v>100</v>
      </c>
      <c r="E439" s="27" t="s">
        <v>117</v>
      </c>
      <c r="F439" s="29" t="s">
        <v>1364</v>
      </c>
      <c r="G439" s="27" t="s">
        <v>583</v>
      </c>
      <c r="H439" s="30" t="n">
        <v>24</v>
      </c>
      <c r="I439" s="27" t="s">
        <v>224</v>
      </c>
      <c r="J439" s="29" t="s">
        <v>584</v>
      </c>
      <c r="K439" s="29" t="s">
        <v>106</v>
      </c>
      <c r="L439" s="31" t="s">
        <v>107</v>
      </c>
    </row>
    <row r="440" customFormat="false" ht="15" hidden="false" customHeight="false" outlineLevel="0" collapsed="false">
      <c r="A440" s="21" t="s">
        <v>1365</v>
      </c>
      <c r="B440" s="5" t="s">
        <v>1366</v>
      </c>
      <c r="C440" s="22" t="n">
        <v>2729</v>
      </c>
      <c r="D440" s="5" t="s">
        <v>100</v>
      </c>
      <c r="E440" s="5" t="s">
        <v>117</v>
      </c>
      <c r="F440" s="23" t="s">
        <v>1367</v>
      </c>
      <c r="G440" s="5" t="s">
        <v>583</v>
      </c>
      <c r="H440" s="24" t="n">
        <v>24</v>
      </c>
      <c r="I440" s="5" t="s">
        <v>224</v>
      </c>
      <c r="J440" s="23" t="s">
        <v>584</v>
      </c>
      <c r="K440" s="23" t="s">
        <v>106</v>
      </c>
      <c r="L440" s="25" t="s">
        <v>107</v>
      </c>
    </row>
    <row r="441" customFormat="false" ht="15" hidden="false" customHeight="false" outlineLevel="0" collapsed="false">
      <c r="A441" s="26" t="s">
        <v>1368</v>
      </c>
      <c r="B441" s="27" t="s">
        <v>1369</v>
      </c>
      <c r="C441" s="28" t="n">
        <v>6.1</v>
      </c>
      <c r="D441" s="27" t="s">
        <v>296</v>
      </c>
      <c r="E441" s="27" t="s">
        <v>117</v>
      </c>
      <c r="F441" s="29" t="s">
        <v>1370</v>
      </c>
      <c r="G441" s="27" t="s">
        <v>583</v>
      </c>
      <c r="H441" s="30" t="n">
        <v>24</v>
      </c>
      <c r="I441" s="27" t="s">
        <v>224</v>
      </c>
      <c r="J441" s="29" t="s">
        <v>584</v>
      </c>
      <c r="K441" s="29" t="s">
        <v>106</v>
      </c>
      <c r="L441" s="31" t="s">
        <v>107</v>
      </c>
    </row>
    <row r="442" customFormat="false" ht="15" hidden="false" customHeight="false" outlineLevel="0" collapsed="false">
      <c r="A442" s="21" t="s">
        <v>1371</v>
      </c>
      <c r="B442" s="5" t="s">
        <v>1372</v>
      </c>
      <c r="C442" s="22" t="n">
        <v>7240</v>
      </c>
      <c r="D442" s="5" t="s">
        <v>100</v>
      </c>
      <c r="E442" s="5" t="s">
        <v>117</v>
      </c>
      <c r="F442" s="23" t="s">
        <v>1373</v>
      </c>
      <c r="G442" s="5" t="s">
        <v>583</v>
      </c>
      <c r="H442" s="24" t="n">
        <v>24</v>
      </c>
      <c r="I442" s="5" t="s">
        <v>224</v>
      </c>
      <c r="J442" s="23" t="s">
        <v>584</v>
      </c>
      <c r="K442" s="23" t="s">
        <v>106</v>
      </c>
      <c r="L442" s="25" t="s">
        <v>107</v>
      </c>
    </row>
    <row r="443" customFormat="false" ht="15" hidden="false" customHeight="false" outlineLevel="0" collapsed="false">
      <c r="A443" s="26" t="s">
        <v>1374</v>
      </c>
      <c r="B443" s="27" t="s">
        <v>1375</v>
      </c>
      <c r="C443" s="32" t="n">
        <v>1087</v>
      </c>
      <c r="D443" s="27" t="s">
        <v>100</v>
      </c>
      <c r="E443" s="27" t="s">
        <v>117</v>
      </c>
      <c r="F443" s="29" t="s">
        <v>1376</v>
      </c>
      <c r="G443" s="27" t="s">
        <v>583</v>
      </c>
      <c r="H443" s="30" t="n">
        <v>24</v>
      </c>
      <c r="I443" s="27" t="s">
        <v>224</v>
      </c>
      <c r="J443" s="29" t="s">
        <v>584</v>
      </c>
      <c r="K443" s="29" t="s">
        <v>106</v>
      </c>
      <c r="L443" s="31" t="s">
        <v>107</v>
      </c>
    </row>
    <row r="444" customFormat="false" ht="15" hidden="false" customHeight="false" outlineLevel="0" collapsed="false">
      <c r="A444" s="21" t="s">
        <v>1377</v>
      </c>
      <c r="B444" s="5" t="s">
        <v>1378</v>
      </c>
      <c r="C444" s="33" t="n">
        <v>-1.5</v>
      </c>
      <c r="D444" s="5" t="s">
        <v>296</v>
      </c>
      <c r="E444" s="5" t="s">
        <v>117</v>
      </c>
      <c r="F444" s="23" t="s">
        <v>1379</v>
      </c>
      <c r="G444" s="5" t="s">
        <v>583</v>
      </c>
      <c r="H444" s="24" t="n">
        <v>24</v>
      </c>
      <c r="I444" s="5" t="s">
        <v>224</v>
      </c>
      <c r="J444" s="23" t="s">
        <v>584</v>
      </c>
      <c r="K444" s="23" t="s">
        <v>106</v>
      </c>
      <c r="L444" s="25" t="s">
        <v>107</v>
      </c>
    </row>
    <row r="445" customFormat="false" ht="15" hidden="false" customHeight="false" outlineLevel="0" collapsed="false">
      <c r="A445" s="26" t="s">
        <v>1380</v>
      </c>
      <c r="B445" s="27" t="s">
        <v>1381</v>
      </c>
      <c r="C445" s="32" t="n">
        <v>11226</v>
      </c>
      <c r="D445" s="27" t="s">
        <v>100</v>
      </c>
      <c r="E445" s="27" t="s">
        <v>117</v>
      </c>
      <c r="F445" s="29" t="s">
        <v>1382</v>
      </c>
      <c r="G445" s="27" t="s">
        <v>583</v>
      </c>
      <c r="H445" s="30" t="n">
        <v>24</v>
      </c>
      <c r="I445" s="27" t="s">
        <v>224</v>
      </c>
      <c r="J445" s="29" t="s">
        <v>584</v>
      </c>
      <c r="K445" s="29" t="s">
        <v>106</v>
      </c>
      <c r="L445" s="31" t="s">
        <v>107</v>
      </c>
    </row>
    <row r="446" customFormat="false" ht="15" hidden="false" customHeight="false" outlineLevel="0" collapsed="false">
      <c r="A446" s="21" t="s">
        <v>1383</v>
      </c>
      <c r="B446" s="5" t="s">
        <v>1384</v>
      </c>
      <c r="C446" s="22" t="n">
        <v>1566</v>
      </c>
      <c r="D446" s="5" t="s">
        <v>100</v>
      </c>
      <c r="E446" s="5" t="s">
        <v>117</v>
      </c>
      <c r="F446" s="23" t="s">
        <v>1385</v>
      </c>
      <c r="G446" s="5" t="s">
        <v>583</v>
      </c>
      <c r="H446" s="24" t="n">
        <v>24</v>
      </c>
      <c r="I446" s="5" t="s">
        <v>224</v>
      </c>
      <c r="J446" s="23" t="s">
        <v>584</v>
      </c>
      <c r="K446" s="23" t="s">
        <v>106</v>
      </c>
      <c r="L446" s="25" t="s">
        <v>107</v>
      </c>
    </row>
    <row r="447" customFormat="false" ht="15" hidden="false" customHeight="false" outlineLevel="0" collapsed="false">
      <c r="A447" s="26" t="s">
        <v>1386</v>
      </c>
      <c r="B447" s="27" t="s">
        <v>1387</v>
      </c>
      <c r="C447" s="28" t="n">
        <v>6.8</v>
      </c>
      <c r="D447" s="27" t="s">
        <v>296</v>
      </c>
      <c r="E447" s="27" t="s">
        <v>117</v>
      </c>
      <c r="F447" s="29" t="s">
        <v>1388</v>
      </c>
      <c r="G447" s="27" t="s">
        <v>583</v>
      </c>
      <c r="H447" s="30" t="n">
        <v>24</v>
      </c>
      <c r="I447" s="27" t="s">
        <v>224</v>
      </c>
      <c r="J447" s="29" t="s">
        <v>584</v>
      </c>
      <c r="K447" s="29" t="s">
        <v>106</v>
      </c>
      <c r="L447" s="31" t="s">
        <v>107</v>
      </c>
    </row>
    <row r="448" customFormat="false" ht="15" hidden="false" customHeight="false" outlineLevel="0" collapsed="false">
      <c r="A448" s="21" t="s">
        <v>1389</v>
      </c>
      <c r="B448" s="5" t="s">
        <v>1390</v>
      </c>
      <c r="C448" s="22" t="n">
        <v>13</v>
      </c>
      <c r="D448" s="5" t="s">
        <v>1391</v>
      </c>
      <c r="E448" s="5" t="s">
        <v>1326</v>
      </c>
      <c r="F448" s="23" t="s">
        <v>1392</v>
      </c>
      <c r="G448" s="5" t="s">
        <v>583</v>
      </c>
      <c r="H448" s="24" t="n">
        <v>19</v>
      </c>
      <c r="I448" s="5" t="s">
        <v>270</v>
      </c>
      <c r="J448" s="23" t="s">
        <v>584</v>
      </c>
      <c r="K448" s="23" t="s">
        <v>106</v>
      </c>
      <c r="L448" s="25" t="s">
        <v>107</v>
      </c>
    </row>
    <row r="449" customFormat="false" ht="15" hidden="false" customHeight="false" outlineLevel="0" collapsed="false">
      <c r="A449" s="26" t="s">
        <v>1393</v>
      </c>
      <c r="B449" s="27" t="s">
        <v>1394</v>
      </c>
      <c r="C449" s="32" t="n">
        <v>87</v>
      </c>
      <c r="D449" s="27" t="s">
        <v>100</v>
      </c>
      <c r="E449" s="27" t="s">
        <v>1326</v>
      </c>
      <c r="F449" s="29" t="s">
        <v>1395</v>
      </c>
      <c r="G449" s="27" t="s">
        <v>583</v>
      </c>
      <c r="H449" s="30" t="n">
        <v>19</v>
      </c>
      <c r="I449" s="27" t="s">
        <v>270</v>
      </c>
      <c r="J449" s="29" t="s">
        <v>584</v>
      </c>
      <c r="K449" s="29" t="s">
        <v>106</v>
      </c>
      <c r="L449" s="31" t="s">
        <v>107</v>
      </c>
    </row>
    <row r="450" customFormat="false" ht="15" hidden="false" customHeight="false" outlineLevel="0" collapsed="false">
      <c r="A450" s="21" t="s">
        <v>1396</v>
      </c>
      <c r="B450" s="5" t="s">
        <v>1397</v>
      </c>
      <c r="C450" s="33" t="n">
        <v>7.4</v>
      </c>
      <c r="D450" s="5" t="s">
        <v>130</v>
      </c>
      <c r="E450" s="5" t="s">
        <v>1326</v>
      </c>
      <c r="F450" s="23" t="s">
        <v>1398</v>
      </c>
      <c r="G450" s="5" t="s">
        <v>583</v>
      </c>
      <c r="H450" s="24" t="n">
        <v>19</v>
      </c>
      <c r="I450" s="5" t="s">
        <v>270</v>
      </c>
      <c r="J450" s="23" t="s">
        <v>584</v>
      </c>
      <c r="K450" s="23" t="s">
        <v>106</v>
      </c>
      <c r="L450" s="25" t="s">
        <v>107</v>
      </c>
    </row>
    <row r="451" customFormat="false" ht="15" hidden="false" customHeight="false" outlineLevel="0" collapsed="false">
      <c r="A451" s="26" t="s">
        <v>1399</v>
      </c>
      <c r="B451" s="27" t="s">
        <v>1400</v>
      </c>
      <c r="C451" s="32" t="n">
        <v>109</v>
      </c>
      <c r="D451" s="27" t="s">
        <v>100</v>
      </c>
      <c r="E451" s="27" t="s">
        <v>1326</v>
      </c>
      <c r="F451" s="29" t="s">
        <v>1401</v>
      </c>
      <c r="G451" s="27" t="s">
        <v>583</v>
      </c>
      <c r="H451" s="30" t="n">
        <v>19</v>
      </c>
      <c r="I451" s="27" t="s">
        <v>224</v>
      </c>
      <c r="J451" s="29" t="s">
        <v>584</v>
      </c>
      <c r="K451" s="29" t="s">
        <v>106</v>
      </c>
      <c r="L451" s="31" t="s">
        <v>107</v>
      </c>
    </row>
    <row r="452" customFormat="false" ht="15" hidden="false" customHeight="false" outlineLevel="0" collapsed="false">
      <c r="A452" s="21" t="s">
        <v>1402</v>
      </c>
      <c r="B452" s="5" t="s">
        <v>1403</v>
      </c>
      <c r="C452" s="22" t="n">
        <v>8</v>
      </c>
      <c r="D452" s="5" t="s">
        <v>296</v>
      </c>
      <c r="E452" s="5" t="s">
        <v>188</v>
      </c>
      <c r="F452" s="23" t="s">
        <v>154</v>
      </c>
      <c r="G452" s="5" t="s">
        <v>213</v>
      </c>
      <c r="H452" s="24" t="n">
        <v>30</v>
      </c>
      <c r="I452" s="5" t="s">
        <v>124</v>
      </c>
      <c r="J452" s="23" t="s">
        <v>214</v>
      </c>
      <c r="K452" s="23" t="s">
        <v>106</v>
      </c>
      <c r="L452" s="25" t="s">
        <v>107</v>
      </c>
    </row>
    <row r="453" customFormat="false" ht="15" hidden="false" customHeight="false" outlineLevel="0" collapsed="false">
      <c r="A453" s="26" t="s">
        <v>1404</v>
      </c>
      <c r="B453" s="27" t="s">
        <v>1405</v>
      </c>
      <c r="C453" s="32" t="n">
        <v>44396</v>
      </c>
      <c r="D453" s="27" t="s">
        <v>100</v>
      </c>
      <c r="E453" s="27" t="s">
        <v>117</v>
      </c>
      <c r="F453" s="29" t="s">
        <v>1406</v>
      </c>
      <c r="G453" s="27" t="s">
        <v>169</v>
      </c>
      <c r="H453" s="30" t="n">
        <v>375</v>
      </c>
      <c r="I453" s="27" t="s">
        <v>124</v>
      </c>
      <c r="J453" s="29" t="s">
        <v>170</v>
      </c>
      <c r="K453" s="29" t="s">
        <v>106</v>
      </c>
      <c r="L453" s="31" t="s">
        <v>107</v>
      </c>
    </row>
    <row r="454" customFormat="false" ht="15" hidden="false" customHeight="false" outlineLevel="0" collapsed="false">
      <c r="A454" s="21" t="s">
        <v>1407</v>
      </c>
      <c r="B454" s="5" t="s">
        <v>1405</v>
      </c>
      <c r="C454" s="22" t="n">
        <v>44692</v>
      </c>
      <c r="D454" s="5" t="s">
        <v>100</v>
      </c>
      <c r="E454" s="5" t="s">
        <v>157</v>
      </c>
      <c r="F454" s="23" t="s">
        <v>1408</v>
      </c>
      <c r="G454" s="5" t="s">
        <v>169</v>
      </c>
      <c r="H454" s="24" t="n">
        <v>375</v>
      </c>
      <c r="I454" s="5" t="s">
        <v>124</v>
      </c>
      <c r="J454" s="23" t="s">
        <v>170</v>
      </c>
      <c r="K454" s="23" t="s">
        <v>106</v>
      </c>
      <c r="L454" s="25" t="s">
        <v>107</v>
      </c>
    </row>
    <row r="455" customFormat="false" ht="15" hidden="false" customHeight="false" outlineLevel="0" collapsed="false">
      <c r="A455" s="26" t="s">
        <v>1409</v>
      </c>
      <c r="B455" s="27" t="s">
        <v>1410</v>
      </c>
      <c r="C455" s="32" t="n">
        <v>8547</v>
      </c>
      <c r="D455" s="27" t="s">
        <v>100</v>
      </c>
      <c r="E455" s="27" t="s">
        <v>117</v>
      </c>
      <c r="F455" s="29" t="s">
        <v>1411</v>
      </c>
      <c r="G455" s="27" t="s">
        <v>169</v>
      </c>
      <c r="H455" s="30" t="n">
        <v>375</v>
      </c>
      <c r="I455" s="27" t="s">
        <v>124</v>
      </c>
      <c r="J455" s="29" t="s">
        <v>170</v>
      </c>
      <c r="K455" s="29" t="s">
        <v>106</v>
      </c>
      <c r="L455" s="31" t="s">
        <v>107</v>
      </c>
    </row>
    <row r="456" customFormat="false" ht="15" hidden="false" customHeight="false" outlineLevel="0" collapsed="false">
      <c r="A456" s="21" t="s">
        <v>1412</v>
      </c>
      <c r="B456" s="5" t="s">
        <v>1413</v>
      </c>
      <c r="C456" s="22" t="n">
        <v>4683</v>
      </c>
      <c r="D456" s="5" t="s">
        <v>100</v>
      </c>
      <c r="E456" s="5" t="s">
        <v>117</v>
      </c>
      <c r="F456" s="23" t="s">
        <v>1414</v>
      </c>
      <c r="G456" s="5" t="s">
        <v>169</v>
      </c>
      <c r="H456" s="24" t="n">
        <v>375</v>
      </c>
      <c r="I456" s="5" t="s">
        <v>124</v>
      </c>
      <c r="J456" s="23" t="s">
        <v>170</v>
      </c>
      <c r="K456" s="23" t="s">
        <v>106</v>
      </c>
      <c r="L456" s="25" t="s">
        <v>107</v>
      </c>
    </row>
    <row r="457" customFormat="false" ht="15" hidden="false" customHeight="false" outlineLevel="0" collapsed="false">
      <c r="A457" s="26" t="s">
        <v>1415</v>
      </c>
      <c r="B457" s="27" t="s">
        <v>1416</v>
      </c>
      <c r="C457" s="32" t="n">
        <v>3097</v>
      </c>
      <c r="D457" s="27" t="s">
        <v>100</v>
      </c>
      <c r="E457" s="27" t="s">
        <v>117</v>
      </c>
      <c r="F457" s="29" t="s">
        <v>1417</v>
      </c>
      <c r="G457" s="27" t="s">
        <v>169</v>
      </c>
      <c r="H457" s="30" t="n">
        <v>375</v>
      </c>
      <c r="I457" s="27" t="s">
        <v>124</v>
      </c>
      <c r="J457" s="29" t="s">
        <v>170</v>
      </c>
      <c r="K457" s="29" t="s">
        <v>106</v>
      </c>
      <c r="L457" s="31" t="s">
        <v>107</v>
      </c>
    </row>
    <row r="458" customFormat="false" ht="15" hidden="false" customHeight="false" outlineLevel="0" collapsed="false">
      <c r="A458" s="21" t="s">
        <v>1418</v>
      </c>
      <c r="B458" s="5" t="s">
        <v>1419</v>
      </c>
      <c r="C458" s="22" t="n">
        <v>3035</v>
      </c>
      <c r="D458" s="5" t="s">
        <v>100</v>
      </c>
      <c r="E458" s="5" t="s">
        <v>117</v>
      </c>
      <c r="F458" s="23" t="s">
        <v>1420</v>
      </c>
      <c r="G458" s="5" t="s">
        <v>169</v>
      </c>
      <c r="H458" s="24" t="n">
        <v>375</v>
      </c>
      <c r="I458" s="5" t="s">
        <v>124</v>
      </c>
      <c r="J458" s="23" t="s">
        <v>170</v>
      </c>
      <c r="K458" s="23" t="s">
        <v>106</v>
      </c>
      <c r="L458" s="25" t="s">
        <v>107</v>
      </c>
    </row>
    <row r="459" customFormat="false" ht="15" hidden="false" customHeight="false" outlineLevel="0" collapsed="false">
      <c r="A459" s="26" t="s">
        <v>1421</v>
      </c>
      <c r="B459" s="27" t="s">
        <v>1422</v>
      </c>
      <c r="C459" s="32" t="n">
        <v>3007</v>
      </c>
      <c r="D459" s="27" t="s">
        <v>100</v>
      </c>
      <c r="E459" s="27" t="s">
        <v>117</v>
      </c>
      <c r="F459" s="29" t="s">
        <v>1423</v>
      </c>
      <c r="G459" s="27" t="s">
        <v>169</v>
      </c>
      <c r="H459" s="30" t="n">
        <v>375</v>
      </c>
      <c r="I459" s="27" t="s">
        <v>124</v>
      </c>
      <c r="J459" s="29" t="s">
        <v>170</v>
      </c>
      <c r="K459" s="29" t="s">
        <v>106</v>
      </c>
      <c r="L459" s="31" t="s">
        <v>107</v>
      </c>
    </row>
    <row r="460" customFormat="false" ht="15" hidden="false" customHeight="false" outlineLevel="0" collapsed="false">
      <c r="A460" s="21" t="s">
        <v>1424</v>
      </c>
      <c r="B460" s="5" t="s">
        <v>1425</v>
      </c>
      <c r="C460" s="22" t="n">
        <v>2978</v>
      </c>
      <c r="D460" s="5" t="s">
        <v>100</v>
      </c>
      <c r="E460" s="5" t="s">
        <v>117</v>
      </c>
      <c r="F460" s="23" t="s">
        <v>1426</v>
      </c>
      <c r="G460" s="5" t="s">
        <v>169</v>
      </c>
      <c r="H460" s="24" t="n">
        <v>375</v>
      </c>
      <c r="I460" s="5" t="s">
        <v>124</v>
      </c>
      <c r="J460" s="23" t="s">
        <v>170</v>
      </c>
      <c r="K460" s="23" t="s">
        <v>106</v>
      </c>
      <c r="L460" s="25" t="s">
        <v>107</v>
      </c>
    </row>
    <row r="461" customFormat="false" ht="15" hidden="false" customHeight="false" outlineLevel="0" collapsed="false">
      <c r="A461" s="26" t="s">
        <v>1427</v>
      </c>
      <c r="B461" s="27" t="s">
        <v>1428</v>
      </c>
      <c r="C461" s="32" t="n">
        <v>2165</v>
      </c>
      <c r="D461" s="27" t="s">
        <v>100</v>
      </c>
      <c r="E461" s="27" t="s">
        <v>117</v>
      </c>
      <c r="F461" s="29" t="s">
        <v>1429</v>
      </c>
      <c r="G461" s="27" t="s">
        <v>169</v>
      </c>
      <c r="H461" s="30" t="n">
        <v>375</v>
      </c>
      <c r="I461" s="27" t="s">
        <v>124</v>
      </c>
      <c r="J461" s="29" t="s">
        <v>170</v>
      </c>
      <c r="K461" s="29" t="s">
        <v>106</v>
      </c>
      <c r="L461" s="31" t="s">
        <v>107</v>
      </c>
    </row>
    <row r="462" customFormat="false" ht="15" hidden="false" customHeight="false" outlineLevel="0" collapsed="false">
      <c r="A462" s="21" t="s">
        <v>1430</v>
      </c>
      <c r="B462" s="5" t="s">
        <v>1431</v>
      </c>
      <c r="C462" s="22" t="n">
        <v>2023</v>
      </c>
      <c r="D462" s="5" t="s">
        <v>100</v>
      </c>
      <c r="E462" s="5" t="s">
        <v>117</v>
      </c>
      <c r="F462" s="23" t="s">
        <v>1432</v>
      </c>
      <c r="G462" s="5" t="s">
        <v>169</v>
      </c>
      <c r="H462" s="24" t="n">
        <v>375</v>
      </c>
      <c r="I462" s="5" t="s">
        <v>124</v>
      </c>
      <c r="J462" s="23" t="s">
        <v>170</v>
      </c>
      <c r="K462" s="23" t="s">
        <v>106</v>
      </c>
      <c r="L462" s="25" t="s">
        <v>107</v>
      </c>
    </row>
    <row r="463" customFormat="false" ht="15" hidden="false" customHeight="false" outlineLevel="0" collapsed="false">
      <c r="A463" s="26" t="s">
        <v>1433</v>
      </c>
      <c r="B463" s="27" t="s">
        <v>1434</v>
      </c>
      <c r="C463" s="32" t="n">
        <v>1160</v>
      </c>
      <c r="D463" s="27" t="s">
        <v>100</v>
      </c>
      <c r="E463" s="27" t="s">
        <v>117</v>
      </c>
      <c r="F463" s="29" t="s">
        <v>1435</v>
      </c>
      <c r="G463" s="27" t="s">
        <v>169</v>
      </c>
      <c r="H463" s="30" t="n">
        <v>375</v>
      </c>
      <c r="I463" s="27" t="s">
        <v>124</v>
      </c>
      <c r="J463" s="29" t="s">
        <v>170</v>
      </c>
      <c r="K463" s="29" t="s">
        <v>106</v>
      </c>
      <c r="L463" s="31" t="s">
        <v>107</v>
      </c>
    </row>
    <row r="464" customFormat="false" ht="15" hidden="false" customHeight="false" outlineLevel="0" collapsed="false">
      <c r="A464" s="21" t="s">
        <v>1436</v>
      </c>
      <c r="B464" s="5" t="s">
        <v>1437</v>
      </c>
      <c r="C464" s="22" t="n">
        <v>1081</v>
      </c>
      <c r="D464" s="5" t="s">
        <v>100</v>
      </c>
      <c r="E464" s="5" t="s">
        <v>117</v>
      </c>
      <c r="F464" s="23" t="s">
        <v>1438</v>
      </c>
      <c r="G464" s="5" t="s">
        <v>169</v>
      </c>
      <c r="H464" s="24" t="n">
        <v>375</v>
      </c>
      <c r="I464" s="5" t="s">
        <v>124</v>
      </c>
      <c r="J464" s="23" t="s">
        <v>170</v>
      </c>
      <c r="K464" s="23" t="s">
        <v>106</v>
      </c>
      <c r="L464" s="25" t="s">
        <v>107</v>
      </c>
    </row>
    <row r="465" customFormat="false" ht="15" hidden="false" customHeight="false" outlineLevel="0" collapsed="false">
      <c r="A465" s="26" t="s">
        <v>1439</v>
      </c>
      <c r="B465" s="27" t="s">
        <v>1437</v>
      </c>
      <c r="C465" s="32" t="n">
        <v>1084</v>
      </c>
      <c r="D465" s="27" t="s">
        <v>100</v>
      </c>
      <c r="E465" s="27" t="s">
        <v>157</v>
      </c>
      <c r="F465" s="29" t="s">
        <v>1440</v>
      </c>
      <c r="G465" s="27" t="s">
        <v>169</v>
      </c>
      <c r="H465" s="30" t="n">
        <v>375</v>
      </c>
      <c r="I465" s="27" t="s">
        <v>124</v>
      </c>
      <c r="J465" s="29" t="s">
        <v>170</v>
      </c>
      <c r="K465" s="29" t="s">
        <v>106</v>
      </c>
      <c r="L465" s="31" t="s">
        <v>107</v>
      </c>
    </row>
    <row r="466" customFormat="false" ht="15" hidden="false" customHeight="false" outlineLevel="0" collapsed="false">
      <c r="A466" s="21" t="s">
        <v>1441</v>
      </c>
      <c r="B466" s="5" t="s">
        <v>1442</v>
      </c>
      <c r="C466" s="22" t="n">
        <v>1070</v>
      </c>
      <c r="D466" s="5" t="s">
        <v>100</v>
      </c>
      <c r="E466" s="5" t="s">
        <v>117</v>
      </c>
      <c r="F466" s="23" t="s">
        <v>1443</v>
      </c>
      <c r="G466" s="5" t="s">
        <v>169</v>
      </c>
      <c r="H466" s="24" t="n">
        <v>375</v>
      </c>
      <c r="I466" s="5" t="s">
        <v>124</v>
      </c>
      <c r="J466" s="23" t="s">
        <v>170</v>
      </c>
      <c r="K466" s="23" t="s">
        <v>106</v>
      </c>
      <c r="L466" s="25" t="s">
        <v>107</v>
      </c>
    </row>
    <row r="467" customFormat="false" ht="15" hidden="false" customHeight="false" outlineLevel="0" collapsed="false">
      <c r="A467" s="26" t="s">
        <v>1444</v>
      </c>
      <c r="B467" s="27" t="s">
        <v>1442</v>
      </c>
      <c r="C467" s="32" t="n">
        <v>816</v>
      </c>
      <c r="D467" s="27" t="s">
        <v>100</v>
      </c>
      <c r="E467" s="27" t="s">
        <v>157</v>
      </c>
      <c r="F467" s="29" t="s">
        <v>1445</v>
      </c>
      <c r="G467" s="27" t="s">
        <v>169</v>
      </c>
      <c r="H467" s="30" t="n">
        <v>375</v>
      </c>
      <c r="I467" s="27" t="s">
        <v>124</v>
      </c>
      <c r="J467" s="29" t="s">
        <v>170</v>
      </c>
      <c r="K467" s="29" t="s">
        <v>106</v>
      </c>
      <c r="L467" s="31" t="s">
        <v>107</v>
      </c>
    </row>
    <row r="468" customFormat="false" ht="15" hidden="false" customHeight="false" outlineLevel="0" collapsed="false">
      <c r="A468" s="21" t="s">
        <v>1446</v>
      </c>
      <c r="B468" s="5" t="s">
        <v>1447</v>
      </c>
      <c r="C468" s="22" t="n">
        <v>932</v>
      </c>
      <c r="D468" s="5" t="s">
        <v>100</v>
      </c>
      <c r="E468" s="5" t="s">
        <v>117</v>
      </c>
      <c r="F468" s="23" t="s">
        <v>1448</v>
      </c>
      <c r="G468" s="5" t="s">
        <v>169</v>
      </c>
      <c r="H468" s="24" t="n">
        <v>375</v>
      </c>
      <c r="I468" s="5" t="s">
        <v>124</v>
      </c>
      <c r="J468" s="23" t="s">
        <v>170</v>
      </c>
      <c r="K468" s="23" t="s">
        <v>106</v>
      </c>
      <c r="L468" s="25" t="s">
        <v>107</v>
      </c>
    </row>
    <row r="469" customFormat="false" ht="15" hidden="false" customHeight="false" outlineLevel="0" collapsed="false">
      <c r="A469" s="26" t="s">
        <v>1449</v>
      </c>
      <c r="B469" s="27" t="s">
        <v>1447</v>
      </c>
      <c r="C469" s="32" t="n">
        <v>1266</v>
      </c>
      <c r="D469" s="27" t="s">
        <v>100</v>
      </c>
      <c r="E469" s="27" t="s">
        <v>157</v>
      </c>
      <c r="F469" s="29" t="s">
        <v>1450</v>
      </c>
      <c r="G469" s="27" t="s">
        <v>169</v>
      </c>
      <c r="H469" s="30" t="n">
        <v>375</v>
      </c>
      <c r="I469" s="27" t="s">
        <v>124</v>
      </c>
      <c r="J469" s="29" t="s">
        <v>170</v>
      </c>
      <c r="K469" s="29" t="s">
        <v>106</v>
      </c>
      <c r="L469" s="31" t="s">
        <v>107</v>
      </c>
    </row>
    <row r="470" customFormat="false" ht="15" hidden="false" customHeight="false" outlineLevel="0" collapsed="false">
      <c r="A470" s="21" t="s">
        <v>1451</v>
      </c>
      <c r="B470" s="5" t="s">
        <v>1452</v>
      </c>
      <c r="C470" s="22" t="n">
        <v>908</v>
      </c>
      <c r="D470" s="5" t="s">
        <v>100</v>
      </c>
      <c r="E470" s="5" t="s">
        <v>117</v>
      </c>
      <c r="F470" s="23" t="s">
        <v>1453</v>
      </c>
      <c r="G470" s="5" t="s">
        <v>169</v>
      </c>
      <c r="H470" s="24" t="n">
        <v>375</v>
      </c>
      <c r="I470" s="5" t="s">
        <v>124</v>
      </c>
      <c r="J470" s="23" t="s">
        <v>170</v>
      </c>
      <c r="K470" s="23" t="s">
        <v>106</v>
      </c>
      <c r="L470" s="25" t="s">
        <v>107</v>
      </c>
    </row>
    <row r="471" customFormat="false" ht="15" hidden="false" customHeight="false" outlineLevel="0" collapsed="false">
      <c r="A471" s="26" t="s">
        <v>1454</v>
      </c>
      <c r="B471" s="27" t="s">
        <v>1455</v>
      </c>
      <c r="C471" s="32" t="n">
        <v>807</v>
      </c>
      <c r="D471" s="27" t="s">
        <v>100</v>
      </c>
      <c r="E471" s="27" t="s">
        <v>117</v>
      </c>
      <c r="F471" s="29" t="s">
        <v>1456</v>
      </c>
      <c r="G471" s="27" t="s">
        <v>169</v>
      </c>
      <c r="H471" s="30" t="n">
        <v>375</v>
      </c>
      <c r="I471" s="27" t="s">
        <v>124</v>
      </c>
      <c r="J471" s="29" t="s">
        <v>170</v>
      </c>
      <c r="K471" s="29" t="s">
        <v>106</v>
      </c>
      <c r="L471" s="31" t="s">
        <v>107</v>
      </c>
    </row>
    <row r="472" customFormat="false" ht="15" hidden="false" customHeight="false" outlineLevel="0" collapsed="false">
      <c r="A472" s="21" t="s">
        <v>1457</v>
      </c>
      <c r="B472" s="5" t="s">
        <v>1458</v>
      </c>
      <c r="C472" s="22" t="n">
        <v>609</v>
      </c>
      <c r="D472" s="5" t="s">
        <v>100</v>
      </c>
      <c r="E472" s="5" t="s">
        <v>117</v>
      </c>
      <c r="F472" s="23" t="s">
        <v>1459</v>
      </c>
      <c r="G472" s="5" t="s">
        <v>169</v>
      </c>
      <c r="H472" s="24" t="n">
        <v>375</v>
      </c>
      <c r="I472" s="5" t="s">
        <v>124</v>
      </c>
      <c r="J472" s="23" t="s">
        <v>170</v>
      </c>
      <c r="K472" s="23" t="s">
        <v>106</v>
      </c>
      <c r="L472" s="25" t="s">
        <v>107</v>
      </c>
    </row>
    <row r="473" customFormat="false" ht="15" hidden="false" customHeight="false" outlineLevel="0" collapsed="false">
      <c r="A473" s="26" t="s">
        <v>1460</v>
      </c>
      <c r="B473" s="27" t="s">
        <v>1461</v>
      </c>
      <c r="C473" s="32" t="n">
        <v>581</v>
      </c>
      <c r="D473" s="27" t="s">
        <v>100</v>
      </c>
      <c r="E473" s="27" t="s">
        <v>117</v>
      </c>
      <c r="F473" s="29" t="s">
        <v>1462</v>
      </c>
      <c r="G473" s="27" t="s">
        <v>169</v>
      </c>
      <c r="H473" s="30" t="n">
        <v>375</v>
      </c>
      <c r="I473" s="27" t="s">
        <v>124</v>
      </c>
      <c r="J473" s="29" t="s">
        <v>170</v>
      </c>
      <c r="K473" s="29" t="s">
        <v>106</v>
      </c>
      <c r="L473" s="31" t="s">
        <v>107</v>
      </c>
    </row>
    <row r="474" customFormat="false" ht="15" hidden="false" customHeight="false" outlineLevel="0" collapsed="false">
      <c r="A474" s="21" t="s">
        <v>1463</v>
      </c>
      <c r="B474" s="5" t="s">
        <v>1464</v>
      </c>
      <c r="C474" s="22" t="n">
        <v>504</v>
      </c>
      <c r="D474" s="5" t="s">
        <v>100</v>
      </c>
      <c r="E474" s="5" t="s">
        <v>117</v>
      </c>
      <c r="F474" s="23" t="s">
        <v>1465</v>
      </c>
      <c r="G474" s="5" t="s">
        <v>169</v>
      </c>
      <c r="H474" s="24" t="n">
        <v>375</v>
      </c>
      <c r="I474" s="5" t="s">
        <v>124</v>
      </c>
      <c r="J474" s="23" t="s">
        <v>170</v>
      </c>
      <c r="K474" s="23" t="s">
        <v>106</v>
      </c>
      <c r="L474" s="25" t="s">
        <v>107</v>
      </c>
    </row>
    <row r="475" customFormat="false" ht="15" hidden="false" customHeight="false" outlineLevel="0" collapsed="false">
      <c r="A475" s="26" t="s">
        <v>1466</v>
      </c>
      <c r="B475" s="27" t="s">
        <v>1467</v>
      </c>
      <c r="C475" s="32" t="n">
        <v>7207</v>
      </c>
      <c r="D475" s="27" t="s">
        <v>100</v>
      </c>
      <c r="E475" s="27" t="s">
        <v>117</v>
      </c>
      <c r="F475" s="29" t="s">
        <v>1468</v>
      </c>
      <c r="G475" s="27" t="s">
        <v>169</v>
      </c>
      <c r="H475" s="30" t="n">
        <v>375</v>
      </c>
      <c r="I475" s="27" t="s">
        <v>124</v>
      </c>
      <c r="J475" s="29" t="s">
        <v>170</v>
      </c>
      <c r="K475" s="29" t="s">
        <v>106</v>
      </c>
      <c r="L475" s="31" t="s">
        <v>107</v>
      </c>
    </row>
    <row r="476" customFormat="false" ht="15" hidden="false" customHeight="false" outlineLevel="0" collapsed="false">
      <c r="A476" s="21" t="s">
        <v>1469</v>
      </c>
      <c r="B476" s="5" t="s">
        <v>1470</v>
      </c>
      <c r="C476" s="22" t="n">
        <v>370</v>
      </c>
      <c r="D476" s="5" t="s">
        <v>100</v>
      </c>
      <c r="E476" s="5" t="s">
        <v>117</v>
      </c>
      <c r="F476" s="23" t="s">
        <v>1471</v>
      </c>
      <c r="G476" s="5" t="s">
        <v>583</v>
      </c>
      <c r="H476" s="24" t="n">
        <v>11</v>
      </c>
      <c r="I476" s="5" t="s">
        <v>270</v>
      </c>
      <c r="J476" s="23" t="s">
        <v>584</v>
      </c>
      <c r="K476" s="23" t="s">
        <v>106</v>
      </c>
      <c r="L476" s="25" t="s">
        <v>107</v>
      </c>
    </row>
    <row r="477" customFormat="false" ht="15" hidden="false" customHeight="false" outlineLevel="0" collapsed="false">
      <c r="A477" s="26" t="s">
        <v>1472</v>
      </c>
      <c r="B477" s="27" t="s">
        <v>1473</v>
      </c>
      <c r="C477" s="32" t="n">
        <v>9</v>
      </c>
      <c r="D477" s="27" t="s">
        <v>130</v>
      </c>
      <c r="E477" s="27" t="s">
        <v>117</v>
      </c>
      <c r="F477" s="29" t="s">
        <v>230</v>
      </c>
      <c r="G477" s="27" t="s">
        <v>583</v>
      </c>
      <c r="H477" s="30" t="n">
        <v>11</v>
      </c>
      <c r="I477" s="27" t="s">
        <v>270</v>
      </c>
      <c r="J477" s="29" t="s">
        <v>584</v>
      </c>
      <c r="K477" s="29" t="s">
        <v>106</v>
      </c>
      <c r="L477" s="31" t="s">
        <v>107</v>
      </c>
    </row>
    <row r="478" customFormat="false" ht="15" hidden="false" customHeight="false" outlineLevel="0" collapsed="false">
      <c r="A478" s="21" t="s">
        <v>1474</v>
      </c>
      <c r="B478" s="5" t="s">
        <v>1475</v>
      </c>
      <c r="C478" s="22" t="n">
        <v>11</v>
      </c>
      <c r="D478" s="5" t="s">
        <v>130</v>
      </c>
      <c r="E478" s="5" t="s">
        <v>1476</v>
      </c>
      <c r="F478" s="23" t="s">
        <v>1477</v>
      </c>
      <c r="G478" s="5" t="s">
        <v>1478</v>
      </c>
      <c r="H478" s="24" t="n">
        <v>11</v>
      </c>
      <c r="I478" s="5" t="s">
        <v>270</v>
      </c>
      <c r="J478" s="23" t="s">
        <v>1479</v>
      </c>
      <c r="K478" s="23" t="s">
        <v>106</v>
      </c>
      <c r="L478" s="25" t="s">
        <v>107</v>
      </c>
    </row>
    <row r="479" customFormat="false" ht="15" hidden="false" customHeight="false" outlineLevel="0" collapsed="false">
      <c r="A479" s="26" t="s">
        <v>1480</v>
      </c>
      <c r="B479" s="27" t="s">
        <v>1481</v>
      </c>
      <c r="C479" s="28" t="n">
        <v>7.2</v>
      </c>
      <c r="D479" s="27" t="s">
        <v>266</v>
      </c>
      <c r="E479" s="27" t="s">
        <v>1482</v>
      </c>
      <c r="F479" s="29" t="s">
        <v>1483</v>
      </c>
      <c r="G479" s="27" t="s">
        <v>1484</v>
      </c>
      <c r="H479" s="30" t="n">
        <v>1</v>
      </c>
      <c r="I479" s="27" t="s">
        <v>270</v>
      </c>
      <c r="J479" s="29" t="s">
        <v>1485</v>
      </c>
      <c r="K479" s="29" t="s">
        <v>1486</v>
      </c>
      <c r="L479" s="31" t="s">
        <v>107</v>
      </c>
    </row>
    <row r="480" customFormat="false" ht="15" hidden="false" customHeight="false" outlineLevel="0" collapsed="false">
      <c r="A480" s="21" t="s">
        <v>1487</v>
      </c>
      <c r="B480" s="5" t="s">
        <v>1488</v>
      </c>
      <c r="C480" s="33" t="n">
        <v>1.4</v>
      </c>
      <c r="D480" s="5" t="s">
        <v>266</v>
      </c>
      <c r="E480" s="5" t="s">
        <v>1482</v>
      </c>
      <c r="F480" s="23" t="s">
        <v>1489</v>
      </c>
      <c r="G480" s="5" t="s">
        <v>1484</v>
      </c>
      <c r="H480" s="24" t="n">
        <v>1</v>
      </c>
      <c r="I480" s="5" t="s">
        <v>270</v>
      </c>
      <c r="J480" s="23" t="s">
        <v>1485</v>
      </c>
      <c r="K480" s="23" t="s">
        <v>1486</v>
      </c>
      <c r="L480" s="25" t="s">
        <v>107</v>
      </c>
    </row>
    <row r="481" customFormat="false" ht="15" hidden="false" customHeight="false" outlineLevel="0" collapsed="false">
      <c r="A481" s="26" t="s">
        <v>1490</v>
      </c>
      <c r="B481" s="27" t="s">
        <v>1491</v>
      </c>
      <c r="C481" s="32" t="n">
        <v>62</v>
      </c>
      <c r="D481" s="27" t="s">
        <v>1492</v>
      </c>
      <c r="E481" s="27" t="s">
        <v>1482</v>
      </c>
      <c r="F481" s="29" t="s">
        <v>1493</v>
      </c>
      <c r="G481" s="27" t="s">
        <v>1484</v>
      </c>
      <c r="H481" s="30" t="n">
        <v>1</v>
      </c>
      <c r="I481" s="27" t="s">
        <v>270</v>
      </c>
      <c r="J481" s="29" t="s">
        <v>1485</v>
      </c>
      <c r="K481" s="29" t="s">
        <v>1486</v>
      </c>
      <c r="L481" s="31" t="s">
        <v>107</v>
      </c>
    </row>
    <row r="482" customFormat="false" ht="15" hidden="false" customHeight="false" outlineLevel="0" collapsed="false">
      <c r="A482" s="21" t="s">
        <v>1494</v>
      </c>
      <c r="B482" s="5" t="s">
        <v>1495</v>
      </c>
      <c r="C482" s="22" t="n">
        <v>125</v>
      </c>
      <c r="D482" s="5" t="s">
        <v>246</v>
      </c>
      <c r="E482" s="5" t="s">
        <v>1496</v>
      </c>
      <c r="F482" s="23" t="s">
        <v>1497</v>
      </c>
      <c r="G482" s="5" t="s">
        <v>1484</v>
      </c>
      <c r="H482" s="24" t="n">
        <v>1</v>
      </c>
      <c r="I482" s="5" t="s">
        <v>270</v>
      </c>
      <c r="J482" s="23" t="s">
        <v>1485</v>
      </c>
      <c r="K482" s="23" t="s">
        <v>1486</v>
      </c>
      <c r="L482" s="25" t="s">
        <v>107</v>
      </c>
    </row>
    <row r="483" customFormat="false" ht="15" hidden="false" customHeight="false" outlineLevel="0" collapsed="false">
      <c r="A483" s="26" t="s">
        <v>1498</v>
      </c>
      <c r="B483" s="27" t="s">
        <v>1499</v>
      </c>
      <c r="C483" s="32" t="n">
        <v>400</v>
      </c>
      <c r="D483" s="27" t="s">
        <v>246</v>
      </c>
      <c r="E483" s="27" t="s">
        <v>1500</v>
      </c>
      <c r="F483" s="29" t="s">
        <v>1501</v>
      </c>
      <c r="G483" s="27" t="s">
        <v>1502</v>
      </c>
      <c r="H483" s="30" t="n">
        <v>1</v>
      </c>
      <c r="I483" s="27" t="s">
        <v>270</v>
      </c>
      <c r="J483" s="29" t="s">
        <v>1503</v>
      </c>
      <c r="K483" s="29" t="s">
        <v>1486</v>
      </c>
      <c r="L483" s="31" t="s">
        <v>107</v>
      </c>
    </row>
    <row r="484" customFormat="false" ht="15" hidden="false" customHeight="false" outlineLevel="0" collapsed="false">
      <c r="A484" s="21" t="s">
        <v>1504</v>
      </c>
      <c r="B484" s="5" t="s">
        <v>1505</v>
      </c>
      <c r="C484" s="22" t="n">
        <v>36</v>
      </c>
      <c r="D484" s="5" t="s">
        <v>246</v>
      </c>
      <c r="E484" s="5" t="s">
        <v>543</v>
      </c>
      <c r="F484" s="23" t="s">
        <v>1506</v>
      </c>
      <c r="G484" s="5" t="s">
        <v>1502</v>
      </c>
      <c r="H484" s="24" t="n">
        <v>1</v>
      </c>
      <c r="I484" s="5" t="s">
        <v>270</v>
      </c>
      <c r="J484" s="23" t="s">
        <v>1503</v>
      </c>
      <c r="K484" s="23" t="s">
        <v>1486</v>
      </c>
      <c r="L484" s="25" t="s">
        <v>107</v>
      </c>
    </row>
    <row r="485" customFormat="false" ht="15" hidden="false" customHeight="false" outlineLevel="0" collapsed="false">
      <c r="A485" s="26" t="s">
        <v>1507</v>
      </c>
      <c r="B485" s="27" t="s">
        <v>1508</v>
      </c>
      <c r="C485" s="32" t="n">
        <v>270</v>
      </c>
      <c r="D485" s="27" t="s">
        <v>246</v>
      </c>
      <c r="E485" s="27" t="s">
        <v>543</v>
      </c>
      <c r="F485" s="29" t="s">
        <v>1509</v>
      </c>
      <c r="G485" s="27" t="s">
        <v>1502</v>
      </c>
      <c r="H485" s="30" t="n">
        <v>1</v>
      </c>
      <c r="I485" s="27" t="s">
        <v>270</v>
      </c>
      <c r="J485" s="29" t="s">
        <v>1503</v>
      </c>
      <c r="K485" s="29" t="s">
        <v>1486</v>
      </c>
      <c r="L485" s="31" t="s">
        <v>107</v>
      </c>
    </row>
    <row r="486" customFormat="false" ht="15" hidden="false" customHeight="false" outlineLevel="0" collapsed="false">
      <c r="A486" s="21" t="s">
        <v>1510</v>
      </c>
      <c r="B486" s="5" t="s">
        <v>1511</v>
      </c>
      <c r="C486" s="22" t="n">
        <v>30</v>
      </c>
      <c r="D486" s="5" t="s">
        <v>246</v>
      </c>
      <c r="E486" s="5" t="s">
        <v>222</v>
      </c>
      <c r="F486" s="23" t="s">
        <v>1512</v>
      </c>
      <c r="G486" s="5" t="s">
        <v>1502</v>
      </c>
      <c r="H486" s="24" t="n">
        <v>1</v>
      </c>
      <c r="I486" s="5" t="s">
        <v>270</v>
      </c>
      <c r="J486" s="23" t="s">
        <v>1503</v>
      </c>
      <c r="K486" s="23" t="s">
        <v>1486</v>
      </c>
      <c r="L486" s="25" t="s">
        <v>107</v>
      </c>
    </row>
    <row r="487" customFormat="false" ht="15" hidden="false" customHeight="false" outlineLevel="0" collapsed="false">
      <c r="A487" s="26" t="s">
        <v>1513</v>
      </c>
      <c r="B487" s="27" t="s">
        <v>1514</v>
      </c>
      <c r="C487" s="32" t="n">
        <v>20</v>
      </c>
      <c r="D487" s="27" t="s">
        <v>246</v>
      </c>
      <c r="E487" s="27" t="s">
        <v>1515</v>
      </c>
      <c r="F487" s="29" t="s">
        <v>572</v>
      </c>
      <c r="G487" s="27" t="s">
        <v>1502</v>
      </c>
      <c r="H487" s="30" t="n">
        <v>1</v>
      </c>
      <c r="I487" s="27" t="s">
        <v>270</v>
      </c>
      <c r="J487" s="29" t="s">
        <v>1503</v>
      </c>
      <c r="K487" s="29" t="s">
        <v>1486</v>
      </c>
      <c r="L487" s="31" t="s">
        <v>107</v>
      </c>
    </row>
    <row r="488" customFormat="false" ht="15" hidden="false" customHeight="false" outlineLevel="0" collapsed="false">
      <c r="A488" s="21" t="s">
        <v>1516</v>
      </c>
      <c r="B488" s="5" t="s">
        <v>1517</v>
      </c>
      <c r="C488" s="33" t="n">
        <v>7.1</v>
      </c>
      <c r="D488" s="5" t="s">
        <v>130</v>
      </c>
      <c r="E488" s="5" t="s">
        <v>222</v>
      </c>
      <c r="F488" s="23" t="s">
        <v>512</v>
      </c>
      <c r="G488" s="5" t="s">
        <v>1502</v>
      </c>
      <c r="H488" s="24" t="n">
        <v>1</v>
      </c>
      <c r="I488" s="5" t="s">
        <v>270</v>
      </c>
      <c r="J488" s="23" t="s">
        <v>1503</v>
      </c>
      <c r="K488" s="23" t="s">
        <v>1486</v>
      </c>
      <c r="L488" s="25" t="s">
        <v>107</v>
      </c>
    </row>
    <row r="489" customFormat="false" ht="15" hidden="false" customHeight="false" outlineLevel="0" collapsed="false">
      <c r="A489" s="26" t="s">
        <v>1518</v>
      </c>
      <c r="B489" s="27" t="s">
        <v>1519</v>
      </c>
      <c r="C489" s="28" t="n">
        <v>5.3</v>
      </c>
      <c r="D489" s="27" t="s">
        <v>266</v>
      </c>
      <c r="E489" s="27" t="s">
        <v>1520</v>
      </c>
      <c r="F489" s="29" t="s">
        <v>1521</v>
      </c>
      <c r="G489" s="27" t="s">
        <v>1522</v>
      </c>
      <c r="H489" s="30" t="n">
        <v>1</v>
      </c>
      <c r="I489" s="27" t="s">
        <v>270</v>
      </c>
      <c r="J489" s="29" t="s">
        <v>1523</v>
      </c>
      <c r="K489" s="29" t="s">
        <v>1486</v>
      </c>
      <c r="L489" s="31" t="s">
        <v>107</v>
      </c>
    </row>
    <row r="490" customFormat="false" ht="15" hidden="false" customHeight="false" outlineLevel="0" collapsed="false">
      <c r="A490" s="21" t="s">
        <v>1524</v>
      </c>
      <c r="B490" s="5" t="s">
        <v>1525</v>
      </c>
      <c r="C490" s="33" t="n">
        <v>20.25</v>
      </c>
      <c r="D490" s="5" t="s">
        <v>1492</v>
      </c>
      <c r="E490" s="5" t="s">
        <v>1520</v>
      </c>
      <c r="F490" s="23" t="s">
        <v>1526</v>
      </c>
      <c r="G490" s="5" t="s">
        <v>1522</v>
      </c>
      <c r="H490" s="24" t="n">
        <v>1</v>
      </c>
      <c r="I490" s="5" t="s">
        <v>270</v>
      </c>
      <c r="J490" s="23" t="s">
        <v>1523</v>
      </c>
      <c r="K490" s="23" t="s">
        <v>1486</v>
      </c>
      <c r="L490" s="25" t="s">
        <v>107</v>
      </c>
    </row>
    <row r="491" customFormat="false" ht="15" hidden="false" customHeight="false" outlineLevel="0" collapsed="false">
      <c r="A491" s="26" t="s">
        <v>1527</v>
      </c>
      <c r="B491" s="27" t="s">
        <v>1528</v>
      </c>
      <c r="C491" s="32" t="n">
        <v>460</v>
      </c>
      <c r="D491" s="27" t="s">
        <v>246</v>
      </c>
      <c r="E491" s="27" t="s">
        <v>1529</v>
      </c>
      <c r="F491" s="29" t="s">
        <v>1530</v>
      </c>
      <c r="G491" s="27" t="s">
        <v>1522</v>
      </c>
      <c r="H491" s="30" t="n">
        <v>1</v>
      </c>
      <c r="I491" s="27" t="s">
        <v>270</v>
      </c>
      <c r="J491" s="29" t="s">
        <v>1523</v>
      </c>
      <c r="K491" s="29" t="s">
        <v>1486</v>
      </c>
      <c r="L491" s="31" t="s">
        <v>107</v>
      </c>
    </row>
    <row r="492" customFormat="false" ht="15" hidden="false" customHeight="false" outlineLevel="0" collapsed="false">
      <c r="A492" s="21" t="s">
        <v>1531</v>
      </c>
      <c r="B492" s="5" t="s">
        <v>1532</v>
      </c>
      <c r="C492" s="22" t="n">
        <v>480</v>
      </c>
      <c r="D492" s="5" t="s">
        <v>246</v>
      </c>
      <c r="E492" s="5" t="s">
        <v>1529</v>
      </c>
      <c r="F492" s="23" t="s">
        <v>1533</v>
      </c>
      <c r="G492" s="5" t="s">
        <v>1522</v>
      </c>
      <c r="H492" s="24" t="n">
        <v>1</v>
      </c>
      <c r="I492" s="5" t="s">
        <v>270</v>
      </c>
      <c r="J492" s="23" t="s">
        <v>1523</v>
      </c>
      <c r="K492" s="23" t="s">
        <v>1486</v>
      </c>
      <c r="L492" s="25" t="s">
        <v>107</v>
      </c>
    </row>
    <row r="493" customFormat="false" ht="15" hidden="false" customHeight="false" outlineLevel="0" collapsed="false">
      <c r="A493" s="26" t="s">
        <v>1534</v>
      </c>
      <c r="B493" s="27" t="s">
        <v>1535</v>
      </c>
      <c r="C493" s="28" t="n">
        <v>44.4</v>
      </c>
      <c r="D493" s="27" t="s">
        <v>127</v>
      </c>
      <c r="E493" s="27" t="s">
        <v>117</v>
      </c>
      <c r="F493" s="29" t="s">
        <v>1536</v>
      </c>
      <c r="G493" s="27" t="s">
        <v>169</v>
      </c>
      <c r="H493" s="30" t="n">
        <v>250</v>
      </c>
      <c r="I493" s="27" t="s">
        <v>254</v>
      </c>
      <c r="J493" s="29" t="s">
        <v>170</v>
      </c>
      <c r="K493" s="29" t="s">
        <v>106</v>
      </c>
      <c r="L493" s="31" t="s">
        <v>107</v>
      </c>
    </row>
    <row r="494" customFormat="false" ht="15" hidden="false" customHeight="false" outlineLevel="0" collapsed="false">
      <c r="A494" s="21" t="s">
        <v>1537</v>
      </c>
      <c r="B494" s="5" t="s">
        <v>1538</v>
      </c>
      <c r="C494" s="33" t="n">
        <v>27.8</v>
      </c>
      <c r="D494" s="5" t="s">
        <v>127</v>
      </c>
      <c r="E494" s="5" t="s">
        <v>117</v>
      </c>
      <c r="F494" s="23" t="s">
        <v>1539</v>
      </c>
      <c r="G494" s="5" t="s">
        <v>169</v>
      </c>
      <c r="H494" s="24" t="n">
        <v>250</v>
      </c>
      <c r="I494" s="5" t="s">
        <v>254</v>
      </c>
      <c r="J494" s="23" t="s">
        <v>170</v>
      </c>
      <c r="K494" s="23" t="s">
        <v>106</v>
      </c>
      <c r="L494" s="25" t="s">
        <v>107</v>
      </c>
    </row>
    <row r="495" customFormat="false" ht="15" hidden="false" customHeight="false" outlineLevel="0" collapsed="false">
      <c r="A495" s="26" t="s">
        <v>1540</v>
      </c>
      <c r="B495" s="27" t="s">
        <v>1541</v>
      </c>
      <c r="C495" s="28" t="n">
        <v>20.3</v>
      </c>
      <c r="D495" s="27" t="s">
        <v>127</v>
      </c>
      <c r="E495" s="27" t="s">
        <v>117</v>
      </c>
      <c r="F495" s="29" t="s">
        <v>518</v>
      </c>
      <c r="G495" s="27" t="s">
        <v>169</v>
      </c>
      <c r="H495" s="30" t="n">
        <v>250</v>
      </c>
      <c r="I495" s="27" t="s">
        <v>254</v>
      </c>
      <c r="J495" s="29" t="s">
        <v>170</v>
      </c>
      <c r="K495" s="29" t="s">
        <v>106</v>
      </c>
      <c r="L495" s="31" t="s">
        <v>107</v>
      </c>
    </row>
    <row r="496" customFormat="false" ht="15" hidden="false" customHeight="false" outlineLevel="0" collapsed="false">
      <c r="A496" s="21" t="s">
        <v>1542</v>
      </c>
      <c r="B496" s="5" t="s">
        <v>1543</v>
      </c>
      <c r="C496" s="33" t="n">
        <v>4.5</v>
      </c>
      <c r="D496" s="5" t="s">
        <v>127</v>
      </c>
      <c r="E496" s="5" t="s">
        <v>117</v>
      </c>
      <c r="F496" s="23" t="s">
        <v>1544</v>
      </c>
      <c r="G496" s="5" t="s">
        <v>169</v>
      </c>
      <c r="H496" s="24" t="n">
        <v>250</v>
      </c>
      <c r="I496" s="5" t="s">
        <v>254</v>
      </c>
      <c r="J496" s="23" t="s">
        <v>170</v>
      </c>
      <c r="K496" s="23" t="s">
        <v>106</v>
      </c>
      <c r="L496" s="25" t="s">
        <v>107</v>
      </c>
    </row>
    <row r="497" customFormat="false" ht="15" hidden="false" customHeight="false" outlineLevel="0" collapsed="false">
      <c r="A497" s="26" t="s">
        <v>1545</v>
      </c>
      <c r="B497" s="27" t="s">
        <v>1546</v>
      </c>
      <c r="C497" s="32" t="n">
        <v>3</v>
      </c>
      <c r="D497" s="27" t="s">
        <v>127</v>
      </c>
      <c r="E497" s="27" t="s">
        <v>117</v>
      </c>
      <c r="F497" s="29" t="s">
        <v>268</v>
      </c>
      <c r="G497" s="27" t="s">
        <v>169</v>
      </c>
      <c r="H497" s="30" t="n">
        <v>250</v>
      </c>
      <c r="I497" s="27" t="s">
        <v>254</v>
      </c>
      <c r="J497" s="29" t="s">
        <v>170</v>
      </c>
      <c r="K497" s="29" t="s">
        <v>106</v>
      </c>
      <c r="L497" s="31" t="s">
        <v>107</v>
      </c>
    </row>
    <row r="498" customFormat="false" ht="15" hidden="false" customHeight="false" outlineLevel="0" collapsed="false">
      <c r="A498" s="21" t="s">
        <v>1547</v>
      </c>
      <c r="B498" s="5" t="s">
        <v>1548</v>
      </c>
      <c r="C498" s="33" t="n">
        <v>2.1</v>
      </c>
      <c r="D498" s="5" t="s">
        <v>127</v>
      </c>
      <c r="E498" s="5" t="s">
        <v>117</v>
      </c>
      <c r="F498" s="23" t="s">
        <v>1549</v>
      </c>
      <c r="G498" s="5" t="s">
        <v>169</v>
      </c>
      <c r="H498" s="24" t="n">
        <v>250</v>
      </c>
      <c r="I498" s="5" t="s">
        <v>254</v>
      </c>
      <c r="J498" s="23" t="s">
        <v>170</v>
      </c>
      <c r="K498" s="23" t="s">
        <v>106</v>
      </c>
      <c r="L498" s="25" t="s">
        <v>107</v>
      </c>
    </row>
    <row r="499" customFormat="false" ht="15" hidden="false" customHeight="false" outlineLevel="0" collapsed="false">
      <c r="A499" s="26" t="s">
        <v>1550</v>
      </c>
      <c r="B499" s="27" t="s">
        <v>1551</v>
      </c>
      <c r="C499" s="28" t="n">
        <v>4.1</v>
      </c>
      <c r="D499" s="27" t="s">
        <v>127</v>
      </c>
      <c r="E499" s="27" t="s">
        <v>157</v>
      </c>
      <c r="F499" s="29" t="s">
        <v>145</v>
      </c>
      <c r="G499" s="27" t="s">
        <v>169</v>
      </c>
      <c r="H499" s="30" t="n">
        <v>250</v>
      </c>
      <c r="I499" s="27" t="s">
        <v>254</v>
      </c>
      <c r="J499" s="29" t="s">
        <v>170</v>
      </c>
      <c r="K499" s="29" t="s">
        <v>106</v>
      </c>
      <c r="L499" s="31" t="s">
        <v>107</v>
      </c>
    </row>
    <row r="500" customFormat="false" ht="15" hidden="false" customHeight="false" outlineLevel="0" collapsed="false">
      <c r="A500" s="21" t="s">
        <v>1552</v>
      </c>
      <c r="B500" s="5" t="s">
        <v>1553</v>
      </c>
      <c r="C500" s="33" t="n">
        <v>2.6</v>
      </c>
      <c r="D500" s="5" t="s">
        <v>127</v>
      </c>
      <c r="E500" s="5" t="s">
        <v>157</v>
      </c>
      <c r="F500" s="23" t="s">
        <v>274</v>
      </c>
      <c r="G500" s="5" t="s">
        <v>169</v>
      </c>
      <c r="H500" s="24" t="n">
        <v>250</v>
      </c>
      <c r="I500" s="5" t="s">
        <v>254</v>
      </c>
      <c r="J500" s="23" t="s">
        <v>170</v>
      </c>
      <c r="K500" s="23" t="s">
        <v>106</v>
      </c>
      <c r="L500" s="25" t="s">
        <v>107</v>
      </c>
    </row>
    <row r="501" customFormat="false" ht="15" hidden="false" customHeight="false" outlineLevel="0" collapsed="false">
      <c r="A501" s="26" t="s">
        <v>1554</v>
      </c>
      <c r="B501" s="27" t="s">
        <v>1555</v>
      </c>
      <c r="C501" s="28" t="n">
        <v>1.8</v>
      </c>
      <c r="D501" s="27" t="s">
        <v>127</v>
      </c>
      <c r="E501" s="27" t="s">
        <v>157</v>
      </c>
      <c r="F501" s="29" t="s">
        <v>1556</v>
      </c>
      <c r="G501" s="27" t="s">
        <v>169</v>
      </c>
      <c r="H501" s="30" t="n">
        <v>250</v>
      </c>
      <c r="I501" s="27" t="s">
        <v>254</v>
      </c>
      <c r="J501" s="29" t="s">
        <v>170</v>
      </c>
      <c r="K501" s="29" t="s">
        <v>106</v>
      </c>
      <c r="L501" s="31" t="s">
        <v>107</v>
      </c>
    </row>
    <row r="502" customFormat="false" ht="15" hidden="false" customHeight="false" outlineLevel="0" collapsed="false">
      <c r="A502" s="21" t="s">
        <v>1557</v>
      </c>
      <c r="B502" s="5" t="s">
        <v>1558</v>
      </c>
      <c r="C502" s="33" t="n">
        <v>19.7</v>
      </c>
      <c r="D502" s="5" t="s">
        <v>127</v>
      </c>
      <c r="E502" s="5" t="s">
        <v>157</v>
      </c>
      <c r="F502" s="23" t="s">
        <v>1559</v>
      </c>
      <c r="G502" s="5" t="s">
        <v>169</v>
      </c>
      <c r="H502" s="24" t="n">
        <v>250</v>
      </c>
      <c r="I502" s="5" t="s">
        <v>254</v>
      </c>
      <c r="J502" s="23" t="s">
        <v>170</v>
      </c>
      <c r="K502" s="23" t="s">
        <v>106</v>
      </c>
      <c r="L502" s="25" t="s">
        <v>107</v>
      </c>
    </row>
    <row r="503" customFormat="false" ht="15" hidden="false" customHeight="false" outlineLevel="0" collapsed="false">
      <c r="A503" s="26" t="s">
        <v>1560</v>
      </c>
      <c r="B503" s="27" t="s">
        <v>1561</v>
      </c>
      <c r="C503" s="28" t="n">
        <v>65.7</v>
      </c>
      <c r="D503" s="27" t="s">
        <v>296</v>
      </c>
      <c r="E503" s="27" t="s">
        <v>117</v>
      </c>
      <c r="F503" s="29" t="s">
        <v>1562</v>
      </c>
      <c r="G503" s="27" t="s">
        <v>169</v>
      </c>
      <c r="H503" s="30" t="n">
        <v>250</v>
      </c>
      <c r="I503" s="27" t="s">
        <v>254</v>
      </c>
      <c r="J503" s="29" t="s">
        <v>170</v>
      </c>
      <c r="K503" s="29" t="s">
        <v>106</v>
      </c>
      <c r="L503" s="31" t="s">
        <v>107</v>
      </c>
    </row>
    <row r="504" customFormat="false" ht="15" hidden="false" customHeight="false" outlineLevel="0" collapsed="false">
      <c r="A504" s="21" t="s">
        <v>1563</v>
      </c>
      <c r="B504" s="5" t="s">
        <v>1564</v>
      </c>
      <c r="C504" s="33" t="n">
        <v>47.2</v>
      </c>
      <c r="D504" s="5" t="s">
        <v>296</v>
      </c>
      <c r="E504" s="5" t="s">
        <v>117</v>
      </c>
      <c r="F504" s="23" t="s">
        <v>1565</v>
      </c>
      <c r="G504" s="5" t="s">
        <v>169</v>
      </c>
      <c r="H504" s="24" t="n">
        <v>250</v>
      </c>
      <c r="I504" s="5" t="s">
        <v>254</v>
      </c>
      <c r="J504" s="23" t="s">
        <v>170</v>
      </c>
      <c r="K504" s="23" t="s">
        <v>106</v>
      </c>
      <c r="L504" s="25" t="s">
        <v>107</v>
      </c>
    </row>
    <row r="505" customFormat="false" ht="15" hidden="false" customHeight="false" outlineLevel="0" collapsed="false">
      <c r="A505" s="26" t="s">
        <v>1566</v>
      </c>
      <c r="B505" s="27" t="s">
        <v>1567</v>
      </c>
      <c r="C505" s="28" t="n">
        <v>45.7</v>
      </c>
      <c r="D505" s="27" t="s">
        <v>296</v>
      </c>
      <c r="E505" s="27" t="s">
        <v>117</v>
      </c>
      <c r="F505" s="29" t="s">
        <v>1568</v>
      </c>
      <c r="G505" s="27" t="s">
        <v>169</v>
      </c>
      <c r="H505" s="30" t="n">
        <v>250</v>
      </c>
      <c r="I505" s="27" t="s">
        <v>254</v>
      </c>
      <c r="J505" s="29" t="s">
        <v>170</v>
      </c>
      <c r="K505" s="29" t="s">
        <v>106</v>
      </c>
      <c r="L505" s="31" t="s">
        <v>107</v>
      </c>
    </row>
    <row r="506" customFormat="false" ht="15" hidden="false" customHeight="false" outlineLevel="0" collapsed="false">
      <c r="A506" s="21" t="s">
        <v>1569</v>
      </c>
      <c r="B506" s="5" t="s">
        <v>1570</v>
      </c>
      <c r="C506" s="33" t="n">
        <v>11.4</v>
      </c>
      <c r="D506" s="5" t="s">
        <v>127</v>
      </c>
      <c r="E506" s="5" t="s">
        <v>117</v>
      </c>
      <c r="F506" s="23" t="s">
        <v>1571</v>
      </c>
      <c r="G506" s="5" t="s">
        <v>169</v>
      </c>
      <c r="H506" s="24" t="n">
        <v>250</v>
      </c>
      <c r="I506" s="5" t="s">
        <v>254</v>
      </c>
      <c r="J506" s="23" t="s">
        <v>170</v>
      </c>
      <c r="K506" s="23" t="s">
        <v>106</v>
      </c>
      <c r="L506" s="25" t="s">
        <v>107</v>
      </c>
    </row>
    <row r="507" customFormat="false" ht="15" hidden="false" customHeight="false" outlineLevel="0" collapsed="false">
      <c r="A507" s="26" t="s">
        <v>1572</v>
      </c>
      <c r="B507" s="27" t="s">
        <v>1573</v>
      </c>
      <c r="C507" s="28" t="n">
        <v>6.9</v>
      </c>
      <c r="D507" s="27" t="s">
        <v>127</v>
      </c>
      <c r="E507" s="27" t="s">
        <v>117</v>
      </c>
      <c r="F507" s="29" t="s">
        <v>1574</v>
      </c>
      <c r="G507" s="27" t="s">
        <v>169</v>
      </c>
      <c r="H507" s="30" t="n">
        <v>250</v>
      </c>
      <c r="I507" s="27" t="s">
        <v>254</v>
      </c>
      <c r="J507" s="29" t="s">
        <v>170</v>
      </c>
      <c r="K507" s="29" t="s">
        <v>106</v>
      </c>
      <c r="L507" s="31" t="s">
        <v>107</v>
      </c>
    </row>
    <row r="508" customFormat="false" ht="15" hidden="false" customHeight="false" outlineLevel="0" collapsed="false">
      <c r="A508" s="21" t="s">
        <v>1575</v>
      </c>
      <c r="B508" s="5" t="s">
        <v>1576</v>
      </c>
      <c r="C508" s="33" t="n">
        <v>1.4</v>
      </c>
      <c r="D508" s="5" t="s">
        <v>127</v>
      </c>
      <c r="E508" s="5" t="s">
        <v>117</v>
      </c>
      <c r="F508" s="23" t="s">
        <v>1489</v>
      </c>
      <c r="G508" s="5" t="s">
        <v>169</v>
      </c>
      <c r="H508" s="24" t="n">
        <v>250</v>
      </c>
      <c r="I508" s="5" t="s">
        <v>254</v>
      </c>
      <c r="J508" s="23" t="s">
        <v>170</v>
      </c>
      <c r="K508" s="23" t="s">
        <v>106</v>
      </c>
      <c r="L508" s="25" t="s">
        <v>107</v>
      </c>
    </row>
    <row r="509" customFormat="false" ht="15" hidden="false" customHeight="false" outlineLevel="0" collapsed="false">
      <c r="A509" s="26" t="s">
        <v>1577</v>
      </c>
      <c r="B509" s="27" t="s">
        <v>1578</v>
      </c>
      <c r="C509" s="28" t="n">
        <v>0.8</v>
      </c>
      <c r="D509" s="27" t="s">
        <v>127</v>
      </c>
      <c r="E509" s="27" t="s">
        <v>117</v>
      </c>
      <c r="F509" s="29" t="s">
        <v>1579</v>
      </c>
      <c r="G509" s="27" t="s">
        <v>169</v>
      </c>
      <c r="H509" s="30" t="n">
        <v>250</v>
      </c>
      <c r="I509" s="27" t="s">
        <v>254</v>
      </c>
      <c r="J509" s="29" t="s">
        <v>170</v>
      </c>
      <c r="K509" s="29" t="s">
        <v>106</v>
      </c>
      <c r="L509" s="31" t="s">
        <v>107</v>
      </c>
    </row>
    <row r="510" customFormat="false" ht="15" hidden="false" customHeight="false" outlineLevel="0" collapsed="false">
      <c r="A510" s="21" t="s">
        <v>1580</v>
      </c>
      <c r="B510" s="5" t="s">
        <v>1581</v>
      </c>
      <c r="C510" s="33" t="n">
        <v>4.2</v>
      </c>
      <c r="D510" s="5" t="s">
        <v>127</v>
      </c>
      <c r="E510" s="5" t="s">
        <v>117</v>
      </c>
      <c r="F510" s="23" t="s">
        <v>560</v>
      </c>
      <c r="G510" s="5" t="s">
        <v>169</v>
      </c>
      <c r="H510" s="24" t="n">
        <v>250</v>
      </c>
      <c r="I510" s="5" t="s">
        <v>254</v>
      </c>
      <c r="J510" s="23" t="s">
        <v>170</v>
      </c>
      <c r="K510" s="23" t="s">
        <v>106</v>
      </c>
      <c r="L510" s="25" t="s">
        <v>107</v>
      </c>
    </row>
    <row r="511" customFormat="false" ht="15" hidden="false" customHeight="false" outlineLevel="0" collapsed="false">
      <c r="A511" s="26" t="s">
        <v>1582</v>
      </c>
      <c r="B511" s="27" t="s">
        <v>1583</v>
      </c>
      <c r="C511" s="28" t="n">
        <v>3.6</v>
      </c>
      <c r="D511" s="27" t="s">
        <v>127</v>
      </c>
      <c r="E511" s="27" t="s">
        <v>117</v>
      </c>
      <c r="F511" s="29" t="s">
        <v>1584</v>
      </c>
      <c r="G511" s="27" t="s">
        <v>169</v>
      </c>
      <c r="H511" s="30" t="n">
        <v>250</v>
      </c>
      <c r="I511" s="27" t="s">
        <v>254</v>
      </c>
      <c r="J511" s="29" t="s">
        <v>170</v>
      </c>
      <c r="K511" s="29" t="s">
        <v>106</v>
      </c>
      <c r="L511" s="31" t="s">
        <v>107</v>
      </c>
    </row>
    <row r="512" customFormat="false" ht="15" hidden="false" customHeight="false" outlineLevel="0" collapsed="false">
      <c r="A512" s="21" t="s">
        <v>1585</v>
      </c>
      <c r="B512" s="5" t="s">
        <v>1586</v>
      </c>
      <c r="C512" s="33" t="n">
        <v>0.4</v>
      </c>
      <c r="D512" s="5" t="s">
        <v>127</v>
      </c>
      <c r="E512" s="5" t="s">
        <v>117</v>
      </c>
      <c r="F512" s="23" t="s">
        <v>1587</v>
      </c>
      <c r="G512" s="5" t="s">
        <v>169</v>
      </c>
      <c r="H512" s="24" t="n">
        <v>250</v>
      </c>
      <c r="I512" s="5" t="s">
        <v>254</v>
      </c>
      <c r="J512" s="23" t="s">
        <v>170</v>
      </c>
      <c r="K512" s="23" t="s">
        <v>106</v>
      </c>
      <c r="L512" s="25" t="s">
        <v>107</v>
      </c>
    </row>
    <row r="513" customFormat="false" ht="15" hidden="false" customHeight="false" outlineLevel="0" collapsed="false">
      <c r="A513" s="26" t="s">
        <v>1588</v>
      </c>
      <c r="B513" s="27" t="s">
        <v>1589</v>
      </c>
      <c r="C513" s="28" t="n">
        <v>0.4</v>
      </c>
      <c r="D513" s="27" t="s">
        <v>127</v>
      </c>
      <c r="E513" s="27" t="s">
        <v>117</v>
      </c>
      <c r="F513" s="29" t="s">
        <v>1587</v>
      </c>
      <c r="G513" s="27" t="s">
        <v>169</v>
      </c>
      <c r="H513" s="30" t="n">
        <v>250</v>
      </c>
      <c r="I513" s="27" t="s">
        <v>254</v>
      </c>
      <c r="J513" s="29" t="s">
        <v>170</v>
      </c>
      <c r="K513" s="29" t="s">
        <v>106</v>
      </c>
      <c r="L513" s="31" t="s">
        <v>107</v>
      </c>
    </row>
    <row r="514" customFormat="false" ht="15" hidden="false" customHeight="false" outlineLevel="0" collapsed="false">
      <c r="A514" s="21" t="s">
        <v>1590</v>
      </c>
      <c r="B514" s="5" t="s">
        <v>1591</v>
      </c>
      <c r="C514" s="33" t="n">
        <v>2.3</v>
      </c>
      <c r="D514" s="5" t="s">
        <v>127</v>
      </c>
      <c r="E514" s="5" t="s">
        <v>117</v>
      </c>
      <c r="F514" s="23" t="s">
        <v>487</v>
      </c>
      <c r="G514" s="5" t="s">
        <v>169</v>
      </c>
      <c r="H514" s="24" t="n">
        <v>250</v>
      </c>
      <c r="I514" s="5" t="s">
        <v>254</v>
      </c>
      <c r="J514" s="23" t="s">
        <v>170</v>
      </c>
      <c r="K514" s="23" t="s">
        <v>106</v>
      </c>
      <c r="L514" s="25" t="s">
        <v>107</v>
      </c>
    </row>
    <row r="515" customFormat="false" ht="15" hidden="false" customHeight="false" outlineLevel="0" collapsed="false">
      <c r="A515" s="26" t="s">
        <v>1592</v>
      </c>
      <c r="B515" s="27" t="s">
        <v>1593</v>
      </c>
      <c r="C515" s="28" t="n">
        <v>1.5</v>
      </c>
      <c r="D515" s="27" t="s">
        <v>127</v>
      </c>
      <c r="E515" s="27" t="s">
        <v>117</v>
      </c>
      <c r="F515" s="29" t="s">
        <v>406</v>
      </c>
      <c r="G515" s="27" t="s">
        <v>169</v>
      </c>
      <c r="H515" s="30" t="n">
        <v>250</v>
      </c>
      <c r="I515" s="27" t="s">
        <v>254</v>
      </c>
      <c r="J515" s="29" t="s">
        <v>170</v>
      </c>
      <c r="K515" s="29" t="s">
        <v>106</v>
      </c>
      <c r="L515" s="31" t="s">
        <v>107</v>
      </c>
    </row>
    <row r="516" customFormat="false" ht="15" hidden="false" customHeight="false" outlineLevel="0" collapsed="false">
      <c r="A516" s="21" t="s">
        <v>1594</v>
      </c>
      <c r="B516" s="5" t="s">
        <v>1595</v>
      </c>
      <c r="C516" s="33" t="n">
        <v>0.4</v>
      </c>
      <c r="D516" s="5" t="s">
        <v>127</v>
      </c>
      <c r="E516" s="5" t="s">
        <v>117</v>
      </c>
      <c r="F516" s="23" t="s">
        <v>1587</v>
      </c>
      <c r="G516" s="5" t="s">
        <v>169</v>
      </c>
      <c r="H516" s="24" t="n">
        <v>250</v>
      </c>
      <c r="I516" s="5" t="s">
        <v>254</v>
      </c>
      <c r="J516" s="23" t="s">
        <v>170</v>
      </c>
      <c r="K516" s="23" t="s">
        <v>106</v>
      </c>
      <c r="L516" s="25" t="s">
        <v>107</v>
      </c>
    </row>
    <row r="517" customFormat="false" ht="15" hidden="false" customHeight="false" outlineLevel="0" collapsed="false">
      <c r="A517" s="26" t="s">
        <v>1596</v>
      </c>
      <c r="B517" s="27" t="s">
        <v>1597</v>
      </c>
      <c r="C517" s="28" t="n">
        <v>0.3</v>
      </c>
      <c r="D517" s="27" t="s">
        <v>127</v>
      </c>
      <c r="E517" s="27" t="s">
        <v>117</v>
      </c>
      <c r="F517" s="29" t="s">
        <v>409</v>
      </c>
      <c r="G517" s="27" t="s">
        <v>169</v>
      </c>
      <c r="H517" s="30" t="n">
        <v>250</v>
      </c>
      <c r="I517" s="27" t="s">
        <v>254</v>
      </c>
      <c r="J517" s="29" t="s">
        <v>170</v>
      </c>
      <c r="K517" s="29" t="s">
        <v>106</v>
      </c>
      <c r="L517" s="31" t="s">
        <v>107</v>
      </c>
    </row>
    <row r="518" customFormat="false" ht="15" hidden="false" customHeight="false" outlineLevel="0" collapsed="false">
      <c r="A518" s="21" t="s">
        <v>1598</v>
      </c>
      <c r="B518" s="5" t="s">
        <v>1599</v>
      </c>
      <c r="C518" s="33" t="n">
        <v>6.1</v>
      </c>
      <c r="D518" s="5" t="s">
        <v>127</v>
      </c>
      <c r="E518" s="5" t="s">
        <v>117</v>
      </c>
      <c r="F518" s="23" t="s">
        <v>1600</v>
      </c>
      <c r="G518" s="5" t="s">
        <v>169</v>
      </c>
      <c r="H518" s="24" t="n">
        <v>250</v>
      </c>
      <c r="I518" s="5" t="s">
        <v>254</v>
      </c>
      <c r="J518" s="23" t="s">
        <v>170</v>
      </c>
      <c r="K518" s="23" t="s">
        <v>106</v>
      </c>
      <c r="L518" s="25" t="s">
        <v>107</v>
      </c>
    </row>
    <row r="519" customFormat="false" ht="15" hidden="false" customHeight="false" outlineLevel="0" collapsed="false">
      <c r="A519" s="26" t="s">
        <v>1601</v>
      </c>
      <c r="B519" s="27" t="s">
        <v>1602</v>
      </c>
      <c r="C519" s="28" t="n">
        <v>5.1</v>
      </c>
      <c r="D519" s="27" t="s">
        <v>127</v>
      </c>
      <c r="E519" s="27" t="s">
        <v>117</v>
      </c>
      <c r="F519" s="29" t="s">
        <v>552</v>
      </c>
      <c r="G519" s="27" t="s">
        <v>169</v>
      </c>
      <c r="H519" s="30" t="n">
        <v>250</v>
      </c>
      <c r="I519" s="27" t="s">
        <v>254</v>
      </c>
      <c r="J519" s="29" t="s">
        <v>170</v>
      </c>
      <c r="K519" s="29" t="s">
        <v>106</v>
      </c>
      <c r="L519" s="31" t="s">
        <v>107</v>
      </c>
    </row>
    <row r="520" customFormat="false" ht="15" hidden="false" customHeight="false" outlineLevel="0" collapsed="false">
      <c r="A520" s="21" t="s">
        <v>1603</v>
      </c>
      <c r="B520" s="5" t="s">
        <v>1604</v>
      </c>
      <c r="C520" s="33" t="n">
        <v>0.6</v>
      </c>
      <c r="D520" s="5" t="s">
        <v>127</v>
      </c>
      <c r="E520" s="5" t="s">
        <v>117</v>
      </c>
      <c r="F520" s="23" t="s">
        <v>1605</v>
      </c>
      <c r="G520" s="5" t="s">
        <v>169</v>
      </c>
      <c r="H520" s="24" t="n">
        <v>250</v>
      </c>
      <c r="I520" s="5" t="s">
        <v>254</v>
      </c>
      <c r="J520" s="23" t="s">
        <v>170</v>
      </c>
      <c r="K520" s="23" t="s">
        <v>106</v>
      </c>
      <c r="L520" s="25" t="s">
        <v>107</v>
      </c>
    </row>
    <row r="521" customFormat="false" ht="15" hidden="false" customHeight="false" outlineLevel="0" collapsed="false">
      <c r="A521" s="26" t="s">
        <v>1606</v>
      </c>
      <c r="B521" s="27" t="s">
        <v>1607</v>
      </c>
      <c r="C521" s="28" t="n">
        <v>0.5</v>
      </c>
      <c r="D521" s="27" t="s">
        <v>127</v>
      </c>
      <c r="E521" s="27" t="s">
        <v>117</v>
      </c>
      <c r="F521" s="29" t="s">
        <v>112</v>
      </c>
      <c r="G521" s="27" t="s">
        <v>169</v>
      </c>
      <c r="H521" s="30" t="n">
        <v>250</v>
      </c>
      <c r="I521" s="27" t="s">
        <v>254</v>
      </c>
      <c r="J521" s="29" t="s">
        <v>170</v>
      </c>
      <c r="K521" s="29" t="s">
        <v>106</v>
      </c>
      <c r="L521" s="31" t="s">
        <v>107</v>
      </c>
    </row>
    <row r="522" customFormat="false" ht="15" hidden="false" customHeight="false" outlineLevel="0" collapsed="false">
      <c r="A522" s="21" t="s">
        <v>1608</v>
      </c>
      <c r="B522" s="5" t="s">
        <v>1609</v>
      </c>
      <c r="C522" s="33" t="n">
        <v>3.5</v>
      </c>
      <c r="D522" s="5" t="s">
        <v>127</v>
      </c>
      <c r="E522" s="5" t="s">
        <v>117</v>
      </c>
      <c r="F522" s="23" t="s">
        <v>1610</v>
      </c>
      <c r="G522" s="5" t="s">
        <v>169</v>
      </c>
      <c r="H522" s="24" t="n">
        <v>250</v>
      </c>
      <c r="I522" s="5" t="s">
        <v>254</v>
      </c>
      <c r="J522" s="23" t="s">
        <v>170</v>
      </c>
      <c r="K522" s="23" t="s">
        <v>106</v>
      </c>
      <c r="L522" s="25" t="s">
        <v>107</v>
      </c>
    </row>
    <row r="523" customFormat="false" ht="15" hidden="false" customHeight="false" outlineLevel="0" collapsed="false">
      <c r="A523" s="26" t="s">
        <v>1611</v>
      </c>
      <c r="B523" s="27" t="s">
        <v>1612</v>
      </c>
      <c r="C523" s="28" t="n">
        <v>2.8</v>
      </c>
      <c r="D523" s="27" t="s">
        <v>127</v>
      </c>
      <c r="E523" s="27" t="s">
        <v>117</v>
      </c>
      <c r="F523" s="29" t="s">
        <v>555</v>
      </c>
      <c r="G523" s="27" t="s">
        <v>169</v>
      </c>
      <c r="H523" s="30" t="n">
        <v>250</v>
      </c>
      <c r="I523" s="27" t="s">
        <v>254</v>
      </c>
      <c r="J523" s="29" t="s">
        <v>170</v>
      </c>
      <c r="K523" s="29" t="s">
        <v>106</v>
      </c>
      <c r="L523" s="31" t="s">
        <v>107</v>
      </c>
    </row>
    <row r="524" customFormat="false" ht="15" hidden="false" customHeight="false" outlineLevel="0" collapsed="false">
      <c r="A524" s="21" t="s">
        <v>1613</v>
      </c>
      <c r="B524" s="5" t="s">
        <v>1614</v>
      </c>
      <c r="C524" s="33" t="n">
        <v>0.2</v>
      </c>
      <c r="D524" s="5" t="s">
        <v>127</v>
      </c>
      <c r="E524" s="5" t="s">
        <v>117</v>
      </c>
      <c r="F524" s="23" t="s">
        <v>1615</v>
      </c>
      <c r="G524" s="5" t="s">
        <v>169</v>
      </c>
      <c r="H524" s="24" t="n">
        <v>250</v>
      </c>
      <c r="I524" s="5" t="s">
        <v>254</v>
      </c>
      <c r="J524" s="23" t="s">
        <v>170</v>
      </c>
      <c r="K524" s="23" t="s">
        <v>106</v>
      </c>
      <c r="L524" s="25" t="s">
        <v>107</v>
      </c>
    </row>
    <row r="525" customFormat="false" ht="15" hidden="false" customHeight="false" outlineLevel="0" collapsed="false">
      <c r="A525" s="26" t="s">
        <v>1616</v>
      </c>
      <c r="B525" s="27" t="s">
        <v>1617</v>
      </c>
      <c r="C525" s="28" t="n">
        <v>0.1</v>
      </c>
      <c r="D525" s="27" t="s">
        <v>127</v>
      </c>
      <c r="E525" s="27" t="s">
        <v>117</v>
      </c>
      <c r="F525" s="29" t="s">
        <v>212</v>
      </c>
      <c r="G525" s="27" t="s">
        <v>169</v>
      </c>
      <c r="H525" s="30" t="n">
        <v>250</v>
      </c>
      <c r="I525" s="27" t="s">
        <v>254</v>
      </c>
      <c r="J525" s="29" t="s">
        <v>170</v>
      </c>
      <c r="K525" s="29" t="s">
        <v>106</v>
      </c>
      <c r="L525" s="31" t="s">
        <v>107</v>
      </c>
    </row>
    <row r="526" customFormat="false" ht="15" hidden="false" customHeight="false" outlineLevel="0" collapsed="false">
      <c r="A526" s="21" t="s">
        <v>1618</v>
      </c>
      <c r="B526" s="5" t="s">
        <v>1619</v>
      </c>
      <c r="C526" s="33" t="n">
        <v>0.4</v>
      </c>
      <c r="D526" s="5" t="s">
        <v>127</v>
      </c>
      <c r="E526" s="5" t="s">
        <v>117</v>
      </c>
      <c r="F526" s="23" t="s">
        <v>1587</v>
      </c>
      <c r="G526" s="5" t="s">
        <v>169</v>
      </c>
      <c r="H526" s="24" t="n">
        <v>250</v>
      </c>
      <c r="I526" s="5" t="s">
        <v>254</v>
      </c>
      <c r="J526" s="23" t="s">
        <v>170</v>
      </c>
      <c r="K526" s="23" t="s">
        <v>106</v>
      </c>
      <c r="L526" s="25" t="s">
        <v>107</v>
      </c>
    </row>
    <row r="527" customFormat="false" ht="15" hidden="false" customHeight="false" outlineLevel="0" collapsed="false">
      <c r="A527" s="26" t="s">
        <v>1620</v>
      </c>
      <c r="B527" s="27" t="s">
        <v>1621</v>
      </c>
      <c r="C527" s="28" t="n">
        <v>0.3</v>
      </c>
      <c r="D527" s="27" t="s">
        <v>127</v>
      </c>
      <c r="E527" s="27" t="s">
        <v>117</v>
      </c>
      <c r="F527" s="29" t="s">
        <v>409</v>
      </c>
      <c r="G527" s="27" t="s">
        <v>169</v>
      </c>
      <c r="H527" s="30" t="n">
        <v>250</v>
      </c>
      <c r="I527" s="27" t="s">
        <v>254</v>
      </c>
      <c r="J527" s="29" t="s">
        <v>170</v>
      </c>
      <c r="K527" s="29" t="s">
        <v>106</v>
      </c>
      <c r="L527" s="31" t="s">
        <v>107</v>
      </c>
    </row>
    <row r="528" customFormat="false" ht="15" hidden="false" customHeight="false" outlineLevel="0" collapsed="false">
      <c r="A528" s="21" t="s">
        <v>1622</v>
      </c>
      <c r="B528" s="5" t="s">
        <v>1623</v>
      </c>
      <c r="C528" s="33" t="n">
        <v>0.1</v>
      </c>
      <c r="D528" s="5" t="s">
        <v>127</v>
      </c>
      <c r="E528" s="5" t="s">
        <v>117</v>
      </c>
      <c r="F528" s="23" t="s">
        <v>212</v>
      </c>
      <c r="G528" s="5" t="s">
        <v>169</v>
      </c>
      <c r="H528" s="24" t="n">
        <v>250</v>
      </c>
      <c r="I528" s="5" t="s">
        <v>254</v>
      </c>
      <c r="J528" s="23" t="s">
        <v>170</v>
      </c>
      <c r="K528" s="23" t="s">
        <v>106</v>
      </c>
      <c r="L528" s="25" t="s">
        <v>107</v>
      </c>
    </row>
    <row r="529" customFormat="false" ht="15" hidden="false" customHeight="false" outlineLevel="0" collapsed="false">
      <c r="A529" s="26" t="s">
        <v>1624</v>
      </c>
      <c r="B529" s="27" t="s">
        <v>1625</v>
      </c>
      <c r="C529" s="32" t="n">
        <v>0</v>
      </c>
      <c r="D529" s="27" t="s">
        <v>127</v>
      </c>
      <c r="E529" s="27" t="s">
        <v>117</v>
      </c>
      <c r="F529" s="29" t="s">
        <v>1626</v>
      </c>
      <c r="G529" s="27" t="s">
        <v>169</v>
      </c>
      <c r="H529" s="30" t="n">
        <v>250</v>
      </c>
      <c r="I529" s="27" t="s">
        <v>254</v>
      </c>
      <c r="J529" s="29" t="s">
        <v>170</v>
      </c>
      <c r="K529" s="29" t="s">
        <v>106</v>
      </c>
      <c r="L529" s="31" t="s">
        <v>107</v>
      </c>
    </row>
    <row r="530" customFormat="false" ht="15" hidden="false" customHeight="false" outlineLevel="0" collapsed="false">
      <c r="A530" s="21" t="s">
        <v>1627</v>
      </c>
      <c r="B530" s="5" t="s">
        <v>1628</v>
      </c>
      <c r="C530" s="33" t="n">
        <v>2.2</v>
      </c>
      <c r="D530" s="5" t="s">
        <v>266</v>
      </c>
      <c r="E530" s="5" t="s">
        <v>1629</v>
      </c>
      <c r="F530" s="23" t="s">
        <v>1630</v>
      </c>
      <c r="G530" s="5" t="s">
        <v>1631</v>
      </c>
      <c r="H530" s="24" t="n">
        <v>1</v>
      </c>
      <c r="I530" s="5" t="s">
        <v>270</v>
      </c>
      <c r="J530" s="23" t="s">
        <v>1632</v>
      </c>
      <c r="K530" s="23" t="s">
        <v>1486</v>
      </c>
      <c r="L530" s="25" t="s">
        <v>107</v>
      </c>
    </row>
    <row r="531" customFormat="false" ht="15" hidden="false" customHeight="false" outlineLevel="0" collapsed="false">
      <c r="A531" s="26" t="s">
        <v>1633</v>
      </c>
      <c r="B531" s="27" t="s">
        <v>1634</v>
      </c>
      <c r="C531" s="32" t="n">
        <v>48</v>
      </c>
      <c r="D531" s="27" t="s">
        <v>1492</v>
      </c>
      <c r="E531" s="27" t="s">
        <v>1629</v>
      </c>
      <c r="F531" s="29" t="s">
        <v>1635</v>
      </c>
      <c r="G531" s="27" t="s">
        <v>1631</v>
      </c>
      <c r="H531" s="30" t="n">
        <v>1</v>
      </c>
      <c r="I531" s="27" t="s">
        <v>270</v>
      </c>
      <c r="J531" s="29" t="s">
        <v>1632</v>
      </c>
      <c r="K531" s="29" t="s">
        <v>1486</v>
      </c>
      <c r="L531" s="31" t="s">
        <v>107</v>
      </c>
    </row>
    <row r="532" customFormat="false" ht="15" hidden="false" customHeight="false" outlineLevel="0" collapsed="false">
      <c r="A532" s="21" t="s">
        <v>1636</v>
      </c>
      <c r="B532" s="5" t="s">
        <v>1637</v>
      </c>
      <c r="C532" s="22" t="n">
        <v>156</v>
      </c>
      <c r="D532" s="5" t="s">
        <v>246</v>
      </c>
      <c r="E532" s="5" t="s">
        <v>1638</v>
      </c>
      <c r="F532" s="23" t="s">
        <v>1639</v>
      </c>
      <c r="G532" s="5" t="s">
        <v>1631</v>
      </c>
      <c r="H532" s="24" t="n">
        <v>1</v>
      </c>
      <c r="I532" s="5" t="s">
        <v>270</v>
      </c>
      <c r="J532" s="23" t="s">
        <v>1632</v>
      </c>
      <c r="K532" s="23" t="s">
        <v>1486</v>
      </c>
      <c r="L532" s="25" t="s">
        <v>107</v>
      </c>
    </row>
    <row r="533" customFormat="false" ht="15" hidden="false" customHeight="false" outlineLevel="0" collapsed="false">
      <c r="A533" s="26" t="s">
        <v>1640</v>
      </c>
      <c r="B533" s="27" t="s">
        <v>1641</v>
      </c>
      <c r="C533" s="32" t="n">
        <v>968</v>
      </c>
      <c r="D533" s="27" t="s">
        <v>246</v>
      </c>
      <c r="E533" s="27" t="s">
        <v>1638</v>
      </c>
      <c r="F533" s="29" t="s">
        <v>1642</v>
      </c>
      <c r="G533" s="27" t="s">
        <v>1631</v>
      </c>
      <c r="H533" s="30" t="n">
        <v>1</v>
      </c>
      <c r="I533" s="27" t="s">
        <v>270</v>
      </c>
      <c r="J533" s="29" t="s">
        <v>1632</v>
      </c>
      <c r="K533" s="29" t="s">
        <v>1486</v>
      </c>
      <c r="L533" s="31" t="s">
        <v>107</v>
      </c>
    </row>
    <row r="534" customFormat="false" ht="15" hidden="false" customHeight="false" outlineLevel="0" collapsed="false">
      <c r="A534" s="21" t="s">
        <v>1643</v>
      </c>
      <c r="B534" s="5" t="s">
        <v>1644</v>
      </c>
      <c r="C534" s="22" t="n">
        <v>40</v>
      </c>
      <c r="D534" s="5" t="s">
        <v>246</v>
      </c>
      <c r="E534" s="5" t="s">
        <v>1645</v>
      </c>
      <c r="F534" s="23" t="s">
        <v>1646</v>
      </c>
      <c r="G534" s="5" t="s">
        <v>1631</v>
      </c>
      <c r="H534" s="24" t="n">
        <v>1</v>
      </c>
      <c r="I534" s="5" t="s">
        <v>270</v>
      </c>
      <c r="J534" s="23" t="s">
        <v>1632</v>
      </c>
      <c r="K534" s="23" t="s">
        <v>1486</v>
      </c>
      <c r="L534" s="25" t="s">
        <v>107</v>
      </c>
    </row>
    <row r="535" customFormat="false" ht="15" hidden="false" customHeight="false" outlineLevel="0" collapsed="false">
      <c r="A535" s="26" t="s">
        <v>1647</v>
      </c>
      <c r="B535" s="27" t="s">
        <v>1648</v>
      </c>
      <c r="C535" s="35" t="s">
        <v>1649</v>
      </c>
      <c r="D535" s="27"/>
      <c r="E535" s="27" t="s">
        <v>1650</v>
      </c>
      <c r="F535" s="29" t="s">
        <v>1649</v>
      </c>
      <c r="G535" s="27" t="s">
        <v>519</v>
      </c>
      <c r="H535" s="30" t="n">
        <v>11</v>
      </c>
      <c r="I535" s="27" t="s">
        <v>104</v>
      </c>
      <c r="J535" s="29" t="s">
        <v>520</v>
      </c>
      <c r="K535" s="29" t="s">
        <v>521</v>
      </c>
      <c r="L535" s="31" t="s">
        <v>107</v>
      </c>
    </row>
    <row r="536" customFormat="false" ht="15" hidden="false" customHeight="false" outlineLevel="0" collapsed="false">
      <c r="A536" s="21" t="s">
        <v>1651</v>
      </c>
      <c r="B536" s="5" t="s">
        <v>1652</v>
      </c>
      <c r="C536" s="22" t="n">
        <v>1415</v>
      </c>
      <c r="D536" s="5" t="s">
        <v>100</v>
      </c>
      <c r="E536" s="5" t="s">
        <v>1653</v>
      </c>
      <c r="F536" s="23" t="s">
        <v>1654</v>
      </c>
      <c r="G536" s="5" t="s">
        <v>519</v>
      </c>
      <c r="H536" s="24" t="n">
        <v>11</v>
      </c>
      <c r="I536" s="5" t="s">
        <v>104</v>
      </c>
      <c r="J536" s="23" t="s">
        <v>520</v>
      </c>
      <c r="K536" s="23" t="s">
        <v>521</v>
      </c>
      <c r="L536" s="25" t="s">
        <v>107</v>
      </c>
    </row>
    <row r="537" customFormat="false" ht="15" hidden="false" customHeight="false" outlineLevel="0" collapsed="false">
      <c r="A537" s="26" t="s">
        <v>1655</v>
      </c>
      <c r="B537" s="27" t="s">
        <v>1656</v>
      </c>
      <c r="C537" s="28" t="n">
        <v>20.3</v>
      </c>
      <c r="D537" s="27" t="s">
        <v>296</v>
      </c>
      <c r="E537" s="27" t="s">
        <v>1653</v>
      </c>
      <c r="F537" s="29" t="s">
        <v>518</v>
      </c>
      <c r="G537" s="27" t="s">
        <v>519</v>
      </c>
      <c r="H537" s="30" t="n">
        <v>11</v>
      </c>
      <c r="I537" s="27" t="s">
        <v>104</v>
      </c>
      <c r="J537" s="29" t="s">
        <v>520</v>
      </c>
      <c r="K537" s="29" t="s">
        <v>521</v>
      </c>
      <c r="L537" s="31" t="s">
        <v>107</v>
      </c>
    </row>
    <row r="538" customFormat="false" ht="15" hidden="false" customHeight="false" outlineLevel="0" collapsed="false">
      <c r="A538" s="21" t="s">
        <v>1657</v>
      </c>
      <c r="B538" s="5" t="s">
        <v>1658</v>
      </c>
      <c r="C538" s="33" t="n">
        <v>17.5</v>
      </c>
      <c r="D538" s="5" t="s">
        <v>296</v>
      </c>
      <c r="E538" s="5" t="s">
        <v>1653</v>
      </c>
      <c r="F538" s="23" t="s">
        <v>1659</v>
      </c>
      <c r="G538" s="5" t="s">
        <v>519</v>
      </c>
      <c r="H538" s="24" t="n">
        <v>11</v>
      </c>
      <c r="I538" s="5" t="s">
        <v>104</v>
      </c>
      <c r="J538" s="23" t="s">
        <v>520</v>
      </c>
      <c r="K538" s="23" t="s">
        <v>521</v>
      </c>
      <c r="L538" s="25" t="s">
        <v>107</v>
      </c>
    </row>
    <row r="539" customFormat="false" ht="15" hidden="false" customHeight="false" outlineLevel="0" collapsed="false">
      <c r="A539" s="26" t="s">
        <v>1660</v>
      </c>
      <c r="B539" s="27" t="s">
        <v>1661</v>
      </c>
      <c r="C539" s="28" t="n">
        <v>4.2</v>
      </c>
      <c r="D539" s="27" t="s">
        <v>130</v>
      </c>
      <c r="E539" s="27" t="s">
        <v>1653</v>
      </c>
      <c r="F539" s="29" t="s">
        <v>560</v>
      </c>
      <c r="G539" s="27" t="s">
        <v>519</v>
      </c>
      <c r="H539" s="30" t="n">
        <v>11</v>
      </c>
      <c r="I539" s="27" t="s">
        <v>104</v>
      </c>
      <c r="J539" s="29" t="s">
        <v>520</v>
      </c>
      <c r="K539" s="29" t="s">
        <v>521</v>
      </c>
      <c r="L539" s="31" t="s">
        <v>107</v>
      </c>
    </row>
    <row r="540" customFormat="false" ht="15" hidden="false" customHeight="false" outlineLevel="0" collapsed="false">
      <c r="A540" s="21" t="s">
        <v>1662</v>
      </c>
      <c r="B540" s="5" t="s">
        <v>1663</v>
      </c>
      <c r="C540" s="34" t="s">
        <v>1649</v>
      </c>
      <c r="D540" s="5"/>
      <c r="E540" s="5" t="s">
        <v>1650</v>
      </c>
      <c r="F540" s="23" t="s">
        <v>1649</v>
      </c>
      <c r="G540" s="5" t="s">
        <v>519</v>
      </c>
      <c r="H540" s="24" t="n">
        <v>11</v>
      </c>
      <c r="I540" s="5" t="s">
        <v>104</v>
      </c>
      <c r="J540" s="23" t="s">
        <v>520</v>
      </c>
      <c r="K540" s="23" t="s">
        <v>521</v>
      </c>
      <c r="L540" s="25" t="s">
        <v>107</v>
      </c>
    </row>
    <row r="541" customFormat="false" ht="15" hidden="false" customHeight="false" outlineLevel="0" collapsed="false">
      <c r="A541" s="26" t="s">
        <v>1664</v>
      </c>
      <c r="B541" s="27" t="s">
        <v>1665</v>
      </c>
      <c r="C541" s="32" t="n">
        <v>1476</v>
      </c>
      <c r="D541" s="27" t="s">
        <v>100</v>
      </c>
      <c r="E541" s="27" t="s">
        <v>1653</v>
      </c>
      <c r="F541" s="29" t="s">
        <v>1666</v>
      </c>
      <c r="G541" s="27" t="s">
        <v>519</v>
      </c>
      <c r="H541" s="30" t="n">
        <v>11</v>
      </c>
      <c r="I541" s="27" t="s">
        <v>104</v>
      </c>
      <c r="J541" s="29" t="s">
        <v>520</v>
      </c>
      <c r="K541" s="29" t="s">
        <v>521</v>
      </c>
      <c r="L541" s="31" t="s">
        <v>107</v>
      </c>
    </row>
    <row r="542" customFormat="false" ht="15" hidden="false" customHeight="false" outlineLevel="0" collapsed="false">
      <c r="A542" s="21" t="s">
        <v>1667</v>
      </c>
      <c r="B542" s="5" t="s">
        <v>1668</v>
      </c>
      <c r="C542" s="33" t="n">
        <v>23.3</v>
      </c>
      <c r="D542" s="5" t="s">
        <v>296</v>
      </c>
      <c r="E542" s="5" t="s">
        <v>1653</v>
      </c>
      <c r="F542" s="23" t="s">
        <v>1669</v>
      </c>
      <c r="G542" s="5" t="s">
        <v>519</v>
      </c>
      <c r="H542" s="24" t="n">
        <v>11</v>
      </c>
      <c r="I542" s="5" t="s">
        <v>104</v>
      </c>
      <c r="J542" s="23" t="s">
        <v>520</v>
      </c>
      <c r="K542" s="23" t="s">
        <v>521</v>
      </c>
      <c r="L542" s="25" t="s">
        <v>107</v>
      </c>
    </row>
    <row r="543" customFormat="false" ht="15" hidden="false" customHeight="false" outlineLevel="0" collapsed="false">
      <c r="A543" s="26" t="s">
        <v>1670</v>
      </c>
      <c r="B543" s="27" t="s">
        <v>1671</v>
      </c>
      <c r="C543" s="28" t="n">
        <v>16.9</v>
      </c>
      <c r="D543" s="27" t="s">
        <v>296</v>
      </c>
      <c r="E543" s="27" t="s">
        <v>1653</v>
      </c>
      <c r="F543" s="29" t="s">
        <v>1672</v>
      </c>
      <c r="G543" s="27" t="s">
        <v>519</v>
      </c>
      <c r="H543" s="30" t="n">
        <v>11</v>
      </c>
      <c r="I543" s="27" t="s">
        <v>104</v>
      </c>
      <c r="J543" s="29" t="s">
        <v>520</v>
      </c>
      <c r="K543" s="29" t="s">
        <v>521</v>
      </c>
      <c r="L543" s="31" t="s">
        <v>107</v>
      </c>
    </row>
    <row r="544" customFormat="false" ht="15" hidden="false" customHeight="false" outlineLevel="0" collapsed="false">
      <c r="A544" s="21" t="s">
        <v>1673</v>
      </c>
      <c r="B544" s="5" t="s">
        <v>1674</v>
      </c>
      <c r="C544" s="33" t="n">
        <v>3.8</v>
      </c>
      <c r="D544" s="5" t="s">
        <v>130</v>
      </c>
      <c r="E544" s="5" t="s">
        <v>1653</v>
      </c>
      <c r="F544" s="23" t="s">
        <v>1675</v>
      </c>
      <c r="G544" s="5" t="s">
        <v>519</v>
      </c>
      <c r="H544" s="24" t="n">
        <v>11</v>
      </c>
      <c r="I544" s="5" t="s">
        <v>104</v>
      </c>
      <c r="J544" s="23" t="s">
        <v>520</v>
      </c>
      <c r="K544" s="23" t="s">
        <v>521</v>
      </c>
      <c r="L544" s="25" t="s">
        <v>107</v>
      </c>
    </row>
    <row r="545" customFormat="false" ht="15" hidden="false" customHeight="false" outlineLevel="0" collapsed="false">
      <c r="A545" s="26" t="s">
        <v>1676</v>
      </c>
      <c r="B545" s="27" t="s">
        <v>1677</v>
      </c>
      <c r="C545" s="35" t="s">
        <v>1678</v>
      </c>
      <c r="D545" s="27"/>
      <c r="E545" s="27" t="s">
        <v>1650</v>
      </c>
      <c r="F545" s="29" t="s">
        <v>1678</v>
      </c>
      <c r="G545" s="27" t="s">
        <v>519</v>
      </c>
      <c r="H545" s="30" t="n">
        <v>11</v>
      </c>
      <c r="I545" s="27" t="s">
        <v>104</v>
      </c>
      <c r="J545" s="29" t="s">
        <v>520</v>
      </c>
      <c r="K545" s="29" t="s">
        <v>521</v>
      </c>
      <c r="L545" s="31" t="s">
        <v>107</v>
      </c>
    </row>
    <row r="546" customFormat="false" ht="15" hidden="false" customHeight="false" outlineLevel="0" collapsed="false">
      <c r="A546" s="21" t="s">
        <v>1679</v>
      </c>
      <c r="B546" s="5" t="s">
        <v>1680</v>
      </c>
      <c r="C546" s="22" t="n">
        <v>1088</v>
      </c>
      <c r="D546" s="5" t="s">
        <v>100</v>
      </c>
      <c r="E546" s="5" t="s">
        <v>1653</v>
      </c>
      <c r="F546" s="23" t="s">
        <v>1681</v>
      </c>
      <c r="G546" s="5" t="s">
        <v>519</v>
      </c>
      <c r="H546" s="24" t="n">
        <v>11</v>
      </c>
      <c r="I546" s="5" t="s">
        <v>104</v>
      </c>
      <c r="J546" s="23" t="s">
        <v>520</v>
      </c>
      <c r="K546" s="23" t="s">
        <v>521</v>
      </c>
      <c r="L546" s="25" t="s">
        <v>107</v>
      </c>
    </row>
    <row r="547" customFormat="false" ht="15" hidden="false" customHeight="false" outlineLevel="0" collapsed="false">
      <c r="A547" s="26" t="s">
        <v>1682</v>
      </c>
      <c r="B547" s="27" t="s">
        <v>1683</v>
      </c>
      <c r="C547" s="28" t="n">
        <v>11.4</v>
      </c>
      <c r="D547" s="27" t="s">
        <v>296</v>
      </c>
      <c r="E547" s="27" t="s">
        <v>1653</v>
      </c>
      <c r="F547" s="29" t="s">
        <v>1571</v>
      </c>
      <c r="G547" s="27" t="s">
        <v>519</v>
      </c>
      <c r="H547" s="30" t="n">
        <v>11</v>
      </c>
      <c r="I547" s="27" t="s">
        <v>104</v>
      </c>
      <c r="J547" s="29" t="s">
        <v>520</v>
      </c>
      <c r="K547" s="29" t="s">
        <v>521</v>
      </c>
      <c r="L547" s="31" t="s">
        <v>107</v>
      </c>
    </row>
    <row r="548" customFormat="false" ht="15" hidden="false" customHeight="false" outlineLevel="0" collapsed="false">
      <c r="A548" s="21" t="s">
        <v>1684</v>
      </c>
      <c r="B548" s="5" t="s">
        <v>1685</v>
      </c>
      <c r="C548" s="33" t="n">
        <v>10.3</v>
      </c>
      <c r="D548" s="5" t="s">
        <v>296</v>
      </c>
      <c r="E548" s="5" t="s">
        <v>1653</v>
      </c>
      <c r="F548" s="23" t="s">
        <v>1686</v>
      </c>
      <c r="G548" s="5" t="s">
        <v>519</v>
      </c>
      <c r="H548" s="24" t="n">
        <v>11</v>
      </c>
      <c r="I548" s="5" t="s">
        <v>104</v>
      </c>
      <c r="J548" s="23" t="s">
        <v>520</v>
      </c>
      <c r="K548" s="23" t="s">
        <v>521</v>
      </c>
      <c r="L548" s="25" t="s">
        <v>107</v>
      </c>
    </row>
    <row r="549" customFormat="false" ht="15" hidden="false" customHeight="false" outlineLevel="0" collapsed="false">
      <c r="A549" s="26" t="s">
        <v>1687</v>
      </c>
      <c r="B549" s="27" t="s">
        <v>1688</v>
      </c>
      <c r="C549" s="28" t="n">
        <v>6.8</v>
      </c>
      <c r="D549" s="27" t="s">
        <v>130</v>
      </c>
      <c r="E549" s="27" t="s">
        <v>1653</v>
      </c>
      <c r="F549" s="29" t="s">
        <v>1689</v>
      </c>
      <c r="G549" s="27" t="s">
        <v>519</v>
      </c>
      <c r="H549" s="30" t="n">
        <v>11</v>
      </c>
      <c r="I549" s="27" t="s">
        <v>104</v>
      </c>
      <c r="J549" s="29" t="s">
        <v>520</v>
      </c>
      <c r="K549" s="29" t="s">
        <v>521</v>
      </c>
      <c r="L549" s="31" t="s">
        <v>107</v>
      </c>
    </row>
    <row r="550" customFormat="false" ht="15" hidden="false" customHeight="false" outlineLevel="0" collapsed="false">
      <c r="A550" s="21" t="s">
        <v>1690</v>
      </c>
      <c r="B550" s="5" t="s">
        <v>1691</v>
      </c>
      <c r="C550" s="34" t="s">
        <v>1649</v>
      </c>
      <c r="D550" s="5"/>
      <c r="E550" s="5" t="s">
        <v>1650</v>
      </c>
      <c r="F550" s="23" t="s">
        <v>1649</v>
      </c>
      <c r="G550" s="5" t="s">
        <v>519</v>
      </c>
      <c r="H550" s="24" t="n">
        <v>11</v>
      </c>
      <c r="I550" s="5" t="s">
        <v>104</v>
      </c>
      <c r="J550" s="23" t="s">
        <v>520</v>
      </c>
      <c r="K550" s="23" t="s">
        <v>521</v>
      </c>
      <c r="L550" s="25" t="s">
        <v>107</v>
      </c>
    </row>
    <row r="551" customFormat="false" ht="15" hidden="false" customHeight="false" outlineLevel="0" collapsed="false">
      <c r="A551" s="26" t="s">
        <v>1692</v>
      </c>
      <c r="B551" s="27" t="s">
        <v>1693</v>
      </c>
      <c r="C551" s="32" t="n">
        <v>2824</v>
      </c>
      <c r="D551" s="27" t="s">
        <v>100</v>
      </c>
      <c r="E551" s="27" t="s">
        <v>117</v>
      </c>
      <c r="F551" s="29" t="s">
        <v>1694</v>
      </c>
      <c r="G551" s="27" t="s">
        <v>169</v>
      </c>
      <c r="H551" s="30" t="n">
        <v>418</v>
      </c>
      <c r="I551" s="27" t="s">
        <v>124</v>
      </c>
      <c r="J551" s="29" t="s">
        <v>170</v>
      </c>
      <c r="K551" s="29" t="s">
        <v>106</v>
      </c>
      <c r="L551" s="31" t="s">
        <v>107</v>
      </c>
    </row>
    <row r="552" customFormat="false" ht="15" hidden="false" customHeight="false" outlineLevel="0" collapsed="false">
      <c r="A552" s="21" t="s">
        <v>1695</v>
      </c>
      <c r="B552" s="5" t="s">
        <v>1696</v>
      </c>
      <c r="C552" s="22" t="n">
        <v>-2311</v>
      </c>
      <c r="D552" s="5" t="s">
        <v>100</v>
      </c>
      <c r="E552" s="5" t="s">
        <v>117</v>
      </c>
      <c r="F552" s="23" t="s">
        <v>1697</v>
      </c>
      <c r="G552" s="5" t="s">
        <v>169</v>
      </c>
      <c r="H552" s="24" t="n">
        <v>418</v>
      </c>
      <c r="I552" s="5" t="s">
        <v>124</v>
      </c>
      <c r="J552" s="23" t="s">
        <v>170</v>
      </c>
      <c r="K552" s="23" t="s">
        <v>106</v>
      </c>
      <c r="L552" s="25" t="s">
        <v>107</v>
      </c>
    </row>
    <row r="553" customFormat="false" ht="15" hidden="false" customHeight="false" outlineLevel="0" collapsed="false">
      <c r="A553" s="26" t="s">
        <v>1698</v>
      </c>
      <c r="B553" s="27" t="s">
        <v>1699</v>
      </c>
      <c r="C553" s="32" t="n">
        <v>273</v>
      </c>
      <c r="D553" s="27" t="s">
        <v>100</v>
      </c>
      <c r="E553" s="27" t="s">
        <v>117</v>
      </c>
      <c r="F553" s="29" t="s">
        <v>1700</v>
      </c>
      <c r="G553" s="27" t="s">
        <v>169</v>
      </c>
      <c r="H553" s="30" t="n">
        <v>418</v>
      </c>
      <c r="I553" s="27" t="s">
        <v>124</v>
      </c>
      <c r="J553" s="29" t="s">
        <v>170</v>
      </c>
      <c r="K553" s="29" t="s">
        <v>106</v>
      </c>
      <c r="L553" s="31" t="s">
        <v>107</v>
      </c>
    </row>
    <row r="554" customFormat="false" ht="15" hidden="false" customHeight="false" outlineLevel="0" collapsed="false">
      <c r="A554" s="21" t="s">
        <v>1701</v>
      </c>
      <c r="B554" s="5" t="s">
        <v>1702</v>
      </c>
      <c r="C554" s="22" t="n">
        <v>-223</v>
      </c>
      <c r="D554" s="5" t="s">
        <v>100</v>
      </c>
      <c r="E554" s="5" t="s">
        <v>117</v>
      </c>
      <c r="F554" s="23" t="s">
        <v>1703</v>
      </c>
      <c r="G554" s="5" t="s">
        <v>169</v>
      </c>
      <c r="H554" s="24" t="n">
        <v>418</v>
      </c>
      <c r="I554" s="5" t="s">
        <v>124</v>
      </c>
      <c r="J554" s="23" t="s">
        <v>170</v>
      </c>
      <c r="K554" s="23" t="s">
        <v>106</v>
      </c>
      <c r="L554" s="25" t="s">
        <v>107</v>
      </c>
    </row>
    <row r="555" customFormat="false" ht="15" hidden="false" customHeight="false" outlineLevel="0" collapsed="false">
      <c r="A555" s="26" t="s">
        <v>1704</v>
      </c>
      <c r="B555" s="27" t="s">
        <v>1705</v>
      </c>
      <c r="C555" s="32" t="n">
        <v>1643</v>
      </c>
      <c r="D555" s="27" t="s">
        <v>100</v>
      </c>
      <c r="E555" s="27" t="s">
        <v>137</v>
      </c>
      <c r="F555" s="29" t="s">
        <v>1706</v>
      </c>
      <c r="G555" s="27" t="s">
        <v>169</v>
      </c>
      <c r="H555" s="30" t="n">
        <v>418</v>
      </c>
      <c r="I555" s="27" t="s">
        <v>124</v>
      </c>
      <c r="J555" s="29" t="s">
        <v>170</v>
      </c>
      <c r="K555" s="29" t="s">
        <v>106</v>
      </c>
      <c r="L555" s="31" t="s">
        <v>107</v>
      </c>
    </row>
    <row r="556" customFormat="false" ht="15" hidden="false" customHeight="false" outlineLevel="0" collapsed="false">
      <c r="A556" s="21" t="s">
        <v>1707</v>
      </c>
      <c r="B556" s="5" t="s">
        <v>1708</v>
      </c>
      <c r="C556" s="22" t="n">
        <v>27</v>
      </c>
      <c r="D556" s="5" t="s">
        <v>100</v>
      </c>
      <c r="E556" s="5" t="s">
        <v>117</v>
      </c>
      <c r="F556" s="23" t="s">
        <v>1709</v>
      </c>
      <c r="G556" s="5" t="s">
        <v>169</v>
      </c>
      <c r="H556" s="24" t="n">
        <v>418</v>
      </c>
      <c r="I556" s="5" t="s">
        <v>124</v>
      </c>
      <c r="J556" s="23" t="s">
        <v>170</v>
      </c>
      <c r="K556" s="23" t="s">
        <v>106</v>
      </c>
      <c r="L556" s="25" t="s">
        <v>107</v>
      </c>
    </row>
    <row r="557" customFormat="false" ht="15" hidden="false" customHeight="false" outlineLevel="0" collapsed="false">
      <c r="A557" s="26" t="s">
        <v>1710</v>
      </c>
      <c r="B557" s="27" t="s">
        <v>1711</v>
      </c>
      <c r="C557" s="32" t="n">
        <v>57</v>
      </c>
      <c r="D557" s="27" t="s">
        <v>296</v>
      </c>
      <c r="E557" s="27" t="s">
        <v>117</v>
      </c>
      <c r="F557" s="29" t="s">
        <v>1712</v>
      </c>
      <c r="G557" s="27" t="s">
        <v>169</v>
      </c>
      <c r="H557" s="30" t="n">
        <v>418</v>
      </c>
      <c r="I557" s="27" t="s">
        <v>104</v>
      </c>
      <c r="J557" s="29" t="s">
        <v>170</v>
      </c>
      <c r="K557" s="29" t="s">
        <v>106</v>
      </c>
      <c r="L557" s="31" t="s">
        <v>107</v>
      </c>
    </row>
    <row r="558" customFormat="false" ht="15" hidden="false" customHeight="false" outlineLevel="0" collapsed="false">
      <c r="A558" s="21" t="s">
        <v>1713</v>
      </c>
      <c r="B558" s="5" t="s">
        <v>1714</v>
      </c>
      <c r="C558" s="22" t="n">
        <v>16</v>
      </c>
      <c r="D558" s="5" t="s">
        <v>296</v>
      </c>
      <c r="E558" s="5" t="s">
        <v>117</v>
      </c>
      <c r="F558" s="23" t="s">
        <v>1715</v>
      </c>
      <c r="G558" s="5" t="s">
        <v>169</v>
      </c>
      <c r="H558" s="24" t="n">
        <v>418</v>
      </c>
      <c r="I558" s="5" t="s">
        <v>104</v>
      </c>
      <c r="J558" s="23" t="s">
        <v>170</v>
      </c>
      <c r="K558" s="23" t="s">
        <v>106</v>
      </c>
      <c r="L558" s="25" t="s">
        <v>107</v>
      </c>
    </row>
    <row r="559" customFormat="false" ht="15" hidden="false" customHeight="false" outlineLevel="0" collapsed="false">
      <c r="A559" s="26" t="s">
        <v>1716</v>
      </c>
      <c r="B559" s="27" t="s">
        <v>1717</v>
      </c>
      <c r="C559" s="28" t="n">
        <v>56.1</v>
      </c>
      <c r="D559" s="27" t="s">
        <v>296</v>
      </c>
      <c r="E559" s="27" t="s">
        <v>137</v>
      </c>
      <c r="F559" s="29" t="s">
        <v>1718</v>
      </c>
      <c r="G559" s="27" t="s">
        <v>169</v>
      </c>
      <c r="H559" s="30" t="n">
        <v>416</v>
      </c>
      <c r="I559" s="27" t="s">
        <v>104</v>
      </c>
      <c r="J559" s="29" t="s">
        <v>170</v>
      </c>
      <c r="K559" s="29" t="s">
        <v>106</v>
      </c>
      <c r="L559" s="31" t="s">
        <v>107</v>
      </c>
    </row>
    <row r="560" customFormat="false" ht="15" hidden="false" customHeight="false" outlineLevel="0" collapsed="false">
      <c r="A560" s="21" t="s">
        <v>1719</v>
      </c>
      <c r="B560" s="5" t="s">
        <v>1720</v>
      </c>
      <c r="C560" s="33" t="n">
        <v>43.9</v>
      </c>
      <c r="D560" s="5" t="s">
        <v>296</v>
      </c>
      <c r="E560" s="5" t="s">
        <v>137</v>
      </c>
      <c r="F560" s="23" t="s">
        <v>1721</v>
      </c>
      <c r="G560" s="5" t="s">
        <v>169</v>
      </c>
      <c r="H560" s="24" t="n">
        <v>416</v>
      </c>
      <c r="I560" s="5" t="s">
        <v>104</v>
      </c>
      <c r="J560" s="23" t="s">
        <v>170</v>
      </c>
      <c r="K560" s="23" t="s">
        <v>106</v>
      </c>
      <c r="L560" s="25" t="s">
        <v>107</v>
      </c>
    </row>
    <row r="561" customFormat="false" ht="15" hidden="false" customHeight="false" outlineLevel="0" collapsed="false">
      <c r="A561" s="26" t="s">
        <v>1722</v>
      </c>
      <c r="B561" s="27" t="s">
        <v>1723</v>
      </c>
      <c r="C561" s="32" t="n">
        <v>-2992</v>
      </c>
      <c r="D561" s="27" t="s">
        <v>100</v>
      </c>
      <c r="E561" s="27" t="s">
        <v>137</v>
      </c>
      <c r="F561" s="29" t="s">
        <v>1724</v>
      </c>
      <c r="G561" s="27" t="s">
        <v>169</v>
      </c>
      <c r="H561" s="30" t="n">
        <v>416</v>
      </c>
      <c r="I561" s="27" t="s">
        <v>104</v>
      </c>
      <c r="J561" s="29" t="s">
        <v>170</v>
      </c>
      <c r="K561" s="29" t="s">
        <v>106</v>
      </c>
      <c r="L561" s="31" t="s">
        <v>107</v>
      </c>
    </row>
    <row r="562" customFormat="false" ht="15" hidden="false" customHeight="false" outlineLevel="0" collapsed="false">
      <c r="A562" s="21" t="s">
        <v>1725</v>
      </c>
      <c r="B562" s="5" t="s">
        <v>1726</v>
      </c>
      <c r="C562" s="22" t="n">
        <v>2455</v>
      </c>
      <c r="D562" s="5" t="s">
        <v>100</v>
      </c>
      <c r="E562" s="5" t="s">
        <v>137</v>
      </c>
      <c r="F562" s="23" t="s">
        <v>1727</v>
      </c>
      <c r="G562" s="5" t="s">
        <v>169</v>
      </c>
      <c r="H562" s="24" t="n">
        <v>409</v>
      </c>
      <c r="I562" s="5" t="s">
        <v>104</v>
      </c>
      <c r="J562" s="23" t="s">
        <v>170</v>
      </c>
      <c r="K562" s="23" t="s">
        <v>106</v>
      </c>
      <c r="L562" s="25" t="s">
        <v>107</v>
      </c>
    </row>
    <row r="563" customFormat="false" ht="15" hidden="false" customHeight="false" outlineLevel="0" collapsed="false">
      <c r="A563" s="26" t="s">
        <v>1728</v>
      </c>
      <c r="B563" s="27" t="s">
        <v>1729</v>
      </c>
      <c r="C563" s="32" t="n">
        <v>23041</v>
      </c>
      <c r="D563" s="27" t="s">
        <v>100</v>
      </c>
      <c r="E563" s="27" t="s">
        <v>137</v>
      </c>
      <c r="F563" s="29" t="s">
        <v>1730</v>
      </c>
      <c r="G563" s="27" t="s">
        <v>169</v>
      </c>
      <c r="H563" s="30" t="n">
        <v>409</v>
      </c>
      <c r="I563" s="27" t="s">
        <v>104</v>
      </c>
      <c r="J563" s="29" t="s">
        <v>170</v>
      </c>
      <c r="K563" s="29" t="s">
        <v>106</v>
      </c>
      <c r="L563" s="31" t="s">
        <v>107</v>
      </c>
    </row>
    <row r="564" customFormat="false" ht="15" hidden="false" customHeight="false" outlineLevel="0" collapsed="false">
      <c r="A564" s="21" t="s">
        <v>1731</v>
      </c>
      <c r="B564" s="5" t="s">
        <v>1732</v>
      </c>
      <c r="C564" s="22" t="n">
        <v>-190</v>
      </c>
      <c r="D564" s="5" t="s">
        <v>100</v>
      </c>
      <c r="E564" s="5" t="s">
        <v>117</v>
      </c>
      <c r="F564" s="23" t="s">
        <v>1733</v>
      </c>
      <c r="G564" s="5" t="s">
        <v>169</v>
      </c>
      <c r="H564" s="24" t="n">
        <v>406</v>
      </c>
      <c r="I564" s="5" t="s">
        <v>104</v>
      </c>
      <c r="J564" s="23" t="s">
        <v>170</v>
      </c>
      <c r="K564" s="23" t="s">
        <v>106</v>
      </c>
      <c r="L564" s="25" t="s">
        <v>107</v>
      </c>
    </row>
    <row r="565" customFormat="false" ht="15" hidden="false" customHeight="false" outlineLevel="0" collapsed="false">
      <c r="A565" s="26" t="s">
        <v>1734</v>
      </c>
      <c r="B565" s="27" t="s">
        <v>1735</v>
      </c>
      <c r="C565" s="32" t="n">
        <v>-30</v>
      </c>
      <c r="D565" s="27" t="s">
        <v>100</v>
      </c>
      <c r="E565" s="27" t="s">
        <v>117</v>
      </c>
      <c r="F565" s="29" t="s">
        <v>1736</v>
      </c>
      <c r="G565" s="27" t="s">
        <v>617</v>
      </c>
      <c r="H565" s="30" t="n">
        <v>17</v>
      </c>
      <c r="I565" s="27" t="s">
        <v>124</v>
      </c>
      <c r="J565" s="29" t="s">
        <v>618</v>
      </c>
      <c r="K565" s="29" t="s">
        <v>106</v>
      </c>
      <c r="L565" s="31" t="s">
        <v>107</v>
      </c>
    </row>
    <row r="566" customFormat="false" ht="15" hidden="false" customHeight="false" outlineLevel="0" collapsed="false">
      <c r="A566" s="21" t="s">
        <v>1737</v>
      </c>
      <c r="B566" s="5" t="s">
        <v>1738</v>
      </c>
      <c r="C566" s="22" t="n">
        <v>-60</v>
      </c>
      <c r="D566" s="5" t="s">
        <v>100</v>
      </c>
      <c r="E566" s="5" t="s">
        <v>101</v>
      </c>
      <c r="F566" s="23" t="s">
        <v>1739</v>
      </c>
      <c r="G566" s="5" t="s">
        <v>146</v>
      </c>
      <c r="H566" s="24" t="n">
        <v>22</v>
      </c>
      <c r="I566" s="5" t="s">
        <v>124</v>
      </c>
      <c r="J566" s="23" t="s">
        <v>147</v>
      </c>
      <c r="K566" s="23" t="s">
        <v>106</v>
      </c>
      <c r="L566" s="25" t="s">
        <v>107</v>
      </c>
    </row>
    <row r="567" customFormat="false" ht="15" hidden="false" customHeight="false" outlineLevel="0" collapsed="false">
      <c r="A567" s="26" t="s">
        <v>1740</v>
      </c>
      <c r="B567" s="27" t="s">
        <v>1741</v>
      </c>
      <c r="C567" s="28" t="n">
        <v>4.1</v>
      </c>
      <c r="D567" s="27" t="s">
        <v>127</v>
      </c>
      <c r="E567" s="27" t="s">
        <v>137</v>
      </c>
      <c r="F567" s="29" t="s">
        <v>145</v>
      </c>
      <c r="G567" s="27" t="s">
        <v>169</v>
      </c>
      <c r="H567" s="30" t="n">
        <v>429</v>
      </c>
      <c r="I567" s="27" t="s">
        <v>104</v>
      </c>
      <c r="J567" s="29" t="s">
        <v>170</v>
      </c>
      <c r="K567" s="29" t="s">
        <v>106</v>
      </c>
      <c r="L567" s="31" t="s">
        <v>107</v>
      </c>
    </row>
    <row r="568" customFormat="false" ht="15" hidden="false" customHeight="false" outlineLevel="0" collapsed="false">
      <c r="A568" s="21" t="s">
        <v>1742</v>
      </c>
      <c r="B568" s="5" t="s">
        <v>1743</v>
      </c>
      <c r="C568" s="22" t="n">
        <v>1150</v>
      </c>
      <c r="D568" s="5" t="s">
        <v>100</v>
      </c>
      <c r="E568" s="5" t="s">
        <v>137</v>
      </c>
      <c r="F568" s="23" t="s">
        <v>1744</v>
      </c>
      <c r="G568" s="5" t="s">
        <v>169</v>
      </c>
      <c r="H568" s="24" t="n">
        <v>429</v>
      </c>
      <c r="I568" s="5" t="s">
        <v>104</v>
      </c>
      <c r="J568" s="23" t="s">
        <v>170</v>
      </c>
      <c r="K568" s="23" t="s">
        <v>106</v>
      </c>
      <c r="L568" s="25" t="s">
        <v>107</v>
      </c>
    </row>
    <row r="569" customFormat="false" ht="15" hidden="false" customHeight="false" outlineLevel="0" collapsed="false">
      <c r="A569" s="26" t="s">
        <v>1745</v>
      </c>
      <c r="B569" s="27" t="s">
        <v>1746</v>
      </c>
      <c r="C569" s="28" t="n">
        <v>2.5</v>
      </c>
      <c r="D569" s="27" t="s">
        <v>296</v>
      </c>
      <c r="E569" s="27" t="s">
        <v>137</v>
      </c>
      <c r="F569" s="29" t="s">
        <v>1747</v>
      </c>
      <c r="G569" s="27" t="s">
        <v>169</v>
      </c>
      <c r="H569" s="30" t="n">
        <v>429</v>
      </c>
      <c r="I569" s="27" t="s">
        <v>104</v>
      </c>
      <c r="J569" s="29" t="s">
        <v>170</v>
      </c>
      <c r="K569" s="29" t="s">
        <v>106</v>
      </c>
      <c r="L569" s="31" t="s">
        <v>107</v>
      </c>
    </row>
    <row r="570" customFormat="false" ht="15" hidden="false" customHeight="false" outlineLevel="0" collapsed="false">
      <c r="A570" s="21" t="s">
        <v>1748</v>
      </c>
      <c r="B570" s="5" t="s">
        <v>1749</v>
      </c>
      <c r="C570" s="22" t="n">
        <v>500</v>
      </c>
      <c r="D570" s="5" t="s">
        <v>100</v>
      </c>
      <c r="E570" s="5" t="s">
        <v>137</v>
      </c>
      <c r="F570" s="23" t="s">
        <v>967</v>
      </c>
      <c r="G570" s="5" t="s">
        <v>169</v>
      </c>
      <c r="H570" s="24" t="n">
        <v>429</v>
      </c>
      <c r="I570" s="5" t="s">
        <v>104</v>
      </c>
      <c r="J570" s="23" t="s">
        <v>170</v>
      </c>
      <c r="K570" s="23" t="s">
        <v>106</v>
      </c>
      <c r="L570" s="25" t="s">
        <v>107</v>
      </c>
    </row>
    <row r="571" customFormat="false" ht="15" hidden="false" customHeight="false" outlineLevel="0" collapsed="false">
      <c r="A571" s="26" t="s">
        <v>1750</v>
      </c>
      <c r="B571" s="27" t="s">
        <v>1751</v>
      </c>
      <c r="C571" s="28" t="n">
        <v>1.625</v>
      </c>
      <c r="D571" s="27" t="s">
        <v>296</v>
      </c>
      <c r="E571" s="27" t="s">
        <v>137</v>
      </c>
      <c r="F571" s="29" t="s">
        <v>1752</v>
      </c>
      <c r="G571" s="27" t="s">
        <v>169</v>
      </c>
      <c r="H571" s="30" t="n">
        <v>429</v>
      </c>
      <c r="I571" s="27" t="s">
        <v>104</v>
      </c>
      <c r="J571" s="29" t="s">
        <v>170</v>
      </c>
      <c r="K571" s="29" t="s">
        <v>106</v>
      </c>
      <c r="L571" s="31" t="s">
        <v>107</v>
      </c>
    </row>
    <row r="572" customFormat="false" ht="15" hidden="false" customHeight="false" outlineLevel="0" collapsed="false">
      <c r="A572" s="21" t="s">
        <v>1753</v>
      </c>
      <c r="B572" s="5" t="s">
        <v>1754</v>
      </c>
      <c r="C572" s="22" t="n">
        <v>500</v>
      </c>
      <c r="D572" s="5" t="s">
        <v>100</v>
      </c>
      <c r="E572" s="5" t="s">
        <v>137</v>
      </c>
      <c r="F572" s="23" t="s">
        <v>967</v>
      </c>
      <c r="G572" s="5" t="s">
        <v>169</v>
      </c>
      <c r="H572" s="24" t="n">
        <v>429</v>
      </c>
      <c r="I572" s="5" t="s">
        <v>104</v>
      </c>
      <c r="J572" s="23" t="s">
        <v>170</v>
      </c>
      <c r="K572" s="23" t="s">
        <v>106</v>
      </c>
      <c r="L572" s="25" t="s">
        <v>107</v>
      </c>
    </row>
    <row r="573" customFormat="false" ht="15" hidden="false" customHeight="false" outlineLevel="0" collapsed="false">
      <c r="A573" s="26" t="s">
        <v>1755</v>
      </c>
      <c r="B573" s="27" t="s">
        <v>1756</v>
      </c>
      <c r="C573" s="32" t="n">
        <v>2</v>
      </c>
      <c r="D573" s="27" t="s">
        <v>296</v>
      </c>
      <c r="E573" s="27" t="s">
        <v>137</v>
      </c>
      <c r="F573" s="29" t="s">
        <v>197</v>
      </c>
      <c r="G573" s="27" t="s">
        <v>169</v>
      </c>
      <c r="H573" s="30" t="n">
        <v>429</v>
      </c>
      <c r="I573" s="27" t="s">
        <v>104</v>
      </c>
      <c r="J573" s="29" t="s">
        <v>170</v>
      </c>
      <c r="K573" s="29" t="s">
        <v>106</v>
      </c>
      <c r="L573" s="31" t="s">
        <v>107</v>
      </c>
    </row>
    <row r="574" customFormat="false" ht="15" hidden="false" customHeight="false" outlineLevel="0" collapsed="false">
      <c r="A574" s="21" t="s">
        <v>1757</v>
      </c>
      <c r="B574" s="5" t="s">
        <v>1758</v>
      </c>
      <c r="C574" s="22" t="n">
        <v>600</v>
      </c>
      <c r="D574" s="5" t="s">
        <v>100</v>
      </c>
      <c r="E574" s="5" t="s">
        <v>137</v>
      </c>
      <c r="F574" s="23" t="s">
        <v>1759</v>
      </c>
      <c r="G574" s="5" t="s">
        <v>169</v>
      </c>
      <c r="H574" s="24" t="n">
        <v>429</v>
      </c>
      <c r="I574" s="5" t="s">
        <v>104</v>
      </c>
      <c r="J574" s="23" t="s">
        <v>170</v>
      </c>
      <c r="K574" s="23" t="s">
        <v>106</v>
      </c>
      <c r="L574" s="25" t="s">
        <v>107</v>
      </c>
    </row>
    <row r="575" customFormat="false" ht="15" hidden="false" customHeight="false" outlineLevel="0" collapsed="false">
      <c r="A575" s="26" t="s">
        <v>1760</v>
      </c>
      <c r="B575" s="27" t="s">
        <v>1761</v>
      </c>
      <c r="C575" s="32" t="n">
        <v>6</v>
      </c>
      <c r="D575" s="27" t="s">
        <v>296</v>
      </c>
      <c r="E575" s="27" t="s">
        <v>137</v>
      </c>
      <c r="F575" s="29" t="s">
        <v>398</v>
      </c>
      <c r="G575" s="27" t="s">
        <v>169</v>
      </c>
      <c r="H575" s="30" t="n">
        <v>429</v>
      </c>
      <c r="I575" s="27" t="s">
        <v>104</v>
      </c>
      <c r="J575" s="29" t="s">
        <v>170</v>
      </c>
      <c r="K575" s="29" t="s">
        <v>106</v>
      </c>
      <c r="L575" s="31" t="s">
        <v>107</v>
      </c>
    </row>
    <row r="576" customFormat="false" ht="15" hidden="false" customHeight="false" outlineLevel="0" collapsed="false">
      <c r="A576" s="21" t="s">
        <v>1762</v>
      </c>
      <c r="B576" s="5" t="s">
        <v>1763</v>
      </c>
      <c r="C576" s="22" t="n">
        <v>500</v>
      </c>
      <c r="D576" s="5" t="s">
        <v>100</v>
      </c>
      <c r="E576" s="5" t="s">
        <v>137</v>
      </c>
      <c r="F576" s="23" t="s">
        <v>967</v>
      </c>
      <c r="G576" s="5" t="s">
        <v>169</v>
      </c>
      <c r="H576" s="24" t="n">
        <v>429</v>
      </c>
      <c r="I576" s="5" t="s">
        <v>104</v>
      </c>
      <c r="J576" s="23" t="s">
        <v>170</v>
      </c>
      <c r="K576" s="23" t="s">
        <v>106</v>
      </c>
      <c r="L576" s="25" t="s">
        <v>107</v>
      </c>
    </row>
    <row r="577" customFormat="false" ht="15" hidden="false" customHeight="false" outlineLevel="0" collapsed="false">
      <c r="A577" s="26" t="s">
        <v>1764</v>
      </c>
      <c r="B577" s="27" t="s">
        <v>1765</v>
      </c>
      <c r="C577" s="28" t="n">
        <v>4.371</v>
      </c>
      <c r="D577" s="27" t="s">
        <v>296</v>
      </c>
      <c r="E577" s="27" t="s">
        <v>137</v>
      </c>
      <c r="F577" s="29" t="s">
        <v>1766</v>
      </c>
      <c r="G577" s="27" t="s">
        <v>169</v>
      </c>
      <c r="H577" s="30" t="n">
        <v>429</v>
      </c>
      <c r="I577" s="27" t="s">
        <v>104</v>
      </c>
      <c r="J577" s="29" t="s">
        <v>170</v>
      </c>
      <c r="K577" s="29" t="s">
        <v>106</v>
      </c>
      <c r="L577" s="31" t="s">
        <v>107</v>
      </c>
    </row>
    <row r="578" customFormat="false" ht="15" hidden="false" customHeight="false" outlineLevel="0" collapsed="false">
      <c r="A578" s="21" t="s">
        <v>1767</v>
      </c>
      <c r="B578" s="5" t="s">
        <v>1768</v>
      </c>
      <c r="C578" s="22" t="n">
        <v>850</v>
      </c>
      <c r="D578" s="5" t="s">
        <v>100</v>
      </c>
      <c r="E578" s="5" t="s">
        <v>137</v>
      </c>
      <c r="F578" s="23" t="s">
        <v>935</v>
      </c>
      <c r="G578" s="5" t="s">
        <v>169</v>
      </c>
      <c r="H578" s="24" t="n">
        <v>429</v>
      </c>
      <c r="I578" s="5" t="s">
        <v>104</v>
      </c>
      <c r="J578" s="23" t="s">
        <v>170</v>
      </c>
      <c r="K578" s="23" t="s">
        <v>106</v>
      </c>
      <c r="L578" s="25" t="s">
        <v>107</v>
      </c>
    </row>
    <row r="579" customFormat="false" ht="15" hidden="false" customHeight="false" outlineLevel="0" collapsed="false">
      <c r="A579" s="26" t="s">
        <v>1769</v>
      </c>
      <c r="B579" s="27" t="s">
        <v>1770</v>
      </c>
      <c r="C579" s="28" t="n">
        <v>4.322</v>
      </c>
      <c r="D579" s="27" t="s">
        <v>296</v>
      </c>
      <c r="E579" s="27" t="s">
        <v>137</v>
      </c>
      <c r="F579" s="29" t="s">
        <v>1771</v>
      </c>
      <c r="G579" s="27" t="s">
        <v>169</v>
      </c>
      <c r="H579" s="30" t="n">
        <v>429</v>
      </c>
      <c r="I579" s="27" t="s">
        <v>104</v>
      </c>
      <c r="J579" s="29" t="s">
        <v>170</v>
      </c>
      <c r="K579" s="29" t="s">
        <v>106</v>
      </c>
      <c r="L579" s="31" t="s">
        <v>107</v>
      </c>
    </row>
    <row r="580" customFormat="false" ht="15" hidden="false" customHeight="false" outlineLevel="0" collapsed="false">
      <c r="A580" s="21" t="s">
        <v>1772</v>
      </c>
      <c r="B580" s="5" t="s">
        <v>1773</v>
      </c>
      <c r="C580" s="22" t="n">
        <v>850</v>
      </c>
      <c r="D580" s="5" t="s">
        <v>100</v>
      </c>
      <c r="E580" s="5" t="s">
        <v>1774</v>
      </c>
      <c r="F580" s="23" t="s">
        <v>935</v>
      </c>
      <c r="G580" s="5" t="s">
        <v>169</v>
      </c>
      <c r="H580" s="24" t="n">
        <v>429</v>
      </c>
      <c r="I580" s="5" t="s">
        <v>104</v>
      </c>
      <c r="J580" s="23" t="s">
        <v>170</v>
      </c>
      <c r="K580" s="23" t="s">
        <v>106</v>
      </c>
      <c r="L580" s="25" t="s">
        <v>107</v>
      </c>
    </row>
    <row r="581" customFormat="false" ht="15" hidden="false" customHeight="false" outlineLevel="0" collapsed="false">
      <c r="A581" s="26" t="s">
        <v>1775</v>
      </c>
      <c r="B581" s="27" t="s">
        <v>1776</v>
      </c>
      <c r="C581" s="28" t="n">
        <v>4.7</v>
      </c>
      <c r="D581" s="27" t="s">
        <v>127</v>
      </c>
      <c r="E581" s="27" t="s">
        <v>663</v>
      </c>
      <c r="F581" s="29" t="s">
        <v>1777</v>
      </c>
      <c r="G581" s="27" t="s">
        <v>1778</v>
      </c>
      <c r="H581" s="30" t="n">
        <v>37</v>
      </c>
      <c r="I581" s="27" t="s">
        <v>124</v>
      </c>
      <c r="J581" s="29" t="s">
        <v>1779</v>
      </c>
      <c r="K581" s="29" t="s">
        <v>106</v>
      </c>
      <c r="L581" s="31" t="s">
        <v>107</v>
      </c>
    </row>
    <row r="582" customFormat="false" ht="15" hidden="false" customHeight="false" outlineLevel="0" collapsed="false">
      <c r="A582" s="21" t="s">
        <v>1780</v>
      </c>
      <c r="B582" s="5" t="s">
        <v>1781</v>
      </c>
      <c r="C582" s="33" t="n">
        <v>4.9</v>
      </c>
      <c r="D582" s="5" t="s">
        <v>127</v>
      </c>
      <c r="E582" s="5" t="s">
        <v>663</v>
      </c>
      <c r="F582" s="23" t="s">
        <v>776</v>
      </c>
      <c r="G582" s="5" t="s">
        <v>1778</v>
      </c>
      <c r="H582" s="24" t="n">
        <v>37</v>
      </c>
      <c r="I582" s="5" t="s">
        <v>124</v>
      </c>
      <c r="J582" s="23" t="s">
        <v>1779</v>
      </c>
      <c r="K582" s="23" t="s">
        <v>106</v>
      </c>
      <c r="L582" s="25" t="s">
        <v>107</v>
      </c>
    </row>
    <row r="583" customFormat="false" ht="15" hidden="false" customHeight="false" outlineLevel="0" collapsed="false">
      <c r="A583" s="26" t="s">
        <v>1782</v>
      </c>
      <c r="B583" s="27" t="s">
        <v>1783</v>
      </c>
      <c r="C583" s="28" t="n">
        <v>6.5</v>
      </c>
      <c r="D583" s="27" t="s">
        <v>127</v>
      </c>
      <c r="E583" s="27" t="s">
        <v>543</v>
      </c>
      <c r="F583" s="29" t="s">
        <v>510</v>
      </c>
      <c r="G583" s="27" t="s">
        <v>1778</v>
      </c>
      <c r="H583" s="30" t="n">
        <v>37</v>
      </c>
      <c r="I583" s="27" t="s">
        <v>124</v>
      </c>
      <c r="J583" s="29" t="s">
        <v>1779</v>
      </c>
      <c r="K583" s="29" t="s">
        <v>106</v>
      </c>
      <c r="L583" s="31" t="s">
        <v>107</v>
      </c>
    </row>
    <row r="584" customFormat="false" ht="15" hidden="false" customHeight="false" outlineLevel="0" collapsed="false">
      <c r="A584" s="21" t="s">
        <v>1784</v>
      </c>
      <c r="B584" s="5" t="s">
        <v>1785</v>
      </c>
      <c r="C584" s="22" t="n">
        <v>1</v>
      </c>
      <c r="D584" s="5" t="s">
        <v>127</v>
      </c>
      <c r="E584" s="5" t="s">
        <v>663</v>
      </c>
      <c r="F584" s="23" t="s">
        <v>1786</v>
      </c>
      <c r="G584" s="5" t="s">
        <v>1778</v>
      </c>
      <c r="H584" s="24" t="n">
        <v>37</v>
      </c>
      <c r="I584" s="5" t="s">
        <v>124</v>
      </c>
      <c r="J584" s="23" t="s">
        <v>1779</v>
      </c>
      <c r="K584" s="23" t="s">
        <v>106</v>
      </c>
      <c r="L584" s="25" t="s">
        <v>107</v>
      </c>
    </row>
    <row r="585" customFormat="false" ht="15" hidden="false" customHeight="false" outlineLevel="0" collapsed="false">
      <c r="A585" s="26" t="s">
        <v>1787</v>
      </c>
      <c r="B585" s="27" t="s">
        <v>1788</v>
      </c>
      <c r="C585" s="32" t="n">
        <v>1335</v>
      </c>
      <c r="D585" s="27" t="s">
        <v>100</v>
      </c>
      <c r="E585" s="27" t="s">
        <v>543</v>
      </c>
      <c r="F585" s="29" t="s">
        <v>1789</v>
      </c>
      <c r="G585" s="27" t="s">
        <v>1778</v>
      </c>
      <c r="H585" s="30" t="n">
        <v>37</v>
      </c>
      <c r="I585" s="27" t="s">
        <v>124</v>
      </c>
      <c r="J585" s="29" t="s">
        <v>1779</v>
      </c>
      <c r="K585" s="29" t="s">
        <v>106</v>
      </c>
      <c r="L585" s="31" t="s">
        <v>107</v>
      </c>
    </row>
    <row r="586" customFormat="false" ht="15" hidden="false" customHeight="false" outlineLevel="0" collapsed="false">
      <c r="A586" s="21" t="s">
        <v>1790</v>
      </c>
      <c r="B586" s="5" t="s">
        <v>1791</v>
      </c>
      <c r="C586" s="33" t="n">
        <v>2.74</v>
      </c>
      <c r="D586" s="5" t="s">
        <v>130</v>
      </c>
      <c r="E586" s="5" t="s">
        <v>543</v>
      </c>
      <c r="F586" s="23" t="s">
        <v>1792</v>
      </c>
      <c r="G586" s="5" t="s">
        <v>1778</v>
      </c>
      <c r="H586" s="24" t="n">
        <v>37</v>
      </c>
      <c r="I586" s="5" t="s">
        <v>124</v>
      </c>
      <c r="J586" s="23" t="s">
        <v>1779</v>
      </c>
      <c r="K586" s="23" t="s">
        <v>106</v>
      </c>
      <c r="L586" s="25" t="s">
        <v>107</v>
      </c>
    </row>
    <row r="587" customFormat="false" ht="15" hidden="false" customHeight="false" outlineLevel="0" collapsed="false">
      <c r="A587" s="26" t="s">
        <v>1793</v>
      </c>
      <c r="B587" s="27" t="s">
        <v>1794</v>
      </c>
      <c r="C587" s="32" t="n">
        <v>4</v>
      </c>
      <c r="D587" s="27" t="s">
        <v>127</v>
      </c>
      <c r="E587" s="27" t="s">
        <v>663</v>
      </c>
      <c r="F587" s="29" t="s">
        <v>464</v>
      </c>
      <c r="G587" s="27" t="s">
        <v>1778</v>
      </c>
      <c r="H587" s="30" t="n">
        <v>35</v>
      </c>
      <c r="I587" s="27" t="s">
        <v>224</v>
      </c>
      <c r="J587" s="29" t="s">
        <v>1779</v>
      </c>
      <c r="K587" s="29" t="s">
        <v>106</v>
      </c>
      <c r="L587" s="31" t="s">
        <v>107</v>
      </c>
    </row>
    <row r="588" customFormat="false" ht="15" hidden="false" customHeight="false" outlineLevel="0" collapsed="false">
      <c r="A588" s="21" t="s">
        <v>1795</v>
      </c>
      <c r="B588" s="5" t="s">
        <v>1796</v>
      </c>
      <c r="C588" s="33" t="n">
        <v>4.2</v>
      </c>
      <c r="D588" s="5" t="s">
        <v>127</v>
      </c>
      <c r="E588" s="5" t="s">
        <v>543</v>
      </c>
      <c r="F588" s="23" t="s">
        <v>560</v>
      </c>
      <c r="G588" s="5" t="s">
        <v>1778</v>
      </c>
      <c r="H588" s="24" t="n">
        <v>35</v>
      </c>
      <c r="I588" s="5" t="s">
        <v>224</v>
      </c>
      <c r="J588" s="23" t="s">
        <v>1779</v>
      </c>
      <c r="K588" s="23" t="s">
        <v>106</v>
      </c>
      <c r="L588" s="25" t="s">
        <v>107</v>
      </c>
    </row>
    <row r="589" customFormat="false" ht="15" hidden="false" customHeight="false" outlineLevel="0" collapsed="false">
      <c r="A589" s="26" t="s">
        <v>1797</v>
      </c>
      <c r="B589" s="27" t="s">
        <v>1798</v>
      </c>
      <c r="C589" s="32" t="n">
        <v>15</v>
      </c>
      <c r="D589" s="27" t="s">
        <v>1799</v>
      </c>
      <c r="E589" s="27" t="s">
        <v>663</v>
      </c>
      <c r="F589" s="29" t="s">
        <v>1800</v>
      </c>
      <c r="G589" s="27" t="s">
        <v>1778</v>
      </c>
      <c r="H589" s="30" t="n">
        <v>35</v>
      </c>
      <c r="I589" s="27" t="s">
        <v>254</v>
      </c>
      <c r="J589" s="29" t="s">
        <v>1779</v>
      </c>
      <c r="K589" s="29" t="s">
        <v>106</v>
      </c>
      <c r="L589" s="31" t="s">
        <v>107</v>
      </c>
    </row>
    <row r="590" customFormat="false" ht="15" hidden="false" customHeight="false" outlineLevel="0" collapsed="false">
      <c r="A590" s="21" t="s">
        <v>1801</v>
      </c>
      <c r="B590" s="5" t="s">
        <v>1802</v>
      </c>
      <c r="C590" s="33" t="n">
        <v>15.5</v>
      </c>
      <c r="D590" s="5" t="s">
        <v>1799</v>
      </c>
      <c r="E590" s="5" t="s">
        <v>543</v>
      </c>
      <c r="F590" s="23" t="s">
        <v>1803</v>
      </c>
      <c r="G590" s="5" t="s">
        <v>1778</v>
      </c>
      <c r="H590" s="24" t="n">
        <v>35</v>
      </c>
      <c r="I590" s="5" t="s">
        <v>254</v>
      </c>
      <c r="J590" s="23" t="s">
        <v>1779</v>
      </c>
      <c r="K590" s="23" t="s">
        <v>106</v>
      </c>
      <c r="L590" s="25" t="s">
        <v>107</v>
      </c>
    </row>
    <row r="591" customFormat="false" ht="15" hidden="false" customHeight="false" outlineLevel="0" collapsed="false">
      <c r="A591" s="26" t="s">
        <v>1804</v>
      </c>
      <c r="B591" s="27" t="s">
        <v>1805</v>
      </c>
      <c r="C591" s="32" t="n">
        <v>610</v>
      </c>
      <c r="D591" s="27" t="s">
        <v>221</v>
      </c>
      <c r="E591" s="27" t="s">
        <v>663</v>
      </c>
      <c r="F591" s="29" t="s">
        <v>1806</v>
      </c>
      <c r="G591" s="27" t="s">
        <v>1778</v>
      </c>
      <c r="H591" s="30" t="n">
        <v>35</v>
      </c>
      <c r="I591" s="27" t="s">
        <v>254</v>
      </c>
      <c r="J591" s="29" t="s">
        <v>1779</v>
      </c>
      <c r="K591" s="29" t="s">
        <v>106</v>
      </c>
      <c r="L591" s="31" t="s">
        <v>107</v>
      </c>
    </row>
    <row r="592" customFormat="false" ht="15" hidden="false" customHeight="false" outlineLevel="0" collapsed="false">
      <c r="A592" s="21" t="s">
        <v>1807</v>
      </c>
      <c r="B592" s="5" t="s">
        <v>1808</v>
      </c>
      <c r="C592" s="22" t="n">
        <v>465</v>
      </c>
      <c r="D592" s="5" t="s">
        <v>221</v>
      </c>
      <c r="E592" s="5" t="s">
        <v>543</v>
      </c>
      <c r="F592" s="23" t="s">
        <v>1152</v>
      </c>
      <c r="G592" s="5" t="s">
        <v>1778</v>
      </c>
      <c r="H592" s="24" t="n">
        <v>35</v>
      </c>
      <c r="I592" s="5" t="s">
        <v>254</v>
      </c>
      <c r="J592" s="23" t="s">
        <v>1779</v>
      </c>
      <c r="K592" s="23" t="s">
        <v>106</v>
      </c>
      <c r="L592" s="25" t="s">
        <v>107</v>
      </c>
    </row>
    <row r="593" customFormat="false" ht="15" hidden="false" customHeight="false" outlineLevel="0" collapsed="false">
      <c r="A593" s="26" t="s">
        <v>1809</v>
      </c>
      <c r="B593" s="27" t="s">
        <v>1810</v>
      </c>
      <c r="C593" s="32" t="n">
        <v>50</v>
      </c>
      <c r="D593" s="27" t="s">
        <v>296</v>
      </c>
      <c r="E593" s="27" t="s">
        <v>1811</v>
      </c>
      <c r="F593" s="29" t="s">
        <v>1232</v>
      </c>
      <c r="G593" s="27" t="s">
        <v>1778</v>
      </c>
      <c r="H593" s="30" t="n">
        <v>36</v>
      </c>
      <c r="I593" s="27" t="s">
        <v>254</v>
      </c>
      <c r="J593" s="29" t="s">
        <v>1779</v>
      </c>
      <c r="K593" s="29" t="s">
        <v>106</v>
      </c>
      <c r="L593" s="31" t="s">
        <v>107</v>
      </c>
    </row>
    <row r="594" customFormat="false" ht="15" hidden="false" customHeight="false" outlineLevel="0" collapsed="false">
      <c r="A594" s="21" t="s">
        <v>1812</v>
      </c>
      <c r="B594" s="5" t="s">
        <v>1813</v>
      </c>
      <c r="C594" s="33" t="n">
        <v>30.7</v>
      </c>
      <c r="D594" s="5" t="s">
        <v>296</v>
      </c>
      <c r="E594" s="5" t="s">
        <v>1811</v>
      </c>
      <c r="F594" s="23" t="s">
        <v>1814</v>
      </c>
      <c r="G594" s="5" t="s">
        <v>1778</v>
      </c>
      <c r="H594" s="24" t="n">
        <v>36</v>
      </c>
      <c r="I594" s="5" t="s">
        <v>254</v>
      </c>
      <c r="J594" s="23" t="s">
        <v>1779</v>
      </c>
      <c r="K594" s="23" t="s">
        <v>106</v>
      </c>
      <c r="L594" s="25" t="s">
        <v>107</v>
      </c>
    </row>
    <row r="595" customFormat="false" ht="15" hidden="false" customHeight="false" outlineLevel="0" collapsed="false">
      <c r="A595" s="26" t="s">
        <v>1815</v>
      </c>
      <c r="B595" s="27" t="s">
        <v>1816</v>
      </c>
      <c r="C595" s="32" t="n">
        <v>5</v>
      </c>
      <c r="D595" s="27" t="s">
        <v>296</v>
      </c>
      <c r="E595" s="27" t="s">
        <v>167</v>
      </c>
      <c r="F595" s="29" t="s">
        <v>395</v>
      </c>
      <c r="G595" s="27" t="s">
        <v>686</v>
      </c>
      <c r="H595" s="30" t="n">
        <v>16</v>
      </c>
      <c r="I595" s="27" t="s">
        <v>124</v>
      </c>
      <c r="J595" s="29" t="s">
        <v>687</v>
      </c>
      <c r="K595" s="29" t="s">
        <v>106</v>
      </c>
      <c r="L595" s="31" t="s">
        <v>107</v>
      </c>
    </row>
    <row r="596" customFormat="false" ht="15" hidden="false" customHeight="false" outlineLevel="0" collapsed="false">
      <c r="A596" s="21" t="s">
        <v>1817</v>
      </c>
      <c r="B596" s="5" t="s">
        <v>1818</v>
      </c>
      <c r="C596" s="22" t="n">
        <v>6</v>
      </c>
      <c r="D596" s="5" t="s">
        <v>296</v>
      </c>
      <c r="E596" s="5" t="s">
        <v>167</v>
      </c>
      <c r="F596" s="23" t="s">
        <v>398</v>
      </c>
      <c r="G596" s="5" t="s">
        <v>686</v>
      </c>
      <c r="H596" s="24" t="n">
        <v>16</v>
      </c>
      <c r="I596" s="5" t="s">
        <v>124</v>
      </c>
      <c r="J596" s="23" t="s">
        <v>687</v>
      </c>
      <c r="K596" s="23" t="s">
        <v>106</v>
      </c>
      <c r="L596" s="25" t="s">
        <v>107</v>
      </c>
    </row>
    <row r="597" customFormat="false" ht="15" hidden="false" customHeight="false" outlineLevel="0" collapsed="false">
      <c r="A597" s="26" t="s">
        <v>1819</v>
      </c>
      <c r="B597" s="27" t="s">
        <v>1820</v>
      </c>
      <c r="C597" s="32" t="n">
        <v>350</v>
      </c>
      <c r="D597" s="27" t="s">
        <v>100</v>
      </c>
      <c r="E597" s="27" t="s">
        <v>167</v>
      </c>
      <c r="F597" s="29" t="s">
        <v>1323</v>
      </c>
      <c r="G597" s="27" t="s">
        <v>686</v>
      </c>
      <c r="H597" s="30" t="n">
        <v>16</v>
      </c>
      <c r="I597" s="27" t="s">
        <v>124</v>
      </c>
      <c r="J597" s="29" t="s">
        <v>687</v>
      </c>
      <c r="K597" s="29" t="s">
        <v>106</v>
      </c>
      <c r="L597" s="31" t="s">
        <v>107</v>
      </c>
    </row>
    <row r="598" customFormat="false" ht="15" hidden="false" customHeight="false" outlineLevel="0" collapsed="false">
      <c r="A598" s="21" t="s">
        <v>1821</v>
      </c>
      <c r="B598" s="5" t="s">
        <v>1822</v>
      </c>
      <c r="C598" s="22" t="n">
        <v>530</v>
      </c>
      <c r="D598" s="5" t="s">
        <v>100</v>
      </c>
      <c r="E598" s="5" t="s">
        <v>167</v>
      </c>
      <c r="F598" s="23" t="s">
        <v>694</v>
      </c>
      <c r="G598" s="5" t="s">
        <v>686</v>
      </c>
      <c r="H598" s="24" t="n">
        <v>16</v>
      </c>
      <c r="I598" s="5" t="s">
        <v>124</v>
      </c>
      <c r="J598" s="23" t="s">
        <v>687</v>
      </c>
      <c r="K598" s="23" t="s">
        <v>106</v>
      </c>
      <c r="L598" s="25" t="s">
        <v>107</v>
      </c>
    </row>
    <row r="599" customFormat="false" ht="15" hidden="false" customHeight="false" outlineLevel="0" collapsed="false">
      <c r="A599" s="26" t="s">
        <v>1823</v>
      </c>
      <c r="B599" s="27" t="s">
        <v>1824</v>
      </c>
      <c r="C599" s="32" t="n">
        <v>95</v>
      </c>
      <c r="D599" s="27" t="s">
        <v>100</v>
      </c>
      <c r="E599" s="27" t="s">
        <v>167</v>
      </c>
      <c r="F599" s="29" t="s">
        <v>1825</v>
      </c>
      <c r="G599" s="27" t="s">
        <v>686</v>
      </c>
      <c r="H599" s="30" t="n">
        <v>16</v>
      </c>
      <c r="I599" s="27" t="s">
        <v>124</v>
      </c>
      <c r="J599" s="29" t="s">
        <v>687</v>
      </c>
      <c r="K599" s="29" t="s">
        <v>106</v>
      </c>
      <c r="L599" s="31" t="s">
        <v>107</v>
      </c>
    </row>
    <row r="600" customFormat="false" ht="15" hidden="false" customHeight="false" outlineLevel="0" collapsed="false">
      <c r="A600" s="21" t="s">
        <v>1826</v>
      </c>
      <c r="B600" s="5" t="s">
        <v>1827</v>
      </c>
      <c r="C600" s="22" t="n">
        <v>9</v>
      </c>
      <c r="D600" s="5" t="s">
        <v>296</v>
      </c>
      <c r="E600" s="5" t="s">
        <v>167</v>
      </c>
      <c r="F600" s="23" t="s">
        <v>230</v>
      </c>
      <c r="G600" s="5" t="s">
        <v>686</v>
      </c>
      <c r="H600" s="24" t="n">
        <v>16</v>
      </c>
      <c r="I600" s="5" t="s">
        <v>124</v>
      </c>
      <c r="J600" s="23" t="s">
        <v>687</v>
      </c>
      <c r="K600" s="23" t="s">
        <v>106</v>
      </c>
      <c r="L600" s="25" t="s">
        <v>107</v>
      </c>
    </row>
    <row r="601" customFormat="false" ht="15" hidden="false" customHeight="false" outlineLevel="0" collapsed="false">
      <c r="A601" s="26" t="s">
        <v>1828</v>
      </c>
      <c r="B601" s="27" t="s">
        <v>1829</v>
      </c>
      <c r="C601" s="28" t="n">
        <v>9.1</v>
      </c>
      <c r="D601" s="27" t="s">
        <v>296</v>
      </c>
      <c r="E601" s="27" t="s">
        <v>117</v>
      </c>
      <c r="F601" s="29" t="s">
        <v>1830</v>
      </c>
      <c r="G601" s="27" t="s">
        <v>583</v>
      </c>
      <c r="H601" s="30" t="n">
        <v>21</v>
      </c>
      <c r="I601" s="27" t="s">
        <v>124</v>
      </c>
      <c r="J601" s="29" t="s">
        <v>584</v>
      </c>
      <c r="K601" s="29" t="s">
        <v>106</v>
      </c>
      <c r="L601" s="31" t="s">
        <v>107</v>
      </c>
    </row>
  </sheetData>
  <autoFilter ref="A5:L60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1831</v>
      </c>
      <c r="B1" s="2"/>
      <c r="C1" s="2"/>
      <c r="D1" s="2"/>
      <c r="E1" s="2"/>
      <c r="F1" s="2"/>
      <c r="G1" s="2"/>
      <c r="H1" s="2"/>
      <c r="I1" s="2"/>
      <c r="J1" s="2"/>
    </row>
    <row r="2" customFormat="false" ht="15" hidden="false" customHeight="false" outlineLevel="0" collapsed="false">
      <c r="A2" s="3" t="s">
        <v>1832</v>
      </c>
      <c r="B2" s="2"/>
      <c r="C2" s="2"/>
      <c r="D2" s="2"/>
      <c r="E2" s="2"/>
      <c r="F2" s="2"/>
      <c r="G2" s="2"/>
      <c r="H2" s="2"/>
      <c r="I2" s="2"/>
      <c r="J2" s="2"/>
    </row>
    <row r="3" customFormat="false" ht="15" hidden="false" customHeight="false" outlineLevel="0" collapsed="false">
      <c r="A3" s="36"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0" t="s">
        <v>1833</v>
      </c>
      <c r="B4" s="20" t="s">
        <v>1834</v>
      </c>
      <c r="C4" s="20" t="s">
        <v>1835</v>
      </c>
      <c r="D4" s="20" t="s">
        <v>1836</v>
      </c>
      <c r="E4" s="20" t="s">
        <v>1837</v>
      </c>
      <c r="F4" s="20" t="s">
        <v>90</v>
      </c>
      <c r="G4" s="20" t="s">
        <v>1838</v>
      </c>
      <c r="H4" s="20" t="s">
        <v>1839</v>
      </c>
      <c r="I4" s="20" t="s">
        <v>52</v>
      </c>
      <c r="J4" s="20" t="s">
        <v>1840</v>
      </c>
    </row>
    <row r="5" customFormat="false" ht="30" hidden="false" customHeight="true" outlineLevel="0" collapsed="false">
      <c r="A5" s="21" t="s">
        <v>1841</v>
      </c>
      <c r="B5" s="37" t="s">
        <v>1842</v>
      </c>
      <c r="C5" s="38" t="n">
        <f aca="false">AVERAGE(Entrées!$C$92,Entrées!$C$93)/100</f>
        <v>0.055</v>
      </c>
      <c r="D5" s="38" t="n">
        <f aca="false">Entrées!$C$92/100</f>
        <v>0.05</v>
      </c>
      <c r="E5" s="38" t="n">
        <f aca="false">Entrées!$C$93/100</f>
        <v>0.06</v>
      </c>
      <c r="F5" s="5" t="s">
        <v>296</v>
      </c>
      <c r="G5" s="37" t="s">
        <v>1843</v>
      </c>
      <c r="H5" s="23" t="s">
        <v>1844</v>
      </c>
      <c r="I5" s="39" t="s">
        <v>1835</v>
      </c>
      <c r="J5" s="40" t="n">
        <f aca="false">IF(AND(I5="Bas",ISNUMBER(D5)),D5,IF(AND(I5="Haut",ISNUMBER(E5)),E5,C5))</f>
        <v>0.055</v>
      </c>
    </row>
    <row r="6" customFormat="false" ht="30" hidden="false" customHeight="true" outlineLevel="0" collapsed="false">
      <c r="A6" s="21" t="s">
        <v>1845</v>
      </c>
      <c r="B6" s="37" t="s">
        <v>1846</v>
      </c>
      <c r="C6" s="41" t="n">
        <f aca="false">C5</f>
        <v>0.055</v>
      </c>
      <c r="D6" s="42" t="n">
        <v>0.04</v>
      </c>
      <c r="E6" s="42" t="n">
        <v>0.07</v>
      </c>
      <c r="F6" s="5" t="s">
        <v>296</v>
      </c>
      <c r="G6" s="37" t="s">
        <v>1847</v>
      </c>
      <c r="H6" s="23" t="s">
        <v>1848</v>
      </c>
      <c r="I6" s="39" t="s">
        <v>1835</v>
      </c>
      <c r="J6" s="40" t="n">
        <f aca="false">IF(AND(I6="Bas",ISNUMBER(D6)),D6,IF(AND(I6="Haut",ISNUMBER(E6)),E6,C6))</f>
        <v>0.055</v>
      </c>
    </row>
    <row r="7" customFormat="false" ht="30" hidden="false" customHeight="true" outlineLevel="0" collapsed="false">
      <c r="A7" s="21" t="s">
        <v>1849</v>
      </c>
      <c r="B7" s="37" t="s">
        <v>1850</v>
      </c>
      <c r="C7" s="43" t="n">
        <f aca="false">Entrées!$C$56</f>
        <v>200</v>
      </c>
      <c r="D7" s="43" t="n">
        <f aca="false">Entrées!$C$56*0.9</f>
        <v>180</v>
      </c>
      <c r="E7" s="43" t="n">
        <f aca="false">Entrées!$C$56*1.1</f>
        <v>220</v>
      </c>
      <c r="F7" s="5" t="s">
        <v>246</v>
      </c>
      <c r="G7" s="37" t="s">
        <v>1851</v>
      </c>
      <c r="H7" s="23" t="s">
        <v>287</v>
      </c>
      <c r="I7" s="39" t="s">
        <v>1835</v>
      </c>
      <c r="J7" s="44" t="n">
        <f aca="false">IF(AND(I7="Bas",ISNUMBER(D7)),D7,IF(AND(I7="Haut",ISNUMBER(E7)),E7,C7))</f>
        <v>200</v>
      </c>
    </row>
    <row r="8" customFormat="false" ht="30" hidden="false" customHeight="true" outlineLevel="0" collapsed="false">
      <c r="A8" s="21" t="s">
        <v>1852</v>
      </c>
      <c r="B8" s="37" t="s">
        <v>1853</v>
      </c>
      <c r="C8" s="42" t="n">
        <v>0.25</v>
      </c>
      <c r="D8" s="42" t="n">
        <v>0</v>
      </c>
      <c r="E8" s="42" t="n">
        <v>0.5</v>
      </c>
      <c r="F8" s="5" t="s">
        <v>296</v>
      </c>
      <c r="G8" s="37" t="s">
        <v>1854</v>
      </c>
      <c r="H8" s="23" t="s">
        <v>279</v>
      </c>
      <c r="I8" s="39" t="s">
        <v>1835</v>
      </c>
      <c r="J8" s="40" t="n">
        <f aca="false">IF(AND(I8="Bas",ISNUMBER(D8)),D8,IF(AND(I8="Haut",ISNUMBER(E8)),E8,C8))</f>
        <v>0.25</v>
      </c>
    </row>
    <row r="9" customFormat="false" ht="30" hidden="false" customHeight="true" outlineLevel="0" collapsed="false">
      <c r="A9" s="21" t="s">
        <v>1855</v>
      </c>
      <c r="B9" s="37" t="s">
        <v>1856</v>
      </c>
      <c r="C9" s="43" t="n">
        <f aca="false">Entrées!$C$34-Entrées!$C$75</f>
        <v>1629</v>
      </c>
      <c r="D9" s="45" t="n">
        <f aca="false">C9*0.8</f>
        <v>1303.2</v>
      </c>
      <c r="E9" s="45" t="n">
        <f aca="false">C9*1.1</f>
        <v>1791.9</v>
      </c>
      <c r="F9" s="5" t="s">
        <v>100</v>
      </c>
      <c r="G9" s="37" t="s">
        <v>1857</v>
      </c>
      <c r="H9" s="23" t="s">
        <v>1858</v>
      </c>
      <c r="I9" s="39" t="s">
        <v>1835</v>
      </c>
      <c r="J9" s="44" t="n">
        <f aca="false">IF(AND(I9="Bas",ISNUMBER(D9)),D9,IF(AND(I9="Haut",ISNUMBER(E9)),E9,C9))</f>
        <v>1629</v>
      </c>
    </row>
    <row r="10" customFormat="false" ht="30" hidden="false" customHeight="true" outlineLevel="0" collapsed="false">
      <c r="A10" s="21" t="s">
        <v>1859</v>
      </c>
      <c r="B10" s="37" t="s">
        <v>1860</v>
      </c>
      <c r="C10" s="38" t="n">
        <f aca="false">AVERAGE(Entrées!$C$18/Entrées!$C$22,Entrées!$C$34/Entrées!$C$8)</f>
        <v>0.168696364464616</v>
      </c>
      <c r="D10" s="42" t="n">
        <v>0.14</v>
      </c>
      <c r="E10" s="42" t="n">
        <v>0.19</v>
      </c>
      <c r="F10" s="5" t="s">
        <v>296</v>
      </c>
      <c r="G10" s="37" t="s">
        <v>1861</v>
      </c>
      <c r="H10" s="23" t="s">
        <v>1862</v>
      </c>
      <c r="I10" s="39" t="s">
        <v>1835</v>
      </c>
      <c r="J10" s="40" t="n">
        <f aca="false">IF(AND(I10="Bas",ISNUMBER(D10)),D10,IF(AND(I10="Haut",ISNUMBER(E10)),E10,C10))</f>
        <v>0.168696364464616</v>
      </c>
    </row>
    <row r="11" customFormat="false" ht="30" hidden="false" customHeight="true" outlineLevel="0" collapsed="false">
      <c r="A11" s="21" t="s">
        <v>1863</v>
      </c>
      <c r="B11" s="37" t="s">
        <v>1864</v>
      </c>
      <c r="C11" s="38" t="n">
        <f aca="false">Entrées!$C$94/100</f>
        <v>0.08</v>
      </c>
      <c r="D11" s="42" t="n">
        <v>0.04</v>
      </c>
      <c r="E11" s="42" t="n">
        <v>0.12</v>
      </c>
      <c r="F11" s="5" t="s">
        <v>296</v>
      </c>
      <c r="G11" s="37" t="s">
        <v>1865</v>
      </c>
      <c r="H11" s="23" t="s">
        <v>399</v>
      </c>
      <c r="I11" s="39" t="s">
        <v>1835</v>
      </c>
      <c r="J11" s="40" t="n">
        <f aca="false">IF(AND(I11="Bas",ISNUMBER(D11)),D11,IF(AND(I11="Haut",ISNUMBER(E11)),E11,C11))</f>
        <v>0.08</v>
      </c>
    </row>
    <row r="12" customFormat="false" ht="30" hidden="false" customHeight="true" outlineLevel="0" collapsed="false">
      <c r="A12" s="21" t="s">
        <v>1866</v>
      </c>
      <c r="B12" s="37" t="s">
        <v>1867</v>
      </c>
      <c r="C12" s="42" t="n">
        <v>0.5</v>
      </c>
      <c r="D12" s="42" t="n">
        <v>0</v>
      </c>
      <c r="E12" s="42" t="n">
        <v>1</v>
      </c>
      <c r="F12" s="5" t="s">
        <v>296</v>
      </c>
      <c r="G12" s="37" t="s">
        <v>1868</v>
      </c>
      <c r="H12" s="23" t="s">
        <v>215</v>
      </c>
      <c r="I12" s="39" t="s">
        <v>1835</v>
      </c>
      <c r="J12" s="40" t="n">
        <f aca="false">IF(AND(I12="Bas",ISNUMBER(D12)),D12,IF(AND(I12="Haut",ISNUMBER(E12)),E12,C12))</f>
        <v>0.5</v>
      </c>
    </row>
    <row r="13" customFormat="false" ht="30" hidden="false" customHeight="true" outlineLevel="0" collapsed="false">
      <c r="A13" s="21" t="s">
        <v>1869</v>
      </c>
      <c r="B13" s="37" t="s">
        <v>1870</v>
      </c>
      <c r="C13" s="42" t="n">
        <v>0.5</v>
      </c>
      <c r="D13" s="42" t="n">
        <v>0</v>
      </c>
      <c r="E13" s="42" t="n">
        <v>1</v>
      </c>
      <c r="F13" s="5" t="s">
        <v>296</v>
      </c>
      <c r="G13" s="37" t="s">
        <v>1871</v>
      </c>
      <c r="H13" s="23" t="s">
        <v>194</v>
      </c>
      <c r="I13" s="39" t="s">
        <v>1835</v>
      </c>
      <c r="J13" s="40" t="n">
        <f aca="false">IF(AND(I13="Bas",ISNUMBER(D13)),D13,IF(AND(I13="Haut",ISNUMBER(E13)),E13,C13))</f>
        <v>0.5</v>
      </c>
    </row>
    <row r="14" customFormat="false" ht="30" hidden="false" customHeight="true" outlineLevel="0" collapsed="false">
      <c r="A14" s="21" t="s">
        <v>1872</v>
      </c>
      <c r="B14" s="37" t="s">
        <v>1873</v>
      </c>
      <c r="C14" s="46" t="n">
        <v>10</v>
      </c>
      <c r="D14" s="46" t="n">
        <v>8</v>
      </c>
      <c r="E14" s="46" t="n">
        <v>12</v>
      </c>
      <c r="F14" s="5" t="s">
        <v>130</v>
      </c>
      <c r="G14" s="37" t="s">
        <v>1874</v>
      </c>
      <c r="H14" s="23" t="s">
        <v>1848</v>
      </c>
      <c r="I14" s="39" t="s">
        <v>1835</v>
      </c>
      <c r="J14" s="47" t="n">
        <f aca="false">IF(AND(I14="Bas",ISNUMBER(D14)),D14,IF(AND(I14="Haut",ISNUMBER(E14)),E14,C14))</f>
        <v>10</v>
      </c>
    </row>
    <row r="15" customFormat="false" ht="30" hidden="false" customHeight="true" outlineLevel="0" collapsed="false">
      <c r="A15" s="21" t="s">
        <v>1875</v>
      </c>
      <c r="B15" s="37" t="s">
        <v>1876</v>
      </c>
      <c r="C15" s="48" t="n">
        <f aca="false">Entrées!$C$10</f>
        <v>0.5</v>
      </c>
      <c r="D15" s="49" t="n">
        <v>0</v>
      </c>
      <c r="E15" s="48" t="n">
        <f aca="false">Entrées!$C$26</f>
        <v>1</v>
      </c>
      <c r="F15" s="5" t="s">
        <v>127</v>
      </c>
      <c r="G15" s="37" t="s">
        <v>1877</v>
      </c>
      <c r="H15" s="23" t="s">
        <v>1878</v>
      </c>
      <c r="I15" s="39" t="s">
        <v>1835</v>
      </c>
      <c r="J15" s="50" t="n">
        <f aca="false">IF(AND(I15="Bas",ISNUMBER(D15)),D15,IF(AND(I15="Haut",ISNUMBER(E15)),E15,C15))</f>
        <v>0.5</v>
      </c>
    </row>
    <row r="16" customFormat="false" ht="30" hidden="false" customHeight="true" outlineLevel="0" collapsed="false">
      <c r="A16" s="21" t="s">
        <v>1879</v>
      </c>
      <c r="B16" s="37" t="s">
        <v>1880</v>
      </c>
      <c r="C16" s="38" t="n">
        <f aca="false">Entrées!$C$249/Entrées!$C$8</f>
        <v>0.731914893617021</v>
      </c>
      <c r="D16" s="41" t="n">
        <f aca="false">C16*0.95</f>
        <v>0.69531914893617</v>
      </c>
      <c r="E16" s="41" t="n">
        <f aca="false">C16*1.03</f>
        <v>0.753872340425532</v>
      </c>
      <c r="F16" s="5" t="s">
        <v>296</v>
      </c>
      <c r="G16" s="37" t="s">
        <v>1881</v>
      </c>
      <c r="H16" s="23" t="s">
        <v>1882</v>
      </c>
      <c r="I16" s="39" t="s">
        <v>1835</v>
      </c>
      <c r="J16" s="40"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1" t="s">
        <v>1883</v>
      </c>
      <c r="B18" s="2"/>
      <c r="C18" s="2"/>
      <c r="D18" s="2"/>
      <c r="E18" s="2"/>
      <c r="F18" s="2"/>
      <c r="G18" s="2"/>
      <c r="H18" s="2"/>
      <c r="I18" s="2"/>
      <c r="J18" s="2"/>
    </row>
    <row r="19" customFormat="false" ht="30" hidden="false" customHeight="true" outlineLevel="0" collapsed="false">
      <c r="A19" s="21" t="s">
        <v>1884</v>
      </c>
      <c r="B19" s="37" t="s">
        <v>1885</v>
      </c>
      <c r="C19" s="51" t="n">
        <f aca="false">Entrées!$C$45/Entrées!$C$46</f>
        <v>1.17584579071597</v>
      </c>
      <c r="D19" s="52" t="s">
        <v>1848</v>
      </c>
      <c r="E19" s="52" t="s">
        <v>1848</v>
      </c>
      <c r="F19" s="5" t="s">
        <v>1886</v>
      </c>
      <c r="G19" s="37" t="s">
        <v>1887</v>
      </c>
      <c r="H19" s="23" t="s">
        <v>1888</v>
      </c>
      <c r="I19" s="39" t="s">
        <v>1835</v>
      </c>
      <c r="J19" s="53" t="n">
        <f aca="false">IF(AND(I19="Bas",ISNUMBER(D19)),D19,IF(AND(I19="Haut",ISNUMBER(E19)),E19,C19))</f>
        <v>1.17584579071597</v>
      </c>
    </row>
    <row r="20" customFormat="false" ht="30" hidden="false" customHeight="true" outlineLevel="0" collapsed="false">
      <c r="A20" s="21" t="s">
        <v>1889</v>
      </c>
      <c r="B20" s="37" t="s">
        <v>1890</v>
      </c>
      <c r="C20" s="43" t="n">
        <f aca="false">-Entrées!$C$77-Entrées!$C$79</f>
        <v>295</v>
      </c>
      <c r="D20" s="52" t="s">
        <v>1848</v>
      </c>
      <c r="E20" s="52" t="s">
        <v>1848</v>
      </c>
      <c r="F20" s="5" t="s">
        <v>100</v>
      </c>
      <c r="G20" s="37" t="s">
        <v>1891</v>
      </c>
      <c r="H20" s="23" t="s">
        <v>1892</v>
      </c>
      <c r="I20" s="39" t="s">
        <v>1835</v>
      </c>
      <c r="J20" s="44" t="n">
        <f aca="false">IF(AND(I20="Bas",ISNUMBER(D20)),D20,IF(AND(I20="Haut",ISNUMBER(E20)),E20,C20))</f>
        <v>295</v>
      </c>
    </row>
    <row r="21" customFormat="false" ht="30" hidden="false" customHeight="true" outlineLevel="0" collapsed="false">
      <c r="A21" s="21" t="s">
        <v>1893</v>
      </c>
      <c r="B21" s="37" t="s">
        <v>1894</v>
      </c>
      <c r="C21" s="54" t="n">
        <f aca="false">Entrées!$C$53</f>
        <v>9.8</v>
      </c>
      <c r="D21" s="54" t="n">
        <f aca="false">Entrées!$C$450</f>
        <v>7.4</v>
      </c>
      <c r="E21" s="54" t="n">
        <f aca="false">Entrées!$C$478</f>
        <v>11</v>
      </c>
      <c r="F21" s="5" t="s">
        <v>130</v>
      </c>
      <c r="G21" s="37" t="s">
        <v>1895</v>
      </c>
      <c r="H21" s="23" t="s">
        <v>275</v>
      </c>
      <c r="I21" s="39" t="s">
        <v>1835</v>
      </c>
      <c r="J21" s="47" t="n">
        <f aca="false">IF(AND(I21="Bas",ISNUMBER(D21)),D21,IF(AND(I21="Haut",ISNUMBER(E21)),E21,C21))</f>
        <v>9.8</v>
      </c>
    </row>
    <row r="22" customFormat="false" ht="30" hidden="false" customHeight="true" outlineLevel="0" collapsed="false">
      <c r="A22" s="21" t="s">
        <v>1896</v>
      </c>
      <c r="B22" s="37" t="s">
        <v>1897</v>
      </c>
      <c r="C22" s="49" t="n">
        <v>0</v>
      </c>
      <c r="D22" s="52" t="s">
        <v>1848</v>
      </c>
      <c r="E22" s="52" t="s">
        <v>1848</v>
      </c>
      <c r="F22" s="5" t="s">
        <v>127</v>
      </c>
      <c r="G22" s="37" t="s">
        <v>1898</v>
      </c>
      <c r="H22" s="23" t="s">
        <v>1848</v>
      </c>
      <c r="I22" s="39" t="s">
        <v>1835</v>
      </c>
      <c r="J22" s="50" t="n">
        <f aca="false">IF(AND(I22="Bas",ISNUMBER(D22)),D22,IF(AND(I22="Haut",ISNUMBER(E22)),E22,C22))</f>
        <v>0</v>
      </c>
    </row>
    <row r="23" customFormat="false" ht="30" hidden="false" customHeight="true" outlineLevel="0" collapsed="false">
      <c r="A23" s="21" t="s">
        <v>1899</v>
      </c>
      <c r="B23" s="37" t="s">
        <v>1900</v>
      </c>
      <c r="C23" s="55" t="n">
        <v>0</v>
      </c>
      <c r="D23" s="52" t="s">
        <v>1848</v>
      </c>
      <c r="E23" s="52" t="s">
        <v>1848</v>
      </c>
      <c r="F23" s="5" t="s">
        <v>100</v>
      </c>
      <c r="G23" s="37" t="s">
        <v>1901</v>
      </c>
      <c r="H23" s="23" t="s">
        <v>1848</v>
      </c>
      <c r="I23" s="39" t="s">
        <v>1835</v>
      </c>
      <c r="J23" s="44" t="n">
        <f aca="false">IF(AND(I23="Bas",ISNUMBER(D23)),D23,IF(AND(I23="Haut",ISNUMBER(E23)),E23,C23))</f>
        <v>0</v>
      </c>
    </row>
    <row r="24" customFormat="false" ht="30" hidden="false" customHeight="true" outlineLevel="0" collapsed="false">
      <c r="A24" s="21" t="s">
        <v>1902</v>
      </c>
      <c r="B24" s="37" t="s">
        <v>1903</v>
      </c>
      <c r="C24" s="56" t="n">
        <v>7</v>
      </c>
      <c r="D24" s="52" t="s">
        <v>1848</v>
      </c>
      <c r="E24" s="52" t="s">
        <v>1848</v>
      </c>
      <c r="F24" s="5" t="s">
        <v>1904</v>
      </c>
      <c r="G24" s="37" t="s">
        <v>1905</v>
      </c>
      <c r="H24" s="23" t="s">
        <v>244</v>
      </c>
      <c r="I24" s="39" t="s">
        <v>1835</v>
      </c>
      <c r="J24" s="57" t="n">
        <f aca="false">IF(AND(I24="Bas",ISNUMBER(D24)),D24,IF(AND(I24="Haut",ISNUMBER(E24)),E24,C24))</f>
        <v>7</v>
      </c>
    </row>
    <row r="25" customFormat="false" ht="30" hidden="false" customHeight="true" outlineLevel="0" collapsed="false">
      <c r="A25" s="21" t="s">
        <v>1906</v>
      </c>
      <c r="B25" s="37" t="s">
        <v>1907</v>
      </c>
      <c r="C25" s="58" t="n">
        <f aca="false">Entrées!$C$55/4</f>
        <v>22.5</v>
      </c>
      <c r="D25" s="52" t="s">
        <v>1848</v>
      </c>
      <c r="E25" s="52" t="s">
        <v>1848</v>
      </c>
      <c r="F25" s="5" t="s">
        <v>246</v>
      </c>
      <c r="G25" s="37" t="s">
        <v>1908</v>
      </c>
      <c r="H25" s="23" t="s">
        <v>283</v>
      </c>
      <c r="I25" s="39" t="s">
        <v>1835</v>
      </c>
      <c r="J25" s="59" t="n">
        <f aca="false">IF(AND(I25="Bas",ISNUMBER(D25)),D25,IF(AND(I25="Haut",ISNUMBER(E25)),E25,C25))</f>
        <v>22.5</v>
      </c>
    </row>
    <row r="26" customFormat="false" ht="30" hidden="false" customHeight="true" outlineLevel="0" collapsed="false">
      <c r="A26" s="21" t="s">
        <v>1909</v>
      </c>
      <c r="B26" s="37" t="s">
        <v>1910</v>
      </c>
      <c r="C26" s="54" t="n">
        <f aca="false">Entrées!$C$61</f>
        <v>3</v>
      </c>
      <c r="D26" s="52" t="s">
        <v>1848</v>
      </c>
      <c r="E26" s="52" t="s">
        <v>1848</v>
      </c>
      <c r="F26" s="5" t="s">
        <v>130</v>
      </c>
      <c r="G26" s="37" t="s">
        <v>1911</v>
      </c>
      <c r="H26" s="23" t="s">
        <v>1912</v>
      </c>
      <c r="I26" s="39" t="s">
        <v>1835</v>
      </c>
      <c r="J26" s="47" t="n">
        <f aca="false">IF(AND(I26="Bas",ISNUMBER(D26)),D26,IF(AND(I26="Haut",ISNUMBER(E26)),E26,C26))</f>
        <v>3</v>
      </c>
    </row>
    <row r="27" customFormat="false" ht="30" hidden="false" customHeight="true" outlineLevel="0" collapsed="false">
      <c r="A27" s="21" t="s">
        <v>1913</v>
      </c>
      <c r="B27" s="37" t="s">
        <v>1914</v>
      </c>
      <c r="C27" s="42" t="n">
        <v>0.5</v>
      </c>
      <c r="D27" s="52" t="s">
        <v>1848</v>
      </c>
      <c r="E27" s="52" t="s">
        <v>1848</v>
      </c>
      <c r="F27" s="5" t="s">
        <v>296</v>
      </c>
      <c r="G27" s="37" t="s">
        <v>1915</v>
      </c>
      <c r="H27" s="23" t="s">
        <v>142</v>
      </c>
      <c r="I27" s="39" t="s">
        <v>1835</v>
      </c>
      <c r="J27" s="40"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1916</v>
      </c>
      <c r="B29" s="2"/>
      <c r="C29" s="2"/>
      <c r="D29" s="2"/>
      <c r="E29" s="2"/>
      <c r="F29" s="2"/>
      <c r="G29" s="2"/>
      <c r="H29" s="2"/>
      <c r="I29" s="3" t="s">
        <v>1917</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1918</v>
      </c>
      <c r="B1" s="2"/>
      <c r="C1" s="2"/>
      <c r="D1" s="2"/>
      <c r="E1" s="2"/>
      <c r="F1" s="2"/>
      <c r="G1" s="2"/>
      <c r="H1" s="2"/>
    </row>
    <row r="2" customFormat="false" ht="15" hidden="false" customHeight="false" outlineLevel="0" collapsed="false">
      <c r="A2" s="3" t="s">
        <v>1919</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0"/>
      <c r="B4" s="20" t="s">
        <v>88</v>
      </c>
      <c r="C4" s="20" t="s">
        <v>89</v>
      </c>
      <c r="D4" s="20" t="s">
        <v>90</v>
      </c>
      <c r="E4" s="20" t="s">
        <v>1920</v>
      </c>
      <c r="F4" s="2"/>
      <c r="G4" s="2"/>
      <c r="H4" s="2"/>
    </row>
    <row r="5" customFormat="false" ht="15" hidden="false" customHeight="false" outlineLevel="0" collapsed="false">
      <c r="A5" s="21" t="s">
        <v>1921</v>
      </c>
      <c r="B5" s="21" t="s">
        <v>1922</v>
      </c>
      <c r="C5" s="2"/>
      <c r="D5" s="2"/>
      <c r="E5" s="2"/>
      <c r="F5" s="2"/>
      <c r="G5" s="2"/>
      <c r="H5" s="2"/>
    </row>
    <row r="6" customFormat="false" ht="15" hidden="false" customHeight="false" outlineLevel="0" collapsed="false">
      <c r="A6" s="2"/>
      <c r="B6" s="5" t="s">
        <v>1923</v>
      </c>
      <c r="C6" s="60" t="n">
        <f aca="false">Entrées!$C$28</f>
        <v>17819</v>
      </c>
      <c r="D6" s="23" t="s">
        <v>100</v>
      </c>
      <c r="E6" s="23" t="s">
        <v>189</v>
      </c>
      <c r="F6" s="2"/>
      <c r="G6" s="2"/>
      <c r="H6" s="2"/>
    </row>
    <row r="7" customFormat="false" ht="15" hidden="false" customHeight="false" outlineLevel="0" collapsed="false">
      <c r="A7" s="2"/>
      <c r="B7" s="5" t="s">
        <v>1924</v>
      </c>
      <c r="C7" s="60" t="n">
        <f aca="false">Entrées!$C$22</f>
        <v>6788</v>
      </c>
      <c r="D7" s="23" t="s">
        <v>100</v>
      </c>
      <c r="E7" s="23" t="s">
        <v>174</v>
      </c>
      <c r="F7" s="2"/>
      <c r="G7" s="2"/>
      <c r="H7" s="2"/>
    </row>
    <row r="8" customFormat="false" ht="15" hidden="false" customHeight="false" outlineLevel="0" collapsed="false">
      <c r="A8" s="2"/>
      <c r="B8" s="21" t="s">
        <v>1925</v>
      </c>
      <c r="C8" s="61" t="n">
        <f aca="false">C6/C7</f>
        <v>2.62507365939894</v>
      </c>
      <c r="D8" s="23" t="s">
        <v>130</v>
      </c>
      <c r="E8" s="23" t="s">
        <v>1926</v>
      </c>
      <c r="F8" s="2"/>
      <c r="G8" s="2"/>
      <c r="H8" s="2"/>
    </row>
    <row r="9" customFormat="false" ht="15" hidden="false" customHeight="false" outlineLevel="0" collapsed="false">
      <c r="A9" s="2"/>
      <c r="B9" s="5" t="s">
        <v>1927</v>
      </c>
      <c r="C9" s="62" t="n">
        <f aca="false">Entrées!$C$25</f>
        <v>2.63</v>
      </c>
      <c r="D9" s="23" t="s">
        <v>130</v>
      </c>
      <c r="E9" s="23" t="s">
        <v>181</v>
      </c>
      <c r="F9" s="2"/>
      <c r="G9" s="2"/>
      <c r="H9" s="2"/>
    </row>
    <row r="10" customFormat="false" ht="15" hidden="false" customHeight="false" outlineLevel="0" collapsed="false">
      <c r="A10" s="2"/>
      <c r="B10" s="5" t="s">
        <v>1928</v>
      </c>
      <c r="C10" s="60" t="n">
        <f aca="false">Entrées!$C$13</f>
        <v>19657</v>
      </c>
      <c r="D10" s="23" t="s">
        <v>100</v>
      </c>
      <c r="E10" s="23" t="s">
        <v>135</v>
      </c>
      <c r="F10" s="2"/>
      <c r="G10" s="2"/>
      <c r="H10" s="2"/>
    </row>
    <row r="11" customFormat="false" ht="15" hidden="false" customHeight="false" outlineLevel="0" collapsed="false">
      <c r="A11" s="2"/>
      <c r="B11" s="5" t="s">
        <v>1929</v>
      </c>
      <c r="C11" s="60" t="n">
        <f aca="false">Entrées!$C$8</f>
        <v>7050</v>
      </c>
      <c r="D11" s="23" t="s">
        <v>100</v>
      </c>
      <c r="E11" s="23" t="s">
        <v>116</v>
      </c>
      <c r="F11" s="2"/>
      <c r="G11" s="2"/>
      <c r="H11" s="2"/>
    </row>
    <row r="12" customFormat="false" ht="15" hidden="false" customHeight="false" outlineLevel="0" collapsed="false">
      <c r="A12" s="2"/>
      <c r="B12" s="21" t="s">
        <v>1930</v>
      </c>
      <c r="C12" s="61" t="n">
        <f aca="false">C10/C11</f>
        <v>2.78822695035461</v>
      </c>
      <c r="D12" s="23" t="s">
        <v>130</v>
      </c>
      <c r="E12" s="23" t="s">
        <v>1926</v>
      </c>
      <c r="F12" s="2"/>
      <c r="G12" s="2"/>
      <c r="H12" s="2"/>
    </row>
    <row r="13" customFormat="false" ht="15" hidden="false" customHeight="false" outlineLevel="0" collapsed="false">
      <c r="A13" s="2"/>
      <c r="B13" s="5" t="s">
        <v>1931</v>
      </c>
      <c r="C13" s="62" t="n">
        <f aca="false">Entrées!$C$21</f>
        <v>2.79</v>
      </c>
      <c r="D13" s="23" t="s">
        <v>130</v>
      </c>
      <c r="E13" s="23" t="s">
        <v>171</v>
      </c>
      <c r="F13" s="2"/>
      <c r="G13" s="2"/>
      <c r="H13" s="2"/>
    </row>
    <row r="14" customFormat="false" ht="15" hidden="false" customHeight="false" outlineLevel="0" collapsed="false">
      <c r="A14" s="2"/>
      <c r="B14" s="21" t="s">
        <v>1932</v>
      </c>
      <c r="C14" s="44" t="n">
        <f aca="false">Hypothèses!$J$26*C11-C10</f>
        <v>1493</v>
      </c>
      <c r="D14" s="23" t="s">
        <v>100</v>
      </c>
      <c r="E14" s="23" t="s">
        <v>1933</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1" t="s">
        <v>1934</v>
      </c>
      <c r="B16" s="21" t="s">
        <v>1935</v>
      </c>
      <c r="C16" s="2"/>
      <c r="D16" s="2"/>
      <c r="E16" s="2"/>
      <c r="F16" s="2"/>
      <c r="G16" s="2"/>
      <c r="H16" s="2"/>
    </row>
    <row r="17" customFormat="false" ht="15" hidden="false" customHeight="false" outlineLevel="0" collapsed="false">
      <c r="A17" s="2"/>
      <c r="B17" s="5" t="s">
        <v>1936</v>
      </c>
      <c r="C17" s="60" t="n">
        <f aca="false">Entrées!$C$16</f>
        <v>24548</v>
      </c>
      <c r="D17" s="23" t="s">
        <v>100</v>
      </c>
      <c r="E17" s="23" t="s">
        <v>148</v>
      </c>
      <c r="F17" s="2"/>
      <c r="G17" s="2"/>
      <c r="H17" s="2"/>
    </row>
    <row r="18" customFormat="false" ht="15" hidden="false" customHeight="false" outlineLevel="0" collapsed="false">
      <c r="A18" s="2"/>
      <c r="B18" s="5" t="s">
        <v>1937</v>
      </c>
      <c r="C18" s="63" t="n">
        <f aca="false">Entrées!$C$8-Entrées!$C$24+Entrées!$C$6</f>
        <v>7235</v>
      </c>
      <c r="D18" s="23" t="s">
        <v>100</v>
      </c>
      <c r="E18" s="23" t="s">
        <v>1938</v>
      </c>
      <c r="F18" s="2"/>
      <c r="G18" s="2"/>
      <c r="H18" s="2"/>
    </row>
    <row r="19" customFormat="false" ht="15" hidden="false" customHeight="false" outlineLevel="0" collapsed="false">
      <c r="A19" s="2"/>
      <c r="B19" s="21" t="s">
        <v>1939</v>
      </c>
      <c r="C19" s="61" t="n">
        <f aca="false">C17/C18</f>
        <v>3.39295093296475</v>
      </c>
      <c r="D19" s="23" t="s">
        <v>130</v>
      </c>
      <c r="E19" s="23" t="s">
        <v>1940</v>
      </c>
      <c r="F19" s="2"/>
      <c r="G19" s="2"/>
      <c r="H19" s="2"/>
    </row>
    <row r="20" customFormat="false" ht="15" hidden="false" customHeight="false" outlineLevel="0" collapsed="false">
      <c r="A20" s="2"/>
      <c r="B20" s="5" t="s">
        <v>1941</v>
      </c>
      <c r="C20" s="63" t="n">
        <f aca="false">Hypothèses!$J$7*11/12/Hypothèses!$J$19</f>
        <v>155.916136946582</v>
      </c>
      <c r="D20" s="23" t="s">
        <v>100</v>
      </c>
      <c r="E20" s="23" t="s">
        <v>1942</v>
      </c>
      <c r="F20" s="2"/>
      <c r="G20" s="2"/>
      <c r="H20" s="2"/>
    </row>
    <row r="21" customFormat="false" ht="15" hidden="false" customHeight="false" outlineLevel="0" collapsed="false">
      <c r="A21" s="2"/>
      <c r="B21" s="21" t="s">
        <v>1943</v>
      </c>
      <c r="C21" s="61" t="n">
        <f aca="false">C17/(C18+C20)</f>
        <v>3.32137444738232</v>
      </c>
      <c r="D21" s="23" t="s">
        <v>130</v>
      </c>
      <c r="E21" s="23"/>
      <c r="F21" s="2"/>
      <c r="G21" s="2"/>
      <c r="H21" s="2"/>
    </row>
    <row r="22" customFormat="false" ht="15" hidden="false" customHeight="false" outlineLevel="0" collapsed="false">
      <c r="A22" s="2"/>
      <c r="B22" s="5" t="s">
        <v>1944</v>
      </c>
      <c r="C22" s="63" t="n">
        <f aca="false">Entrées!$C$76-Entrées!$C$13</f>
        <v>1107</v>
      </c>
      <c r="D22" s="23" t="s">
        <v>100</v>
      </c>
      <c r="E22" s="23" t="s">
        <v>1945</v>
      </c>
      <c r="F22" s="2"/>
      <c r="G22" s="2"/>
      <c r="H22" s="2"/>
    </row>
    <row r="23" customFormat="false" ht="15" hidden="false" customHeight="false" outlineLevel="0" collapsed="false">
      <c r="A23" s="2"/>
      <c r="B23" s="21" t="s">
        <v>1946</v>
      </c>
      <c r="C23" s="61" t="n">
        <f aca="false">(C17-C22)/(C18+C20)</f>
        <v>3.17159599238589</v>
      </c>
      <c r="D23" s="23" t="s">
        <v>130</v>
      </c>
      <c r="E23" s="23" t="s">
        <v>1947</v>
      </c>
      <c r="F23" s="2"/>
      <c r="G23" s="2"/>
      <c r="H23" s="2"/>
    </row>
    <row r="24" customFormat="false" ht="15" hidden="false" customHeight="false" outlineLevel="0" collapsed="false">
      <c r="A24" s="2"/>
      <c r="B24" s="5" t="s">
        <v>1948</v>
      </c>
      <c r="C24" s="62" t="n">
        <f aca="false">Entrées!$C$19</f>
        <v>2.92</v>
      </c>
      <c r="D24" s="23" t="s">
        <v>130</v>
      </c>
      <c r="E24" s="23" t="s">
        <v>159</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1" t="s">
        <v>1949</v>
      </c>
      <c r="B26" s="21" t="s">
        <v>1950</v>
      </c>
      <c r="C26" s="2"/>
      <c r="D26" s="2"/>
      <c r="E26" s="2"/>
      <c r="F26" s="2"/>
      <c r="G26" s="2"/>
      <c r="H26" s="2"/>
    </row>
    <row r="27" customFormat="false" ht="15" hidden="false" customHeight="false" outlineLevel="0" collapsed="false">
      <c r="A27" s="2"/>
      <c r="B27" s="5" t="s">
        <v>1951</v>
      </c>
      <c r="C27" s="64" t="n">
        <f aca="false">Entrées!$C$132</f>
        <v>6.5</v>
      </c>
      <c r="D27" s="23" t="s">
        <v>509</v>
      </c>
      <c r="E27" s="23" t="s">
        <v>507</v>
      </c>
      <c r="F27" s="2"/>
      <c r="G27" s="2"/>
      <c r="H27" s="2"/>
    </row>
    <row r="28" customFormat="false" ht="15" hidden="false" customHeight="false" outlineLevel="0" collapsed="false">
      <c r="A28" s="2"/>
      <c r="B28" s="5" t="s">
        <v>1951</v>
      </c>
      <c r="C28" s="64" t="n">
        <f aca="false">Entrées!$C$133</f>
        <v>7.1</v>
      </c>
      <c r="D28" s="23" t="s">
        <v>509</v>
      </c>
      <c r="E28" s="23" t="s">
        <v>511</v>
      </c>
      <c r="F28" s="2"/>
      <c r="G28" s="2"/>
      <c r="H28" s="2"/>
    </row>
    <row r="29" customFormat="false" ht="15" hidden="false" customHeight="false" outlineLevel="0" collapsed="false">
      <c r="A29" s="2"/>
      <c r="B29" s="5" t="s">
        <v>1952</v>
      </c>
      <c r="C29" s="65" t="n">
        <f aca="false">Entrées!$C$134/100</f>
        <v>0.85</v>
      </c>
      <c r="D29" s="23" t="s">
        <v>296</v>
      </c>
      <c r="E29" s="23" t="s">
        <v>513</v>
      </c>
      <c r="F29" s="2"/>
      <c r="G29" s="2"/>
      <c r="H29" s="2"/>
    </row>
    <row r="30" customFormat="false" ht="15" hidden="false" customHeight="false" outlineLevel="0" collapsed="false">
      <c r="A30" s="2"/>
      <c r="B30" s="21" t="s">
        <v>1953</v>
      </c>
      <c r="C30" s="44" t="n">
        <f aca="false">Hypothèses!$J$26*Entrées!$C$17*1000</f>
        <v>24000</v>
      </c>
      <c r="D30" s="23" t="s">
        <v>100</v>
      </c>
      <c r="E30" s="23" t="s">
        <v>1954</v>
      </c>
      <c r="F30" s="2"/>
      <c r="G30" s="2"/>
      <c r="H30" s="2"/>
    </row>
    <row r="31" customFormat="false" ht="15" hidden="false" customHeight="false" outlineLevel="0" collapsed="false">
      <c r="A31" s="2"/>
      <c r="B31" s="21" t="s">
        <v>1955</v>
      </c>
      <c r="C31" s="44" t="n">
        <f aca="false">Hypothèses!$J$26*Trajectoire!$D$41</f>
        <v>23944.29152183</v>
      </c>
      <c r="D31" s="23" t="s">
        <v>100</v>
      </c>
      <c r="E31" s="23" t="s">
        <v>1956</v>
      </c>
      <c r="F31" s="2"/>
      <c r="G31" s="2"/>
      <c r="H31" s="2"/>
    </row>
    <row r="32" customFormat="false" ht="15" hidden="false" customHeight="false" outlineLevel="0" collapsed="false">
      <c r="A32" s="2"/>
      <c r="B32" s="5" t="s">
        <v>1957</v>
      </c>
      <c r="C32" s="63" t="n">
        <f aca="false">Hypothèses!$J$26*500</f>
        <v>1500</v>
      </c>
      <c r="D32" s="23" t="s">
        <v>100</v>
      </c>
      <c r="E32" s="23" t="s">
        <v>1958</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1" t="s">
        <v>1959</v>
      </c>
      <c r="B34" s="21" t="s">
        <v>1960</v>
      </c>
      <c r="C34" s="2"/>
      <c r="D34" s="2"/>
      <c r="E34" s="2"/>
      <c r="F34" s="2"/>
      <c r="G34" s="2"/>
      <c r="H34" s="2"/>
    </row>
    <row r="35" customFormat="false" ht="15" hidden="false" customHeight="false" outlineLevel="0" collapsed="false">
      <c r="A35" s="2"/>
      <c r="B35" s="5" t="s">
        <v>517</v>
      </c>
      <c r="C35" s="65" t="n">
        <f aca="false">Entrées!$C$143/100</f>
        <v>0.213</v>
      </c>
      <c r="D35" s="23" t="s">
        <v>296</v>
      </c>
      <c r="E35" s="23" t="s">
        <v>545</v>
      </c>
      <c r="F35" s="2"/>
      <c r="G35" s="2"/>
      <c r="H35" s="2"/>
    </row>
    <row r="36" customFormat="false" ht="15" hidden="false" customHeight="false" outlineLevel="0" collapsed="false">
      <c r="A36" s="2"/>
      <c r="B36" s="5" t="s">
        <v>517</v>
      </c>
      <c r="C36" s="65" t="n">
        <f aca="false">Entrées!$C$135/100</f>
        <v>0.203</v>
      </c>
      <c r="D36" s="23" t="s">
        <v>296</v>
      </c>
      <c r="E36" s="23" t="s">
        <v>516</v>
      </c>
      <c r="F36" s="2"/>
      <c r="G36" s="2"/>
      <c r="H36" s="2"/>
    </row>
    <row r="37" customFormat="false" ht="15" hidden="false" customHeight="false" outlineLevel="0" collapsed="false">
      <c r="A37" s="2"/>
      <c r="B37" s="5" t="s">
        <v>1961</v>
      </c>
      <c r="C37" s="65" t="n">
        <f aca="false">Entrées!$C$136/100</f>
        <v>0.18</v>
      </c>
      <c r="D37" s="23" t="s">
        <v>296</v>
      </c>
      <c r="E37" s="23" t="s">
        <v>522</v>
      </c>
      <c r="F37" s="2"/>
      <c r="G37" s="2"/>
      <c r="H37" s="2"/>
    </row>
    <row r="38" customFormat="false" ht="15" hidden="false" customHeight="false" outlineLevel="0" collapsed="false">
      <c r="A38" s="2"/>
      <c r="B38" s="5" t="s">
        <v>1962</v>
      </c>
      <c r="C38" s="65" t="n">
        <f aca="false">Entrées!$C$137/100</f>
        <v>0.19</v>
      </c>
      <c r="D38" s="23" t="s">
        <v>296</v>
      </c>
      <c r="E38" s="23" t="s">
        <v>526</v>
      </c>
      <c r="F38" s="2"/>
      <c r="G38" s="2"/>
      <c r="H38" s="2"/>
    </row>
    <row r="39" customFormat="false" ht="15" hidden="false" customHeight="false" outlineLevel="0" collapsed="false">
      <c r="A39" s="2"/>
      <c r="B39" s="5" t="s">
        <v>1963</v>
      </c>
      <c r="C39" s="66" t="str">
        <f aca="false">Entrées!$C$140</f>
        <v>high teens</v>
      </c>
      <c r="D39" s="23"/>
      <c r="E39" s="23" t="s">
        <v>1964</v>
      </c>
      <c r="F39" s="2"/>
      <c r="G39" s="2"/>
      <c r="H39" s="2"/>
    </row>
    <row r="40" customFormat="false" ht="15" hidden="false" customHeight="false" outlineLevel="0" collapsed="false">
      <c r="A40" s="2"/>
      <c r="B40" s="21" t="s">
        <v>1965</v>
      </c>
      <c r="C40" s="40" t="n">
        <f aca="false">Entrées!$C$151/100</f>
        <v>0.18</v>
      </c>
      <c r="D40" s="23" t="s">
        <v>296</v>
      </c>
      <c r="E40" s="23" t="s">
        <v>566</v>
      </c>
      <c r="F40" s="2"/>
      <c r="G40" s="2"/>
      <c r="H40" s="2"/>
    </row>
    <row r="41" customFormat="false" ht="15" hidden="false" customHeight="false" outlineLevel="0" collapsed="false">
      <c r="A41" s="2"/>
      <c r="B41" s="5" t="s">
        <v>1966</v>
      </c>
      <c r="C41" s="65" t="n">
        <f aca="false">Entrées!$C$152/100</f>
        <v>0.2</v>
      </c>
      <c r="D41" s="23" t="s">
        <v>296</v>
      </c>
      <c r="E41" s="23" t="s">
        <v>1967</v>
      </c>
      <c r="F41" s="2"/>
      <c r="G41" s="2"/>
      <c r="H41" s="2"/>
    </row>
    <row r="42" customFormat="false" ht="15" hidden="false" customHeight="false" outlineLevel="0" collapsed="false">
      <c r="A42" s="2"/>
      <c r="B42" s="5" t="s">
        <v>1968</v>
      </c>
      <c r="C42" s="63" t="n">
        <f aca="false">Entrées!$C$138*1000</f>
        <v>25400</v>
      </c>
      <c r="D42" s="23" t="s">
        <v>100</v>
      </c>
      <c r="E42" s="23" t="s">
        <v>529</v>
      </c>
      <c r="F42" s="2"/>
      <c r="G42" s="2"/>
      <c r="H42" s="2"/>
    </row>
    <row r="43" customFormat="false" ht="15" hidden="false" customHeight="false" outlineLevel="0" collapsed="false">
      <c r="A43" s="2"/>
      <c r="B43" s="5" t="s">
        <v>1969</v>
      </c>
      <c r="C43" s="63" t="n">
        <f aca="false">Entrées!$C$139*1000</f>
        <v>29000</v>
      </c>
      <c r="D43" s="23" t="s">
        <v>100</v>
      </c>
      <c r="E43" s="23" t="s">
        <v>532</v>
      </c>
      <c r="F43" s="2"/>
      <c r="G43" s="2"/>
      <c r="H43" s="2"/>
    </row>
    <row r="44" customFormat="false" ht="15" hidden="false" customHeight="false" outlineLevel="0" collapsed="false">
      <c r="A44" s="2"/>
      <c r="B44" s="21" t="s">
        <v>1970</v>
      </c>
      <c r="C44" s="44" t="n">
        <f aca="false">Levier!$C$36*Levier!$C$42</f>
        <v>5156.2</v>
      </c>
      <c r="D44" s="23" t="s">
        <v>100</v>
      </c>
      <c r="E44" s="23" t="s">
        <v>1971</v>
      </c>
      <c r="F44" s="2"/>
      <c r="G44" s="2"/>
      <c r="H44" s="2"/>
    </row>
    <row r="45" customFormat="false" ht="15" hidden="false" customHeight="false" outlineLevel="0" collapsed="false">
      <c r="A45" s="2"/>
      <c r="B45" s="21" t="s">
        <v>1972</v>
      </c>
      <c r="C45" s="44" t="n">
        <f aca="false">Levier!$C$40*Levier!$C$43</f>
        <v>5220</v>
      </c>
      <c r="D45" s="23" t="s">
        <v>100</v>
      </c>
      <c r="E45" s="23" t="s">
        <v>1973</v>
      </c>
      <c r="F45" s="2"/>
      <c r="G45" s="2"/>
      <c r="H45" s="2"/>
    </row>
    <row r="46" customFormat="false" ht="15" hidden="false" customHeight="false" outlineLevel="0" collapsed="false">
      <c r="A46" s="2"/>
      <c r="B46" s="21" t="s">
        <v>1974</v>
      </c>
      <c r="C46" s="44" t="n">
        <f aca="false">Levier!$C$44-Levier!$C$45</f>
        <v>-63.7999999999993</v>
      </c>
      <c r="D46" s="23" t="s">
        <v>100</v>
      </c>
      <c r="E46" s="23" t="s">
        <v>1975</v>
      </c>
      <c r="F46" s="2"/>
      <c r="G46" s="2"/>
      <c r="H46" s="2"/>
    </row>
    <row r="47" customFormat="false" ht="15" hidden="false" customHeight="false" outlineLevel="0" collapsed="false">
      <c r="A47" s="2"/>
      <c r="B47" s="5" t="s">
        <v>1976</v>
      </c>
      <c r="C47" s="63" t="n">
        <f aca="false">Levier!$C$44/Levier!$C$40</f>
        <v>28645.5555555556</v>
      </c>
      <c r="D47" s="23" t="s">
        <v>100</v>
      </c>
      <c r="E47" s="23" t="s">
        <v>1977</v>
      </c>
      <c r="F47" s="2"/>
      <c r="G47" s="2"/>
      <c r="H47" s="2"/>
    </row>
    <row r="48" customFormat="false" ht="15" hidden="false" customHeight="false" outlineLevel="0" collapsed="false">
      <c r="A48" s="2"/>
      <c r="B48" s="5" t="s">
        <v>1978</v>
      </c>
      <c r="C48" s="63" t="n">
        <f aca="false">Levier!$C$42-Entrées!$C$13</f>
        <v>5743</v>
      </c>
      <c r="D48" s="23" t="s">
        <v>100</v>
      </c>
      <c r="E48" s="23" t="s">
        <v>1979</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1" t="s">
        <v>1980</v>
      </c>
      <c r="B50" s="21" t="s">
        <v>1981</v>
      </c>
      <c r="C50" s="2"/>
      <c r="D50" s="2"/>
      <c r="E50" s="2"/>
      <c r="F50" s="2"/>
      <c r="G50" s="2"/>
      <c r="H50" s="2"/>
    </row>
    <row r="51" customFormat="false" ht="15" hidden="false" customHeight="false" outlineLevel="0" collapsed="false">
      <c r="A51" s="2"/>
      <c r="B51" s="5" t="s">
        <v>1982</v>
      </c>
      <c r="C51" s="60" t="n">
        <f aca="false">Entrées!$C$237</f>
        <v>29518</v>
      </c>
      <c r="D51" s="23" t="s">
        <v>100</v>
      </c>
      <c r="E51" s="23" t="s">
        <v>1983</v>
      </c>
      <c r="F51" s="2"/>
      <c r="G51" s="2"/>
      <c r="H51" s="2"/>
    </row>
    <row r="52" customFormat="false" ht="15" hidden="false" customHeight="false" outlineLevel="0" collapsed="false">
      <c r="A52" s="2"/>
      <c r="B52" s="5" t="s">
        <v>1984</v>
      </c>
      <c r="C52" s="60" t="n">
        <f aca="false">Entrées!$C$238</f>
        <v>647</v>
      </c>
      <c r="D52" s="23" t="s">
        <v>100</v>
      </c>
      <c r="E52" s="23" t="s">
        <v>815</v>
      </c>
      <c r="F52" s="2"/>
      <c r="G52" s="2"/>
      <c r="H52" s="2"/>
    </row>
    <row r="53" customFormat="false" ht="15" hidden="false" customHeight="false" outlineLevel="0" collapsed="false">
      <c r="A53" s="2"/>
      <c r="B53" s="5" t="s">
        <v>1985</v>
      </c>
      <c r="C53" s="60" t="n">
        <f aca="false">Entrées!$C$239</f>
        <v>2050</v>
      </c>
      <c r="D53" s="23" t="s">
        <v>100</v>
      </c>
      <c r="E53" s="23" t="s">
        <v>1986</v>
      </c>
      <c r="F53" s="2"/>
      <c r="G53" s="2"/>
      <c r="H53" s="2"/>
    </row>
    <row r="54" customFormat="false" ht="15" hidden="false" customHeight="false" outlineLevel="0" collapsed="false">
      <c r="A54" s="2"/>
      <c r="B54" s="5" t="s">
        <v>1987</v>
      </c>
      <c r="C54" s="60" t="n">
        <f aca="false">Entrées!$C$240</f>
        <v>1014</v>
      </c>
      <c r="D54" s="23" t="s">
        <v>100</v>
      </c>
      <c r="E54" s="23" t="s">
        <v>821</v>
      </c>
      <c r="F54" s="2"/>
      <c r="G54" s="2"/>
      <c r="H54" s="2"/>
    </row>
    <row r="55" customFormat="false" ht="15" hidden="false" customHeight="false" outlineLevel="0" collapsed="false">
      <c r="A55" s="2"/>
      <c r="B55" s="5" t="s">
        <v>1988</v>
      </c>
      <c r="C55" s="60" t="n">
        <f aca="false">Entrées!$C$241</f>
        <v>1650</v>
      </c>
      <c r="D55" s="23" t="s">
        <v>100</v>
      </c>
      <c r="E55" s="23" t="s">
        <v>824</v>
      </c>
      <c r="F55" s="2"/>
      <c r="G55" s="2"/>
      <c r="H55" s="2"/>
    </row>
    <row r="56" customFormat="false" ht="15" hidden="false" customHeight="false" outlineLevel="0" collapsed="false">
      <c r="A56" s="2"/>
      <c r="B56" s="21" t="s">
        <v>1989</v>
      </c>
      <c r="C56" s="44" t="n">
        <f aca="false">SUM(C51:C55)</f>
        <v>34879</v>
      </c>
      <c r="D56" s="23" t="s">
        <v>100</v>
      </c>
      <c r="E56" s="23" t="s">
        <v>1990</v>
      </c>
      <c r="F56" s="2"/>
      <c r="G56" s="2"/>
      <c r="H56" s="2"/>
    </row>
    <row r="57" customFormat="false" ht="15" hidden="false" customHeight="false" outlineLevel="0" collapsed="false">
      <c r="A57" s="2"/>
      <c r="B57" s="5" t="s">
        <v>1991</v>
      </c>
      <c r="C57" s="60" t="n">
        <f aca="false">Entrées!$C$242</f>
        <v>34879</v>
      </c>
      <c r="D57" s="23" t="s">
        <v>100</v>
      </c>
      <c r="E57" s="23" t="s">
        <v>827</v>
      </c>
      <c r="F57" s="2"/>
      <c r="G57" s="2"/>
      <c r="H57" s="2"/>
    </row>
    <row r="58" customFormat="false" ht="15" hidden="false" customHeight="false" outlineLevel="0" collapsed="false">
      <c r="A58" s="2"/>
      <c r="B58" s="5" t="s">
        <v>1992</v>
      </c>
      <c r="C58" s="60" t="n">
        <f aca="false">Entrées!$C$243</f>
        <v>9475</v>
      </c>
      <c r="D58" s="23" t="s">
        <v>100</v>
      </c>
      <c r="E58" s="23" t="s">
        <v>1993</v>
      </c>
      <c r="F58" s="2"/>
      <c r="G58" s="2"/>
      <c r="H58" s="2"/>
    </row>
    <row r="59" customFormat="false" ht="15" hidden="false" customHeight="false" outlineLevel="0" collapsed="false">
      <c r="A59" s="2"/>
      <c r="B59" s="21" t="s">
        <v>1994</v>
      </c>
      <c r="C59" s="44" t="n">
        <f aca="false">C57-C58</f>
        <v>25404</v>
      </c>
      <c r="D59" s="23" t="s">
        <v>100</v>
      </c>
      <c r="E59" s="23"/>
      <c r="F59" s="2"/>
      <c r="G59" s="2"/>
      <c r="H59" s="2"/>
    </row>
    <row r="60" customFormat="false" ht="15" hidden="false" customHeight="false" outlineLevel="0" collapsed="false">
      <c r="A60" s="2"/>
      <c r="B60" s="5" t="s">
        <v>1995</v>
      </c>
      <c r="C60" s="60" t="n">
        <f aca="false">Entrées!$C$244</f>
        <v>25404</v>
      </c>
      <c r="D60" s="23" t="s">
        <v>100</v>
      </c>
      <c r="E60" s="23" t="s">
        <v>833</v>
      </c>
      <c r="F60" s="2"/>
      <c r="G60" s="2"/>
      <c r="H60" s="2"/>
    </row>
    <row r="61" customFormat="false" ht="15" hidden="false" customHeight="false" outlineLevel="0" collapsed="false">
      <c r="A61" s="2"/>
      <c r="B61" s="5" t="s">
        <v>1996</v>
      </c>
      <c r="C61" s="63" t="n">
        <f aca="false">Entrées!$C$259-Entrées!$C$260-Entrées!$C$261+Entrées!$C$262</f>
        <v>19821</v>
      </c>
      <c r="D61" s="23" t="s">
        <v>100</v>
      </c>
      <c r="E61" s="23" t="s">
        <v>1997</v>
      </c>
      <c r="F61" s="2"/>
      <c r="G61" s="2"/>
      <c r="H61" s="2"/>
    </row>
    <row r="62" customFormat="false" ht="15" hidden="false" customHeight="false" outlineLevel="0" collapsed="false">
      <c r="A62" s="2"/>
      <c r="B62" s="5" t="s">
        <v>1998</v>
      </c>
      <c r="C62" s="65" t="n">
        <f aca="false">Levier!$C$53/(Levier!$C$60-Entrées!$C$13)</f>
        <v>0.356707847572647</v>
      </c>
      <c r="D62" s="23" t="s">
        <v>296</v>
      </c>
      <c r="E62" s="23" t="s">
        <v>1999</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1" t="s">
        <v>2000</v>
      </c>
      <c r="B64" s="21" t="s">
        <v>2001</v>
      </c>
      <c r="C64" s="2"/>
      <c r="D64" s="2"/>
      <c r="E64" s="2"/>
      <c r="F64" s="2"/>
      <c r="G64" s="2"/>
      <c r="H64" s="2"/>
    </row>
    <row r="65" customFormat="false" ht="15" hidden="false" customHeight="false" outlineLevel="0" collapsed="false">
      <c r="A65" s="2"/>
      <c r="B65" s="5" t="s">
        <v>2002</v>
      </c>
      <c r="C65" s="60" t="n">
        <f aca="false">Entrées!$C$251</f>
        <v>4655</v>
      </c>
      <c r="D65" s="23" t="s">
        <v>100</v>
      </c>
      <c r="E65" s="23" t="s">
        <v>851</v>
      </c>
      <c r="F65" s="2"/>
      <c r="G65" s="2"/>
      <c r="H65" s="2"/>
    </row>
    <row r="66" customFormat="false" ht="15" hidden="false" customHeight="false" outlineLevel="0" collapsed="false">
      <c r="A66" s="2"/>
      <c r="B66" s="5" t="s">
        <v>2003</v>
      </c>
      <c r="C66" s="60" t="n">
        <f aca="false">Entrées!$C$250</f>
        <v>4948</v>
      </c>
      <c r="D66" s="23" t="s">
        <v>100</v>
      </c>
      <c r="E66" s="23" t="s">
        <v>849</v>
      </c>
      <c r="F66" s="2"/>
      <c r="G66" s="2"/>
      <c r="H66" s="2"/>
    </row>
    <row r="67" customFormat="false" ht="15" hidden="false" customHeight="false" outlineLevel="0" collapsed="false">
      <c r="A67" s="2"/>
      <c r="B67" s="21" t="s">
        <v>2004</v>
      </c>
      <c r="C67" s="67" t="n">
        <f aca="false">Entrées!$C$249</f>
        <v>5160</v>
      </c>
      <c r="D67" s="23" t="s">
        <v>100</v>
      </c>
      <c r="E67" s="23" t="s">
        <v>846</v>
      </c>
      <c r="F67" s="2"/>
      <c r="G67" s="2"/>
      <c r="H67" s="2"/>
    </row>
    <row r="68" customFormat="false" ht="15" hidden="false" customHeight="false" outlineLevel="0" collapsed="false">
      <c r="A68" s="2"/>
      <c r="B68" s="5" t="s">
        <v>2005</v>
      </c>
      <c r="C68" s="65" t="n">
        <f aca="false">C67/Entrées!$C$8</f>
        <v>0.731914893617021</v>
      </c>
      <c r="D68" s="23" t="s">
        <v>296</v>
      </c>
      <c r="E68" s="23" t="s">
        <v>2006</v>
      </c>
      <c r="F68" s="2"/>
      <c r="G68" s="2"/>
      <c r="H68" s="2"/>
    </row>
    <row r="69" customFormat="false" ht="15" hidden="false" customHeight="false" outlineLevel="0" collapsed="false">
      <c r="A69" s="2"/>
      <c r="B69" s="5" t="s">
        <v>2007</v>
      </c>
      <c r="C69" s="65" t="n">
        <f aca="false">C67/Levier!$C$60</f>
        <v>0.203117619272556</v>
      </c>
      <c r="D69" s="23" t="s">
        <v>296</v>
      </c>
      <c r="E69" s="23"/>
      <c r="F69" s="2"/>
      <c r="G69" s="2"/>
      <c r="H69" s="2"/>
    </row>
    <row r="70" customFormat="false" ht="15" hidden="false" customHeight="false" outlineLevel="0" collapsed="false">
      <c r="A70" s="2"/>
      <c r="B70" s="5" t="s">
        <v>2008</v>
      </c>
      <c r="C70" s="60" t="n">
        <f aca="false">Entrées!$C$252</f>
        <v>1341</v>
      </c>
      <c r="D70" s="23" t="s">
        <v>100</v>
      </c>
      <c r="E70" s="23" t="s">
        <v>853</v>
      </c>
      <c r="F70" s="2"/>
      <c r="G70" s="2"/>
      <c r="H70" s="2"/>
    </row>
    <row r="71" customFormat="false" ht="15" hidden="false" customHeight="false" outlineLevel="0" collapsed="false">
      <c r="A71" s="2"/>
      <c r="B71" s="5" t="s">
        <v>2009</v>
      </c>
      <c r="C71" s="60" t="n">
        <f aca="false">Entrées!$C$253</f>
        <v>3819</v>
      </c>
      <c r="D71" s="23" t="s">
        <v>100</v>
      </c>
      <c r="E71" s="23" t="s">
        <v>856</v>
      </c>
      <c r="F71" s="2"/>
      <c r="G71" s="2"/>
      <c r="H71" s="2"/>
    </row>
    <row r="72" customFormat="false" ht="15" hidden="false" customHeight="false" outlineLevel="0" collapsed="false">
      <c r="A72" s="2"/>
      <c r="B72" s="5" t="s">
        <v>2010</v>
      </c>
      <c r="C72" s="60" t="n">
        <f aca="false">Entrées!$C$256</f>
        <v>1162</v>
      </c>
      <c r="D72" s="23" t="s">
        <v>100</v>
      </c>
      <c r="E72" s="23" t="s">
        <v>865</v>
      </c>
      <c r="F72" s="2"/>
      <c r="G72" s="2"/>
      <c r="H72" s="2"/>
    </row>
    <row r="73" customFormat="false" ht="15" hidden="false" customHeight="false" outlineLevel="0" collapsed="false">
      <c r="A73" s="2"/>
      <c r="B73" s="5" t="s">
        <v>2011</v>
      </c>
      <c r="C73" s="62" t="n">
        <f aca="false">Entrées!$C$257</f>
        <v>3.7</v>
      </c>
      <c r="D73" s="23" t="s">
        <v>130</v>
      </c>
      <c r="E73" s="23" t="s">
        <v>2012</v>
      </c>
      <c r="F73" s="2"/>
      <c r="G73" s="2"/>
      <c r="H73" s="2"/>
    </row>
    <row r="74" customFormat="false" ht="15" hidden="false" customHeight="false" outlineLevel="0" collapsed="false">
      <c r="A74" s="2"/>
      <c r="B74" s="5" t="s">
        <v>2013</v>
      </c>
      <c r="C74" s="65" t="n">
        <f aca="false">Entrées!$C$232/100</f>
        <v>0.185</v>
      </c>
      <c r="D74" s="23" t="s">
        <v>296</v>
      </c>
      <c r="E74" s="23" t="s">
        <v>798</v>
      </c>
      <c r="F74" s="2"/>
      <c r="G74" s="2"/>
      <c r="H74" s="2"/>
    </row>
    <row r="75" customFormat="false" ht="15" hidden="false" customHeight="false" outlineLevel="0" collapsed="false">
      <c r="A75" s="2"/>
      <c r="B75" s="5" t="s">
        <v>2014</v>
      </c>
      <c r="C75" s="65" t="n">
        <f aca="false">Entrées!$C$233/100</f>
        <v>0.195</v>
      </c>
      <c r="D75" s="23" t="s">
        <v>296</v>
      </c>
      <c r="E75" s="23" t="s">
        <v>801</v>
      </c>
      <c r="F75" s="2"/>
      <c r="G75" s="2"/>
      <c r="H75" s="2"/>
    </row>
    <row r="76" customFormat="false" ht="43.5" hidden="false" customHeight="true" outlineLevel="0" collapsed="false">
      <c r="A76" s="2"/>
      <c r="B76" s="68" t="s">
        <v>2015</v>
      </c>
      <c r="C76" s="68"/>
      <c r="D76" s="68"/>
      <c r="E76" s="68"/>
      <c r="F76" s="2"/>
      <c r="G76" s="2"/>
      <c r="H76" s="2"/>
    </row>
    <row r="77" customFormat="false" ht="43.5" hidden="false" customHeight="true" outlineLevel="0" collapsed="false">
      <c r="A77" s="2"/>
      <c r="B77" s="68" t="s">
        <v>2016</v>
      </c>
      <c r="C77" s="68"/>
      <c r="D77" s="68"/>
      <c r="E77" s="68"/>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1" t="s">
        <v>2017</v>
      </c>
      <c r="B79" s="21" t="s">
        <v>2018</v>
      </c>
      <c r="C79" s="2"/>
      <c r="D79" s="2"/>
      <c r="E79" s="2"/>
      <c r="F79" s="2"/>
      <c r="G79" s="2"/>
      <c r="H79" s="2"/>
    </row>
    <row r="80" customFormat="false" ht="15" hidden="false" customHeight="false" outlineLevel="0" collapsed="false">
      <c r="A80" s="20"/>
      <c r="B80" s="20" t="s">
        <v>2019</v>
      </c>
      <c r="C80" s="20" t="s">
        <v>167</v>
      </c>
      <c r="D80" s="20" t="s">
        <v>222</v>
      </c>
      <c r="E80" s="20" t="s">
        <v>1839</v>
      </c>
      <c r="F80" s="2"/>
      <c r="G80" s="2"/>
      <c r="H80" s="2"/>
    </row>
    <row r="81" customFormat="false" ht="15" hidden="false" customHeight="false" outlineLevel="0" collapsed="false">
      <c r="A81" s="2"/>
      <c r="B81" s="5" t="s">
        <v>2020</v>
      </c>
      <c r="C81" s="60" t="n">
        <f aca="false">Entrées!$C$313</f>
        <v>6144</v>
      </c>
      <c r="D81" s="60" t="n">
        <f aca="false">Entrées!$C$314</f>
        <v>5818</v>
      </c>
      <c r="E81" s="23" t="s">
        <v>2021</v>
      </c>
      <c r="F81" s="2"/>
      <c r="G81" s="2"/>
      <c r="H81" s="2"/>
    </row>
    <row r="82" customFormat="false" ht="15" hidden="false" customHeight="false" outlineLevel="0" collapsed="false">
      <c r="A82" s="2"/>
      <c r="B82" s="5" t="s">
        <v>2022</v>
      </c>
      <c r="C82" s="60" t="n">
        <f aca="false">Entrées!$C$319</f>
        <v>-596</v>
      </c>
      <c r="D82" s="60" t="n">
        <f aca="false">Entrées!$C$320</f>
        <v>-579</v>
      </c>
      <c r="E82" s="23" t="s">
        <v>2023</v>
      </c>
      <c r="F82" s="2"/>
      <c r="G82" s="2"/>
      <c r="H82" s="2"/>
    </row>
    <row r="83" customFormat="false" ht="15" hidden="false" customHeight="false" outlineLevel="0" collapsed="false">
      <c r="A83" s="2"/>
      <c r="B83" s="5" t="s">
        <v>2024</v>
      </c>
      <c r="C83" s="60" t="n">
        <f aca="false">Entrées!$C$333</f>
        <v>-619</v>
      </c>
      <c r="D83" s="60" t="n">
        <f aca="false">Entrées!$C$334</f>
        <v>-585</v>
      </c>
      <c r="E83" s="23" t="s">
        <v>2025</v>
      </c>
      <c r="F83" s="2"/>
      <c r="G83" s="2"/>
      <c r="H83" s="2"/>
    </row>
    <row r="84" customFormat="false" ht="15" hidden="false" customHeight="false" outlineLevel="0" collapsed="false">
      <c r="A84" s="2"/>
      <c r="B84" s="5" t="s">
        <v>2026</v>
      </c>
      <c r="C84" s="60" t="n">
        <f aca="false">Entrées!$C$335</f>
        <v>-78</v>
      </c>
      <c r="D84" s="60" t="n">
        <f aca="false">Entrées!$C$336</f>
        <v>-86</v>
      </c>
      <c r="E84" s="23" t="s">
        <v>2027</v>
      </c>
      <c r="F84" s="2"/>
      <c r="G84" s="2"/>
      <c r="H84" s="2"/>
    </row>
    <row r="85" customFormat="false" ht="15" hidden="false" customHeight="false" outlineLevel="0" collapsed="false">
      <c r="A85" s="2"/>
      <c r="B85" s="5" t="s">
        <v>2028</v>
      </c>
      <c r="C85" s="60" t="n">
        <f aca="false">Entrées!$C$337</f>
        <v>-67</v>
      </c>
      <c r="D85" s="60" t="n">
        <f aca="false">Entrées!$C$338</f>
        <v>-66</v>
      </c>
      <c r="E85" s="23" t="s">
        <v>2029</v>
      </c>
      <c r="F85" s="2"/>
      <c r="G85" s="2"/>
      <c r="H85" s="2"/>
    </row>
    <row r="86" customFormat="false" ht="15" hidden="false" customHeight="false" outlineLevel="0" collapsed="false">
      <c r="A86" s="2"/>
      <c r="B86" s="5" t="s">
        <v>2030</v>
      </c>
      <c r="C86" s="60" t="n">
        <f aca="false">Entrées!$C$401</f>
        <v>268</v>
      </c>
      <c r="D86" s="60" t="n">
        <f aca="false">Entrées!$C$324</f>
        <v>227</v>
      </c>
      <c r="E86" s="23" t="s">
        <v>2031</v>
      </c>
      <c r="F86" s="2"/>
      <c r="G86" s="2"/>
      <c r="H86" s="2"/>
    </row>
    <row r="87" customFormat="false" ht="15" hidden="false" customHeight="false" outlineLevel="0" collapsed="false">
      <c r="A87" s="2"/>
      <c r="B87" s="5" t="s">
        <v>2032</v>
      </c>
      <c r="C87" s="60" t="n">
        <f aca="false">Entrées!$C$325</f>
        <v>105</v>
      </c>
      <c r="D87" s="60" t="n">
        <f aca="false">Entrées!$C$326</f>
        <v>123</v>
      </c>
      <c r="E87" s="23" t="s">
        <v>2033</v>
      </c>
      <c r="F87" s="2"/>
      <c r="G87" s="2"/>
      <c r="H87" s="2"/>
    </row>
    <row r="88" customFormat="false" ht="15" hidden="false" customHeight="false" outlineLevel="0" collapsed="false">
      <c r="A88" s="2"/>
      <c r="B88" s="21" t="s">
        <v>2034</v>
      </c>
      <c r="C88" s="69" t="n">
        <f aca="false">SUM(C81:C87)</f>
        <v>5157</v>
      </c>
      <c r="D88" s="69" t="n">
        <f aca="false">SUM(D81:D87)</f>
        <v>4852</v>
      </c>
      <c r="E88" s="2"/>
      <c r="F88" s="2"/>
      <c r="G88" s="2"/>
      <c r="H88" s="2"/>
    </row>
    <row r="89" customFormat="false" ht="15" hidden="false" customHeight="false" outlineLevel="0" collapsed="false">
      <c r="A89" s="2"/>
      <c r="B89" s="5" t="s">
        <v>2035</v>
      </c>
      <c r="C89" s="60" t="n">
        <f aca="false">Entrées!$C$249</f>
        <v>5160</v>
      </c>
      <c r="D89" s="60" t="n">
        <f aca="false">Entrées!$C$250</f>
        <v>4948</v>
      </c>
      <c r="E89" s="23" t="s">
        <v>2036</v>
      </c>
      <c r="F89" s="2"/>
      <c r="G89" s="2"/>
      <c r="H89" s="2"/>
    </row>
    <row r="90" customFormat="false" ht="15" hidden="false" customHeight="false" outlineLevel="0" collapsed="false">
      <c r="A90" s="2"/>
      <c r="B90" s="5" t="s">
        <v>2037</v>
      </c>
      <c r="C90" s="63" t="n">
        <f aca="false">C88-C89</f>
        <v>-3</v>
      </c>
      <c r="D90" s="63" t="n">
        <f aca="false">D88-D89</f>
        <v>-96</v>
      </c>
      <c r="E90" s="2"/>
      <c r="F90" s="2"/>
      <c r="G90" s="2"/>
      <c r="H90" s="2"/>
    </row>
    <row r="91" customFormat="false" ht="15" hidden="false" customHeight="false" outlineLevel="0" collapsed="false">
      <c r="A91" s="2"/>
      <c r="B91" s="21" t="s">
        <v>2038</v>
      </c>
      <c r="C91" s="40" t="n">
        <f aca="false">C88/C89-1</f>
        <v>-0.000581395348837166</v>
      </c>
      <c r="D91" s="40" t="n">
        <f aca="false">D88/D89-1</f>
        <v>-0.0194017784963622</v>
      </c>
      <c r="E91" s="2"/>
      <c r="F91" s="2"/>
      <c r="G91" s="2"/>
      <c r="H91" s="2"/>
    </row>
    <row r="92" customFormat="false" ht="15" hidden="false" customHeight="false" outlineLevel="0" collapsed="false">
      <c r="A92" s="2"/>
      <c r="B92" s="5" t="s">
        <v>2039</v>
      </c>
      <c r="C92" s="65" t="n">
        <f aca="false">C88/Entrées!$C$8</f>
        <v>0.731489361702128</v>
      </c>
      <c r="D92" s="65" t="n">
        <f aca="false">D88/Entrées!$C$22</f>
        <v>0.714790807307012</v>
      </c>
      <c r="E92" s="23" t="s">
        <v>2040</v>
      </c>
      <c r="F92" s="2"/>
      <c r="G92" s="2"/>
      <c r="H92" s="2"/>
    </row>
    <row r="93" customFormat="false" ht="15" hidden="false" customHeight="false" outlineLevel="0" collapsed="false">
      <c r="A93" s="2"/>
      <c r="B93" s="5" t="s">
        <v>2041</v>
      </c>
      <c r="C93" s="65" t="n">
        <f aca="false">C88/Levier!$C$60</f>
        <v>0.202999527633444</v>
      </c>
      <c r="D93" s="65" t="n">
        <f aca="false">D88/Entrées!$C$245</f>
        <v>0.208481931852361</v>
      </c>
      <c r="E93" s="23" t="s">
        <v>2042</v>
      </c>
      <c r="F93" s="2"/>
      <c r="G93" s="2"/>
      <c r="H93" s="2"/>
    </row>
    <row r="94" customFormat="false" ht="57.75" hidden="false" customHeight="true" outlineLevel="0" collapsed="false">
      <c r="A94" s="2"/>
      <c r="B94" s="68" t="s">
        <v>2043</v>
      </c>
      <c r="C94" s="68"/>
      <c r="D94" s="68"/>
      <c r="E94" s="68"/>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1" t="s">
        <v>2044</v>
      </c>
      <c r="B96" s="21" t="s">
        <v>2045</v>
      </c>
      <c r="C96" s="2"/>
      <c r="D96" s="2"/>
      <c r="E96" s="2"/>
      <c r="F96" s="2"/>
      <c r="G96" s="2"/>
      <c r="H96" s="2"/>
    </row>
    <row r="97" customFormat="false" ht="35.05" hidden="false" customHeight="false" outlineLevel="0" collapsed="false">
      <c r="A97" s="20"/>
      <c r="B97" s="20" t="s">
        <v>2046</v>
      </c>
      <c r="C97" s="20" t="s">
        <v>2047</v>
      </c>
      <c r="D97" s="20" t="s">
        <v>2048</v>
      </c>
      <c r="E97" s="20" t="s">
        <v>2049</v>
      </c>
      <c r="F97" s="20" t="s">
        <v>2050</v>
      </c>
      <c r="G97" s="20" t="s">
        <v>2051</v>
      </c>
      <c r="H97" s="20" t="s">
        <v>1839</v>
      </c>
    </row>
    <row r="98" customFormat="false" ht="15" hidden="false" customHeight="false" outlineLevel="0" collapsed="false">
      <c r="A98" s="2"/>
      <c r="B98" s="21" t="s">
        <v>2052</v>
      </c>
      <c r="C98" s="70" t="str">
        <f aca="false">Entrées!$C$550</f>
        <v>Baa1 Stable</v>
      </c>
      <c r="D98" s="71" t="n">
        <f aca="false">Levier!$C$36</f>
        <v>0.203</v>
      </c>
      <c r="E98" s="65" t="n">
        <f aca="false">Entrées!$C$253/Levier!$C$60</f>
        <v>0.150330656589513</v>
      </c>
      <c r="F98" s="62" t="n">
        <f aca="false">Entrées!$C$258</f>
        <v>5.1</v>
      </c>
      <c r="G98" s="60" t="n">
        <f aca="false">Entrées!$C$248</f>
        <v>6777.8</v>
      </c>
      <c r="H98" s="23" t="s">
        <v>2053</v>
      </c>
    </row>
    <row r="99" customFormat="false" ht="15" hidden="false" customHeight="false" outlineLevel="0" collapsed="false">
      <c r="A99" s="2"/>
      <c r="B99" s="5" t="s">
        <v>2054</v>
      </c>
      <c r="C99" s="70" t="str">
        <f aca="false">Entrées!$C$535</f>
        <v>Baa1 Stable</v>
      </c>
      <c r="D99" s="71" t="n">
        <f aca="false">Entrées!$C$537/100</f>
        <v>0.203</v>
      </c>
      <c r="E99" s="71" t="n">
        <f aca="false">Entrées!$C$538/100</f>
        <v>0.175</v>
      </c>
      <c r="F99" s="62" t="n">
        <f aca="false">Entrées!$C$539</f>
        <v>4.2</v>
      </c>
      <c r="G99" s="60" t="n">
        <f aca="false">Entrées!$C$536</f>
        <v>1415</v>
      </c>
      <c r="H99" s="23" t="s">
        <v>2055</v>
      </c>
    </row>
    <row r="100" customFormat="false" ht="15" hidden="false" customHeight="false" outlineLevel="0" collapsed="false">
      <c r="A100" s="2"/>
      <c r="B100" s="5" t="s">
        <v>2056</v>
      </c>
      <c r="C100" s="70" t="str">
        <f aca="false">Entrées!$C$540</f>
        <v>Baa1 Stable</v>
      </c>
      <c r="D100" s="71" t="n">
        <f aca="false">Entrées!$C$542/100</f>
        <v>0.233</v>
      </c>
      <c r="E100" s="71" t="n">
        <f aca="false">Entrées!$C$543/100</f>
        <v>0.169</v>
      </c>
      <c r="F100" s="62" t="n">
        <f aca="false">Entrées!$C$544</f>
        <v>3.8</v>
      </c>
      <c r="G100" s="60" t="n">
        <f aca="false">Entrées!$C$541</f>
        <v>1476</v>
      </c>
      <c r="H100" s="23" t="s">
        <v>2057</v>
      </c>
    </row>
    <row r="101" customFormat="false" ht="15" hidden="false" customHeight="false" outlineLevel="0" collapsed="false">
      <c r="A101" s="2"/>
      <c r="B101" s="5" t="s">
        <v>2058</v>
      </c>
      <c r="C101" s="70" t="str">
        <f aca="false">Entrées!$C$545</f>
        <v>Baa2 Negative</v>
      </c>
      <c r="D101" s="71" t="n">
        <f aca="false">Entrées!$C$547/100</f>
        <v>0.114</v>
      </c>
      <c r="E101" s="71" t="n">
        <f aca="false">Entrées!$C$548/100</f>
        <v>0.103</v>
      </c>
      <c r="F101" s="62" t="n">
        <f aca="false">Entrées!$C$549</f>
        <v>6.8</v>
      </c>
      <c r="G101" s="60" t="n">
        <f aca="false">Entrées!$C$546</f>
        <v>1088</v>
      </c>
      <c r="H101" s="23" t="s">
        <v>2059</v>
      </c>
    </row>
    <row r="102" customFormat="false" ht="15" hidden="false" customHeight="false" outlineLevel="0" collapsed="false">
      <c r="A102" s="2"/>
      <c r="B102" s="21" t="s">
        <v>2060</v>
      </c>
      <c r="C102" s="40" t="n">
        <f aca="false">D98-D101</f>
        <v>0.089</v>
      </c>
      <c r="D102" s="23" t="s">
        <v>2061</v>
      </c>
      <c r="E102" s="23" t="s">
        <v>2062</v>
      </c>
      <c r="F102" s="2"/>
      <c r="G102" s="2"/>
      <c r="H102" s="2"/>
    </row>
    <row r="103" customFormat="false" ht="15" hidden="false" customHeight="false" outlineLevel="0" collapsed="false">
      <c r="A103" s="2"/>
      <c r="B103" s="21" t="s">
        <v>2063</v>
      </c>
      <c r="C103" s="40" t="n">
        <f aca="false">D98-D100</f>
        <v>-0.03</v>
      </c>
      <c r="D103" s="23" t="s">
        <v>2061</v>
      </c>
      <c r="E103" s="23" t="s">
        <v>2064</v>
      </c>
      <c r="F103" s="2"/>
      <c r="G103" s="2"/>
      <c r="H103" s="2"/>
    </row>
    <row r="104" customFormat="false" ht="43.5" hidden="false" customHeight="true" outlineLevel="0" collapsed="false">
      <c r="A104" s="2"/>
      <c r="B104" s="68" t="s">
        <v>2065</v>
      </c>
      <c r="C104" s="68"/>
      <c r="D104" s="68"/>
      <c r="E104" s="68"/>
      <c r="F104" s="68"/>
      <c r="G104" s="68"/>
      <c r="H104" s="68"/>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1" t="s">
        <v>2066</v>
      </c>
      <c r="B106" s="21" t="s">
        <v>2067</v>
      </c>
      <c r="C106" s="2"/>
      <c r="D106" s="2"/>
      <c r="E106" s="2"/>
      <c r="F106" s="2"/>
      <c r="G106" s="2"/>
      <c r="H106" s="2"/>
    </row>
    <row r="107" customFormat="false" ht="35.05" hidden="false" customHeight="false" outlineLevel="0" collapsed="false">
      <c r="A107" s="20"/>
      <c r="B107" s="20" t="s">
        <v>2068</v>
      </c>
      <c r="C107" s="20" t="s">
        <v>2069</v>
      </c>
      <c r="D107" s="20" t="s">
        <v>2070</v>
      </c>
      <c r="E107" s="20" t="s">
        <v>2071</v>
      </c>
      <c r="F107" s="20" t="s">
        <v>2072</v>
      </c>
      <c r="G107" s="20" t="s">
        <v>1839</v>
      </c>
      <c r="H107" s="2"/>
    </row>
    <row r="108" customFormat="false" ht="15" hidden="false" customHeight="false" outlineLevel="0" collapsed="false">
      <c r="A108" s="2"/>
      <c r="B108" s="5" t="s">
        <v>2073</v>
      </c>
      <c r="C108" s="60" t="n">
        <f aca="false">Entrées!$C$570</f>
        <v>500</v>
      </c>
      <c r="D108" s="72" t="n">
        <f aca="false">Entrées!$C$571/100</f>
        <v>0.01625</v>
      </c>
      <c r="E108" s="24" t="s">
        <v>2074</v>
      </c>
      <c r="F108" s="63" t="n">
        <f aca="false">C108*D108</f>
        <v>8.125</v>
      </c>
      <c r="G108" s="23" t="s">
        <v>2075</v>
      </c>
      <c r="H108" s="2"/>
    </row>
    <row r="109" customFormat="false" ht="15" hidden="false" customHeight="false" outlineLevel="0" collapsed="false">
      <c r="A109" s="2"/>
      <c r="B109" s="5" t="s">
        <v>2076</v>
      </c>
      <c r="C109" s="60" t="n">
        <f aca="false">Entrées!$C$572</f>
        <v>500</v>
      </c>
      <c r="D109" s="72" t="n">
        <f aca="false">Entrées!$C$573/100</f>
        <v>0.02</v>
      </c>
      <c r="E109" s="24" t="s">
        <v>2077</v>
      </c>
      <c r="F109" s="63" t="n">
        <f aca="false">C109*D109</f>
        <v>10</v>
      </c>
      <c r="G109" s="23" t="s">
        <v>2078</v>
      </c>
      <c r="H109" s="2"/>
    </row>
    <row r="110" customFormat="false" ht="15" hidden="false" customHeight="false" outlineLevel="0" collapsed="false">
      <c r="A110" s="2"/>
      <c r="B110" s="5" t="s">
        <v>2079</v>
      </c>
      <c r="C110" s="60" t="n">
        <f aca="false">Entrées!$C$574</f>
        <v>600</v>
      </c>
      <c r="D110" s="72" t="n">
        <f aca="false">Entrées!$C$575/100</f>
        <v>0.06</v>
      </c>
      <c r="E110" s="24" t="s">
        <v>2080</v>
      </c>
      <c r="F110" s="63" t="n">
        <f aca="false">C110*D110</f>
        <v>36</v>
      </c>
      <c r="G110" s="23" t="s">
        <v>2081</v>
      </c>
      <c r="H110" s="2"/>
    </row>
    <row r="111" customFormat="false" ht="15" hidden="false" customHeight="false" outlineLevel="0" collapsed="false">
      <c r="A111" s="2"/>
      <c r="B111" s="5" t="s">
        <v>2082</v>
      </c>
      <c r="C111" s="60" t="n">
        <f aca="false">Entrées!$C$568</f>
        <v>1150</v>
      </c>
      <c r="D111" s="72" t="n">
        <f aca="false">Entrées!$C$569/100</f>
        <v>0.025</v>
      </c>
      <c r="E111" s="24" t="s">
        <v>2083</v>
      </c>
      <c r="F111" s="63" t="n">
        <f aca="false">C111*D111</f>
        <v>28.75</v>
      </c>
      <c r="G111" s="23" t="s">
        <v>2084</v>
      </c>
      <c r="H111" s="2"/>
    </row>
    <row r="112" customFormat="false" ht="15" hidden="false" customHeight="false" outlineLevel="0" collapsed="false">
      <c r="A112" s="2"/>
      <c r="B112" s="5" t="s">
        <v>2085</v>
      </c>
      <c r="C112" s="60" t="n">
        <f aca="false">Entrées!$C$576</f>
        <v>500</v>
      </c>
      <c r="D112" s="72" t="n">
        <f aca="false">Entrées!$C$577/100</f>
        <v>0.04371</v>
      </c>
      <c r="E112" s="24" t="s">
        <v>2086</v>
      </c>
      <c r="F112" s="63" t="n">
        <f aca="false">C112*D112</f>
        <v>21.855</v>
      </c>
      <c r="G112" s="23" t="s">
        <v>2087</v>
      </c>
      <c r="H112" s="2"/>
    </row>
    <row r="113" customFormat="false" ht="15" hidden="false" customHeight="false" outlineLevel="0" collapsed="false">
      <c r="A113" s="2"/>
      <c r="B113" s="5" t="s">
        <v>2088</v>
      </c>
      <c r="C113" s="60" t="n">
        <f aca="false">Entrées!$C$578</f>
        <v>850</v>
      </c>
      <c r="D113" s="72" t="n">
        <f aca="false">Entrées!$C$579/100</f>
        <v>0.04322</v>
      </c>
      <c r="E113" s="24" t="s">
        <v>2089</v>
      </c>
      <c r="F113" s="63" t="n">
        <f aca="false">C113*D113</f>
        <v>36.737</v>
      </c>
      <c r="G113" s="23" t="s">
        <v>2090</v>
      </c>
      <c r="H113" s="2"/>
    </row>
    <row r="114" customFormat="false" ht="15" hidden="false" customHeight="false" outlineLevel="0" collapsed="false">
      <c r="A114" s="2"/>
      <c r="B114" s="21" t="s">
        <v>2091</v>
      </c>
      <c r="C114" s="44" t="n">
        <f aca="false">SUM(C108:C113)</f>
        <v>4100</v>
      </c>
      <c r="D114" s="23" t="s">
        <v>100</v>
      </c>
      <c r="E114" s="23"/>
      <c r="F114" s="44" t="n">
        <f aca="false">SUM(F108:F113)</f>
        <v>141.467</v>
      </c>
      <c r="G114" s="2"/>
      <c r="H114" s="2"/>
    </row>
    <row r="115" customFormat="false" ht="15" hidden="false" customHeight="false" outlineLevel="0" collapsed="false">
      <c r="A115" s="2"/>
      <c r="B115" s="5" t="s">
        <v>2092</v>
      </c>
      <c r="C115" s="63" t="n">
        <f aca="false">Entrées!$C$567*1000</f>
        <v>4100</v>
      </c>
      <c r="D115" s="23" t="s">
        <v>100</v>
      </c>
      <c r="E115" s="23" t="s">
        <v>1740</v>
      </c>
      <c r="F115" s="2"/>
      <c r="G115" s="2"/>
      <c r="H115" s="2"/>
    </row>
    <row r="116" customFormat="false" ht="15" hidden="false" customHeight="false" outlineLevel="0" collapsed="false">
      <c r="A116" s="2"/>
      <c r="B116" s="5" t="s">
        <v>2093</v>
      </c>
      <c r="C116" s="73" t="n">
        <f aca="false">F114/C114</f>
        <v>0.0345041463414634</v>
      </c>
      <c r="D116" s="23" t="s">
        <v>296</v>
      </c>
      <c r="E116" s="23" t="s">
        <v>2094</v>
      </c>
      <c r="F116" s="2"/>
      <c r="G116" s="2"/>
      <c r="H116" s="2"/>
    </row>
    <row r="117" customFormat="false" ht="15" hidden="false" customHeight="false" outlineLevel="0" collapsed="false">
      <c r="A117" s="2"/>
      <c r="B117" s="21" t="s">
        <v>2095</v>
      </c>
      <c r="C117" s="44" t="n">
        <f aca="false">C108</f>
        <v>500</v>
      </c>
      <c r="D117" s="23" t="s">
        <v>100</v>
      </c>
      <c r="E117" s="23" t="s">
        <v>2096</v>
      </c>
      <c r="F117" s="2"/>
      <c r="G117" s="2"/>
      <c r="H117" s="2"/>
    </row>
    <row r="118" customFormat="false" ht="15" hidden="false" customHeight="false" outlineLevel="0" collapsed="false">
      <c r="A118" s="2"/>
      <c r="B118" s="21" t="s">
        <v>2097</v>
      </c>
      <c r="C118" s="44" t="n">
        <f aca="false">C108*(Entrées!$C$579-Entrées!$C$571)/100</f>
        <v>13.485</v>
      </c>
      <c r="D118" s="23" t="s">
        <v>100</v>
      </c>
      <c r="E118" s="23" t="s">
        <v>2098</v>
      </c>
      <c r="F118" s="2"/>
      <c r="G118" s="2"/>
      <c r="H118" s="2"/>
    </row>
    <row r="119" customFormat="false" ht="15" hidden="false" customHeight="false" outlineLevel="0" collapsed="false">
      <c r="A119" s="2"/>
      <c r="B119" s="21" t="s">
        <v>2099</v>
      </c>
      <c r="C119" s="61" t="n">
        <f aca="false">(Trajectoire!$D$44+C108)/Trajectoire!$D$41</f>
        <v>2.86585428910308</v>
      </c>
      <c r="D119" s="23" t="s">
        <v>130</v>
      </c>
      <c r="E119" s="23" t="s">
        <v>2100</v>
      </c>
      <c r="F119" s="2"/>
      <c r="G119" s="2"/>
      <c r="H119" s="2"/>
    </row>
    <row r="120" customFormat="false" ht="15" hidden="false" customHeight="false" outlineLevel="0" collapsed="false">
      <c r="A120" s="2"/>
      <c r="B120" s="5" t="s">
        <v>2101</v>
      </c>
      <c r="C120" s="63" t="n">
        <f aca="false">Trajectoire!$D$54+C108*(1-Hypothèses!$J$27)</f>
        <v>28370.6168524571</v>
      </c>
      <c r="D120" s="23" t="s">
        <v>100</v>
      </c>
      <c r="E120" s="23" t="s">
        <v>2102</v>
      </c>
      <c r="F120" s="2"/>
      <c r="G120" s="2"/>
      <c r="H120" s="2"/>
    </row>
    <row r="121" customFormat="false" ht="57.75" hidden="false" customHeight="true" outlineLevel="0" collapsed="false">
      <c r="A121" s="2"/>
      <c r="B121" s="68" t="s">
        <v>2103</v>
      </c>
      <c r="C121" s="68"/>
      <c r="D121" s="68"/>
      <c r="E121" s="68"/>
      <c r="F121" s="68"/>
      <c r="G121" s="68"/>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1" t="s">
        <v>2104</v>
      </c>
      <c r="B123" s="21" t="s">
        <v>2105</v>
      </c>
      <c r="C123" s="2"/>
      <c r="D123" s="2"/>
      <c r="E123" s="2"/>
      <c r="F123" s="2"/>
      <c r="G123" s="2"/>
      <c r="H123" s="2"/>
    </row>
    <row r="124" customFormat="false" ht="15" hidden="false" customHeight="false" outlineLevel="0" collapsed="false">
      <c r="A124" s="20"/>
      <c r="B124" s="20" t="s">
        <v>2106</v>
      </c>
      <c r="C124" s="20" t="s">
        <v>2107</v>
      </c>
      <c r="D124" s="20" t="s">
        <v>2108</v>
      </c>
      <c r="E124" s="20" t="s">
        <v>2109</v>
      </c>
      <c r="F124" s="2"/>
      <c r="G124" s="2"/>
      <c r="H124" s="2"/>
    </row>
    <row r="125" customFormat="false" ht="15" hidden="false" customHeight="false" outlineLevel="0" collapsed="false">
      <c r="A125" s="2"/>
      <c r="B125" s="5" t="s">
        <v>2110</v>
      </c>
      <c r="C125" s="74" t="n">
        <f aca="false">(Trajectoire!$D$44+0)/Trajectoire!$D$41</f>
        <v>2.80320887741352</v>
      </c>
      <c r="D125" s="63" t="n">
        <f aca="false">Hypothèses!$J$26*Trajectoire!$D$41-(Trajectoire!$D$44+0)</f>
        <v>1570.67466937297</v>
      </c>
      <c r="E125" s="23" t="s">
        <v>2111</v>
      </c>
      <c r="F125" s="2"/>
      <c r="G125" s="2"/>
      <c r="H125" s="2"/>
    </row>
    <row r="126" customFormat="false" ht="15" hidden="false" customHeight="false" outlineLevel="0" collapsed="false">
      <c r="A126" s="2"/>
      <c r="B126" s="5" t="s">
        <v>2112</v>
      </c>
      <c r="C126" s="74" t="n">
        <f aca="false">(Trajectoire!$D$44+Hypothèses!$J$27*Entrées!$C$15*1000)/Trajectoire!$D$41</f>
        <v>3.06005506534074</v>
      </c>
      <c r="D126" s="63" t="n">
        <f aca="false">Hypothèses!$J$26*Trajectoire!$D$41-(Trajectoire!$D$44+Hypothèses!$J$27*Entrées!$C$15*1000)</f>
        <v>-479.325330627034</v>
      </c>
      <c r="E126" s="23" t="s">
        <v>2113</v>
      </c>
      <c r="F126" s="2"/>
      <c r="G126" s="2"/>
      <c r="H126" s="2"/>
    </row>
    <row r="127" customFormat="false" ht="15" hidden="false" customHeight="false" outlineLevel="0" collapsed="false">
      <c r="A127" s="2"/>
      <c r="B127" s="5" t="s">
        <v>2114</v>
      </c>
      <c r="C127" s="74" t="n">
        <f aca="false">(Trajectoire!$D$44+Entrées!$C$15*1000)/Trajectoire!$D$41</f>
        <v>3.31690125326795</v>
      </c>
      <c r="D127" s="63" t="n">
        <f aca="false">Hypothèses!$J$26*Trajectoire!$D$41-(Trajectoire!$D$44+Entrées!$C$15*1000)</f>
        <v>-2529.32533062703</v>
      </c>
      <c r="E127" s="23" t="s">
        <v>2115</v>
      </c>
      <c r="F127" s="2"/>
      <c r="G127" s="2"/>
      <c r="H127" s="2"/>
    </row>
    <row r="128" customFormat="false" ht="15" hidden="false" customHeight="false" outlineLevel="0" collapsed="false">
      <c r="A128" s="2"/>
      <c r="B128" s="5" t="s">
        <v>2116</v>
      </c>
      <c r="C128" s="74" t="n">
        <f aca="false">(Trajectoire!$D$44+Hypothèses!$J$27*Entrées!$C$15*1000+Entrées!$C$49)/Trajectoire!$D$41</f>
        <v>3.22168022749981</v>
      </c>
      <c r="D128" s="63" t="n">
        <f aca="false">Hypothèses!$J$26*Trajectoire!$D$41-(Trajectoire!$D$44+Hypothèses!$J$27*Entrées!$C$15*1000+Entrées!$C$49)</f>
        <v>-1769.32533062703</v>
      </c>
      <c r="E128" s="23" t="s">
        <v>2117</v>
      </c>
      <c r="F128" s="2"/>
      <c r="G128" s="2"/>
      <c r="H128" s="2"/>
    </row>
    <row r="129" customFormat="false" ht="27.75" hidden="false" customHeight="true" outlineLevel="0" collapsed="false">
      <c r="A129" s="2"/>
      <c r="B129" s="68" t="s">
        <v>2118</v>
      </c>
      <c r="C129" s="68"/>
      <c r="D129" s="68"/>
      <c r="E129" s="68"/>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2119</v>
      </c>
      <c r="B1" s="2"/>
      <c r="C1" s="2"/>
      <c r="D1" s="2"/>
      <c r="E1" s="2"/>
    </row>
    <row r="2" customFormat="false" ht="15" hidden="false" customHeight="false" outlineLevel="0" collapsed="false">
      <c r="A2" s="3" t="s">
        <v>2120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1" t="s">
        <v>1921</v>
      </c>
      <c r="B4" s="21" t="s">
        <v>2121</v>
      </c>
      <c r="C4" s="2"/>
      <c r="D4" s="2"/>
      <c r="E4" s="2"/>
    </row>
    <row r="5" customFormat="false" ht="15" hidden="false" customHeight="false" outlineLevel="0" collapsed="false">
      <c r="A5" s="20"/>
      <c r="B5" s="20" t="s">
        <v>2122</v>
      </c>
      <c r="C5" s="20" t="s">
        <v>100</v>
      </c>
      <c r="D5" s="20"/>
      <c r="E5" s="20" t="s">
        <v>1839</v>
      </c>
    </row>
    <row r="6" customFormat="false" ht="15" hidden="false" customHeight="false" outlineLevel="0" collapsed="false">
      <c r="A6" s="2"/>
      <c r="B6" s="5" t="s">
        <v>1928</v>
      </c>
      <c r="C6" s="60" t="n">
        <f aca="false">Entrées!$C$13</f>
        <v>19657</v>
      </c>
      <c r="D6" s="23"/>
      <c r="E6" s="23" t="s">
        <v>135</v>
      </c>
    </row>
    <row r="7" customFormat="false" ht="15" hidden="false" customHeight="false" outlineLevel="0" collapsed="false">
      <c r="A7" s="2"/>
      <c r="B7" s="5" t="s">
        <v>2123</v>
      </c>
      <c r="C7" s="60" t="n">
        <f aca="false">Entrées!$C$33</f>
        <v>-288</v>
      </c>
      <c r="D7" s="23"/>
      <c r="E7" s="23" t="s">
        <v>205</v>
      </c>
    </row>
    <row r="8" customFormat="false" ht="15" hidden="false" customHeight="false" outlineLevel="0" collapsed="false">
      <c r="A8" s="2"/>
      <c r="B8" s="5" t="s">
        <v>2124</v>
      </c>
      <c r="C8" s="60" t="n">
        <f aca="false">Entrées!$C$77</f>
        <v>-1394</v>
      </c>
      <c r="D8" s="23"/>
      <c r="E8" s="23" t="s">
        <v>350</v>
      </c>
    </row>
    <row r="9" customFormat="false" ht="15" hidden="false" customHeight="false" outlineLevel="0" collapsed="false">
      <c r="A9" s="2"/>
      <c r="B9" s="5" t="s">
        <v>2125</v>
      </c>
      <c r="C9" s="60" t="n">
        <f aca="false">Entrées!$C$80</f>
        <v>-2869</v>
      </c>
      <c r="D9" s="23"/>
      <c r="E9" s="23" t="s">
        <v>359</v>
      </c>
    </row>
    <row r="10" customFormat="false" ht="15" hidden="false" customHeight="false" outlineLevel="0" collapsed="false">
      <c r="A10" s="2"/>
      <c r="B10" s="5" t="s">
        <v>2126</v>
      </c>
      <c r="C10" s="60" t="n">
        <f aca="false">Entrées!$C$84</f>
        <v>-70</v>
      </c>
      <c r="D10" s="23"/>
      <c r="E10" s="23" t="s">
        <v>371</v>
      </c>
    </row>
    <row r="11" customFormat="false" ht="15" hidden="false" customHeight="false" outlineLevel="0" collapsed="false">
      <c r="A11" s="2"/>
      <c r="B11" s="5" t="s">
        <v>2127</v>
      </c>
      <c r="C11" s="60" t="n">
        <f aca="false">Entrées!$C$85</f>
        <v>10</v>
      </c>
      <c r="D11" s="23"/>
      <c r="E11" s="23" t="s">
        <v>374</v>
      </c>
    </row>
    <row r="12" customFormat="false" ht="15" hidden="false" customHeight="false" outlineLevel="0" collapsed="false">
      <c r="A12" s="2"/>
      <c r="B12" s="5" t="s">
        <v>2128</v>
      </c>
      <c r="C12" s="60" t="n">
        <f aca="false">Entrées!$C$83</f>
        <v>-260</v>
      </c>
      <c r="D12" s="23"/>
      <c r="E12" s="23" t="s">
        <v>368</v>
      </c>
    </row>
    <row r="13" customFormat="false" ht="15" hidden="false" customHeight="false" outlineLevel="0" collapsed="false">
      <c r="A13" s="2"/>
      <c r="B13" s="5" t="s">
        <v>2129</v>
      </c>
      <c r="C13" s="60" t="n">
        <f aca="false">Entrées!$C$86</f>
        <v>2</v>
      </c>
      <c r="D13" s="23"/>
      <c r="E13" s="23" t="s">
        <v>376</v>
      </c>
    </row>
    <row r="14" customFormat="false" ht="15" hidden="false" customHeight="false" outlineLevel="0" collapsed="false">
      <c r="A14" s="2"/>
      <c r="B14" s="21" t="s">
        <v>2130</v>
      </c>
      <c r="C14" s="44" t="n">
        <f aca="false">SUM(C7:C13)</f>
        <v>-4869</v>
      </c>
      <c r="D14" s="23"/>
      <c r="E14" s="23"/>
    </row>
    <row r="15" customFormat="false" ht="15" hidden="false" customHeight="false" outlineLevel="0" collapsed="false">
      <c r="A15" s="2"/>
      <c r="B15" s="5" t="s">
        <v>2131</v>
      </c>
      <c r="C15" s="60" t="n">
        <f aca="false">Entrées!$C$87</f>
        <v>-21</v>
      </c>
      <c r="D15" s="23"/>
      <c r="E15" s="23" t="s">
        <v>378</v>
      </c>
    </row>
    <row r="16" customFormat="false" ht="15" hidden="false" customHeight="false" outlineLevel="0" collapsed="false">
      <c r="A16" s="2"/>
      <c r="B16" s="21" t="s">
        <v>2132</v>
      </c>
      <c r="C16" s="44" t="n">
        <f aca="false">C6-C14-C15</f>
        <v>24547</v>
      </c>
      <c r="D16" s="23"/>
      <c r="E16" s="23" t="s">
        <v>2133</v>
      </c>
    </row>
    <row r="17" customFormat="false" ht="15" hidden="false" customHeight="false" outlineLevel="0" collapsed="false">
      <c r="A17" s="2"/>
      <c r="B17" s="5" t="s">
        <v>2134</v>
      </c>
      <c r="C17" s="60" t="n">
        <f aca="false">Entrées!$C$16</f>
        <v>24548</v>
      </c>
      <c r="D17" s="23"/>
      <c r="E17" s="23" t="s">
        <v>148</v>
      </c>
    </row>
    <row r="18" customFormat="false" ht="15" hidden="false" customHeight="false" outlineLevel="0" collapsed="false">
      <c r="A18" s="2"/>
      <c r="B18" s="5" t="s">
        <v>2135</v>
      </c>
      <c r="C18" s="60" t="n">
        <f aca="false">Entrées!$C$81</f>
        <v>-2778</v>
      </c>
      <c r="D18" s="23"/>
      <c r="E18" s="23" t="s">
        <v>362</v>
      </c>
    </row>
    <row r="19" customFormat="false" ht="15" hidden="false" customHeight="false" outlineLevel="0" collapsed="false">
      <c r="A19" s="2"/>
      <c r="B19" s="5" t="s">
        <v>2136</v>
      </c>
      <c r="C19" s="60" t="n">
        <f aca="false">Entrées!$C$82</f>
        <v>-137</v>
      </c>
      <c r="D19" s="23"/>
      <c r="E19" s="23" t="s">
        <v>365</v>
      </c>
    </row>
    <row r="20" customFormat="false" ht="15" hidden="false" customHeight="false" outlineLevel="0" collapsed="false">
      <c r="A20" s="2"/>
      <c r="B20" s="21" t="s">
        <v>2137</v>
      </c>
      <c r="C20" s="44" t="n">
        <f aca="false">-C18-Entrées!$C$46</f>
        <v>236</v>
      </c>
      <c r="D20" s="23"/>
      <c r="E20" s="23" t="s">
        <v>2138</v>
      </c>
    </row>
    <row r="21" customFormat="false" ht="15" hidden="false" customHeight="false" outlineLevel="0" collapsed="false">
      <c r="A21" s="2"/>
      <c r="B21" s="2"/>
      <c r="C21" s="2"/>
      <c r="D21" s="2"/>
      <c r="E21" s="2"/>
    </row>
    <row r="22" customFormat="false" ht="15" hidden="false" customHeight="false" outlineLevel="0" collapsed="false">
      <c r="A22" s="21" t="s">
        <v>1934</v>
      </c>
      <c r="B22" s="21" t="s">
        <v>2139</v>
      </c>
      <c r="C22" s="2"/>
      <c r="D22" s="2"/>
      <c r="E22" s="2"/>
    </row>
    <row r="23" customFormat="false" ht="15" hidden="false" customHeight="false" outlineLevel="0" collapsed="false">
      <c r="A23" s="20"/>
      <c r="B23" s="20" t="s">
        <v>2122</v>
      </c>
      <c r="C23" s="20" t="s">
        <v>100</v>
      </c>
      <c r="D23" s="20"/>
      <c r="E23" s="20" t="s">
        <v>1839</v>
      </c>
    </row>
    <row r="24" customFormat="false" ht="15" hidden="false" customHeight="false" outlineLevel="0" collapsed="false">
      <c r="A24" s="2"/>
      <c r="B24" s="5" t="s">
        <v>1923</v>
      </c>
      <c r="C24" s="60" t="n">
        <f aca="false">Entrées!$C$28</f>
        <v>17819</v>
      </c>
      <c r="D24" s="23"/>
      <c r="E24" s="23" t="s">
        <v>189</v>
      </c>
    </row>
    <row r="25" customFormat="false" ht="15" hidden="false" customHeight="false" outlineLevel="0" collapsed="false">
      <c r="A25" s="2"/>
      <c r="B25" s="5" t="s">
        <v>2123</v>
      </c>
      <c r="C25" s="60" t="n">
        <f aca="false">Entrées!$C$34</f>
        <v>1178</v>
      </c>
      <c r="D25" s="23"/>
      <c r="E25" s="23" t="s">
        <v>208</v>
      </c>
    </row>
    <row r="26" customFormat="false" ht="15" hidden="false" customHeight="false" outlineLevel="0" collapsed="false">
      <c r="A26" s="2"/>
      <c r="B26" s="5" t="s">
        <v>2125</v>
      </c>
      <c r="C26" s="60" t="n">
        <f aca="false">Entrées!$C$69</f>
        <v>-2301</v>
      </c>
      <c r="D26" s="23"/>
      <c r="E26" s="23" t="s">
        <v>327</v>
      </c>
    </row>
    <row r="27" customFormat="false" ht="15" hidden="false" customHeight="false" outlineLevel="0" collapsed="false">
      <c r="A27" s="2"/>
      <c r="B27" s="5" t="s">
        <v>2140</v>
      </c>
      <c r="C27" s="60" t="n">
        <f aca="false">Entrées!$C$70</f>
        <v>-1023</v>
      </c>
      <c r="D27" s="23"/>
      <c r="E27" s="23" t="s">
        <v>330</v>
      </c>
    </row>
    <row r="28" customFormat="false" ht="15" hidden="false" customHeight="false" outlineLevel="0" collapsed="false">
      <c r="A28" s="2"/>
      <c r="B28" s="5" t="s">
        <v>2141</v>
      </c>
      <c r="C28" s="60" t="n">
        <f aca="false">Entrées!$C$71</f>
        <v>497</v>
      </c>
      <c r="D28" s="23"/>
      <c r="E28" s="23" t="s">
        <v>333</v>
      </c>
    </row>
    <row r="29" customFormat="false" ht="15" hidden="false" customHeight="false" outlineLevel="0" collapsed="false">
      <c r="A29" s="2"/>
      <c r="B29" s="5" t="s">
        <v>2142</v>
      </c>
      <c r="C29" s="60" t="n">
        <f aca="false">Entrées!$C$72</f>
        <v>318</v>
      </c>
      <c r="D29" s="23"/>
      <c r="E29" s="23" t="s">
        <v>336</v>
      </c>
    </row>
    <row r="30" customFormat="false" ht="15" hidden="false" customHeight="false" outlineLevel="0" collapsed="false">
      <c r="A30" s="2"/>
      <c r="B30" s="5" t="s">
        <v>2143</v>
      </c>
      <c r="C30" s="60" t="n">
        <f aca="false">Entrées!$C$73</f>
        <v>-402</v>
      </c>
      <c r="D30" s="23"/>
      <c r="E30" s="23" t="s">
        <v>339</v>
      </c>
    </row>
    <row r="31" customFormat="false" ht="15" hidden="false" customHeight="false" outlineLevel="0" collapsed="false">
      <c r="A31" s="2"/>
      <c r="B31" s="5" t="s">
        <v>2144</v>
      </c>
      <c r="C31" s="60" t="n">
        <f aca="false">Entrées!$C$74</f>
        <v>293</v>
      </c>
      <c r="D31" s="23"/>
      <c r="E31" s="23" t="s">
        <v>342</v>
      </c>
    </row>
    <row r="32" customFormat="false" ht="15" hidden="false" customHeight="false" outlineLevel="0" collapsed="false">
      <c r="A32" s="2"/>
      <c r="B32" s="21" t="s">
        <v>2145</v>
      </c>
      <c r="C32" s="44" t="n">
        <f aca="false">SUM(C25:C31)</f>
        <v>-1440</v>
      </c>
      <c r="D32" s="23"/>
      <c r="E32" s="23"/>
    </row>
    <row r="33" customFormat="false" ht="15" hidden="false" customHeight="false" outlineLevel="0" collapsed="false">
      <c r="A33" s="2"/>
      <c r="B33" s="5" t="s">
        <v>2146</v>
      </c>
      <c r="C33" s="63" t="n">
        <f aca="false">C24-C32</f>
        <v>19259</v>
      </c>
      <c r="D33" s="23"/>
      <c r="E33" s="23"/>
    </row>
    <row r="34" customFormat="false" ht="15" hidden="false" customHeight="false" outlineLevel="0" collapsed="false">
      <c r="A34" s="2"/>
      <c r="B34" s="5" t="s">
        <v>2147</v>
      </c>
      <c r="C34" s="60" t="n">
        <f aca="false">Entrées!$C$13</f>
        <v>19657</v>
      </c>
      <c r="D34" s="23"/>
      <c r="E34" s="23" t="s">
        <v>135</v>
      </c>
    </row>
    <row r="35" customFormat="false" ht="15" hidden="false" customHeight="false" outlineLevel="0" collapsed="false">
      <c r="A35" s="2"/>
      <c r="B35" s="21" t="s">
        <v>2148</v>
      </c>
      <c r="C35" s="44" t="n">
        <f aca="false">C34-C33</f>
        <v>398</v>
      </c>
      <c r="D35" s="23"/>
      <c r="E35" s="23" t="s">
        <v>2149</v>
      </c>
    </row>
    <row r="36" customFormat="false" ht="15" hidden="false" customHeight="false" outlineLevel="0" collapsed="false">
      <c r="A36" s="2"/>
      <c r="B36" s="5" t="s">
        <v>2150</v>
      </c>
      <c r="C36" s="63" t="n">
        <f aca="false">-Entrées!$C$78+Entrées!$C$70</f>
        <v>244</v>
      </c>
      <c r="D36" s="23"/>
      <c r="E36" s="23" t="s">
        <v>2151</v>
      </c>
    </row>
    <row r="37" customFormat="false" ht="15" hidden="false" customHeight="false" outlineLevel="0" collapsed="false">
      <c r="A37" s="2"/>
      <c r="B37" s="2"/>
      <c r="C37" s="2"/>
      <c r="D37" s="2"/>
      <c r="E37" s="2"/>
    </row>
    <row r="38" customFormat="false" ht="15" hidden="false" customHeight="false" outlineLevel="0" collapsed="false">
      <c r="A38" s="21" t="s">
        <v>2104</v>
      </c>
      <c r="B38" s="21" t="s">
        <v>2152</v>
      </c>
      <c r="C38" s="2"/>
      <c r="D38" s="2"/>
      <c r="E38" s="2"/>
    </row>
    <row r="39" customFormat="false" ht="15" hidden="false" customHeight="false" outlineLevel="0" collapsed="false">
      <c r="A39" s="2"/>
      <c r="B39" s="5" t="s">
        <v>2153</v>
      </c>
      <c r="C39" s="60" t="n">
        <f aca="false">Entrées!$C$75</f>
        <v>-451</v>
      </c>
      <c r="D39" s="23"/>
      <c r="E39" s="23" t="s">
        <v>345</v>
      </c>
    </row>
    <row r="40" customFormat="false" ht="15" hidden="false" customHeight="false" outlineLevel="0" collapsed="false">
      <c r="A40" s="2"/>
      <c r="B40" s="21" t="s">
        <v>2154</v>
      </c>
      <c r="C40" s="44" t="n">
        <f aca="false">Entrées!$C$34-Entrées!$C$75</f>
        <v>1629</v>
      </c>
      <c r="D40" s="23"/>
      <c r="E40" s="23" t="s">
        <v>2155</v>
      </c>
    </row>
    <row r="41" customFormat="false" ht="15" hidden="false" customHeight="false" outlineLevel="0" collapsed="false">
      <c r="A41" s="2"/>
      <c r="B41" s="5" t="s">
        <v>2156</v>
      </c>
      <c r="C41" s="60" t="n">
        <f aca="false">Entrées!$C$89</f>
        <v>-1171</v>
      </c>
      <c r="D41" s="23"/>
      <c r="E41" s="23" t="s">
        <v>384</v>
      </c>
    </row>
    <row r="42" customFormat="false" ht="15" hidden="false" customHeight="false" outlineLevel="0" collapsed="false">
      <c r="A42" s="2"/>
      <c r="B42" s="5" t="s">
        <v>2157</v>
      </c>
      <c r="C42" s="60" t="n">
        <f aca="false">Entrées!$C$88</f>
        <v>-1238</v>
      </c>
      <c r="D42" s="23"/>
      <c r="E42" s="23" t="s">
        <v>381</v>
      </c>
    </row>
    <row r="43" customFormat="false" ht="15" hidden="false" customHeight="false" outlineLevel="0" collapsed="false">
      <c r="A43" s="2"/>
      <c r="B43" s="5" t="s">
        <v>2158</v>
      </c>
      <c r="C43" s="60" t="n">
        <f aca="false">Entrées!$C$76</f>
        <v>20764</v>
      </c>
      <c r="D43" s="23"/>
      <c r="E43" s="23" t="s">
        <v>347</v>
      </c>
    </row>
    <row r="44" customFormat="false" ht="15" hidden="false" customHeight="false" outlineLevel="0" collapsed="false">
      <c r="A44" s="2"/>
      <c r="B44" s="5" t="s">
        <v>2159</v>
      </c>
      <c r="C44" s="60" t="n">
        <f aca="false">Entrées!$C$13</f>
        <v>19657</v>
      </c>
      <c r="D44" s="23"/>
      <c r="E44" s="23" t="s">
        <v>135</v>
      </c>
    </row>
    <row r="45" customFormat="false" ht="15" hidden="false" customHeight="false" outlineLevel="0" collapsed="false">
      <c r="A45" s="2"/>
      <c r="B45" s="21" t="s">
        <v>2160</v>
      </c>
      <c r="C45" s="44" t="n">
        <f aca="false">C43-C44</f>
        <v>1107</v>
      </c>
      <c r="D45" s="23"/>
      <c r="E45" s="23"/>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2161</v>
      </c>
      <c r="B1" s="2"/>
      <c r="C1" s="2"/>
      <c r="D1" s="2"/>
      <c r="E1" s="2"/>
      <c r="F1" s="2"/>
      <c r="G1" s="2"/>
      <c r="H1" s="2"/>
      <c r="I1" s="2"/>
      <c r="J1" s="2"/>
      <c r="K1" s="2"/>
      <c r="L1" s="2"/>
    </row>
    <row r="2" customFormat="false" ht="15" hidden="false" customHeight="false" outlineLevel="0" collapsed="false">
      <c r="A2" s="3" t="s">
        <v>2162</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1" t="s">
        <v>1921</v>
      </c>
      <c r="B4" s="21" t="s">
        <v>2163</v>
      </c>
      <c r="C4" s="2"/>
      <c r="D4" s="2"/>
      <c r="E4" s="2"/>
      <c r="F4" s="2"/>
      <c r="G4" s="2"/>
      <c r="H4" s="2"/>
      <c r="I4" s="2"/>
      <c r="J4" s="2"/>
      <c r="K4" s="2"/>
      <c r="L4" s="2"/>
    </row>
    <row r="5" customFormat="false" ht="15" hidden="false" customHeight="false" outlineLevel="0" collapsed="false">
      <c r="A5" s="20"/>
      <c r="B5" s="20" t="s">
        <v>2164</v>
      </c>
      <c r="C5" s="20" t="s">
        <v>188</v>
      </c>
      <c r="D5" s="20" t="s">
        <v>153</v>
      </c>
      <c r="E5" s="20" t="s">
        <v>2165</v>
      </c>
      <c r="F5" s="20" t="s">
        <v>2166</v>
      </c>
      <c r="G5" s="20" t="s">
        <v>1307</v>
      </c>
      <c r="H5" s="20" t="s">
        <v>2167</v>
      </c>
      <c r="I5" s="20" t="s">
        <v>2168</v>
      </c>
      <c r="J5" s="20" t="s">
        <v>2169</v>
      </c>
      <c r="K5" s="20" t="s">
        <v>2170</v>
      </c>
      <c r="L5" s="20" t="s">
        <v>1839</v>
      </c>
    </row>
    <row r="6" customFormat="false" ht="15" hidden="false" customHeight="false" outlineLevel="0" collapsed="false">
      <c r="A6" s="2"/>
      <c r="B6" s="5" t="s">
        <v>2171</v>
      </c>
      <c r="C6" s="60" t="n">
        <f aca="false">Entrées!$C$411</f>
        <v>1924</v>
      </c>
      <c r="D6" s="60" t="n">
        <f aca="false">Entrées!$C$354</f>
        <v>3043</v>
      </c>
      <c r="E6" s="60" t="n">
        <f aca="false">Entrées!$C$355</f>
        <v>2447</v>
      </c>
      <c r="F6" s="60" t="n">
        <f aca="false">Entrées!$C$356</f>
        <v>1781</v>
      </c>
      <c r="G6" s="60" t="n">
        <f aca="false">Entrées!$C$357</f>
        <v>2006</v>
      </c>
      <c r="H6" s="60" t="n">
        <f aca="false">Entrées!$C$358</f>
        <v>11065</v>
      </c>
      <c r="I6" s="60" t="n">
        <f aca="false">Entrées!$C$410</f>
        <v>22265</v>
      </c>
      <c r="J6" s="63" t="n">
        <f aca="false">SUM(C6:H6)</f>
        <v>22266</v>
      </c>
      <c r="K6" s="75" t="n">
        <f aca="false">J6-I6</f>
        <v>1</v>
      </c>
      <c r="L6" s="23" t="s">
        <v>1278</v>
      </c>
    </row>
    <row r="7" customFormat="false" ht="15" hidden="false" customHeight="false" outlineLevel="0" collapsed="false">
      <c r="A7" s="2"/>
      <c r="B7" s="5" t="s">
        <v>2172</v>
      </c>
      <c r="C7" s="60" t="n">
        <f aca="false">Entrées!$C$360</f>
        <v>7219</v>
      </c>
      <c r="D7" s="60" t="n">
        <f aca="false">Entrées!$C$361</f>
        <v>465</v>
      </c>
      <c r="E7" s="60" t="n">
        <f aca="false">Entrées!$C$362</f>
        <v>728</v>
      </c>
      <c r="F7" s="60" t="n">
        <f aca="false">Entrées!$C$363</f>
        <v>302</v>
      </c>
      <c r="G7" s="60" t="n">
        <f aca="false">Entrées!$C$364</f>
        <v>254</v>
      </c>
      <c r="H7" s="60" t="n">
        <f aca="false">Entrées!$C$365</f>
        <v>1009</v>
      </c>
      <c r="I7" s="60" t="n">
        <f aca="false">Entrées!$C$359</f>
        <v>9977</v>
      </c>
      <c r="J7" s="63" t="n">
        <f aca="false">SUM(C7:H7)</f>
        <v>9977</v>
      </c>
      <c r="K7" s="75" t="n">
        <f aca="false">J7-I7</f>
        <v>0</v>
      </c>
      <c r="L7" s="23" t="s">
        <v>1144</v>
      </c>
    </row>
    <row r="8" customFormat="false" ht="15" hidden="false" customHeight="false" outlineLevel="0" collapsed="false">
      <c r="A8" s="2"/>
      <c r="B8" s="5" t="s">
        <v>2173</v>
      </c>
      <c r="C8" s="60" t="n">
        <f aca="false">Entrées!$C$367</f>
        <v>499</v>
      </c>
      <c r="D8" s="60" t="n">
        <f aca="false">Entrées!$C$368</f>
        <v>384</v>
      </c>
      <c r="E8" s="60" t="n">
        <f aca="false">Entrées!$C$369</f>
        <v>317</v>
      </c>
      <c r="F8" s="60" t="n">
        <f aca="false">Entrées!$C$370</f>
        <v>198</v>
      </c>
      <c r="G8" s="60" t="n">
        <f aca="false">Entrées!$C$371</f>
        <v>147</v>
      </c>
      <c r="H8" s="60" t="n">
        <f aca="false">Entrées!$C$372</f>
        <v>618</v>
      </c>
      <c r="I8" s="60" t="n">
        <f aca="false">Entrées!$C$366</f>
        <v>2162</v>
      </c>
      <c r="J8" s="63" t="n">
        <f aca="false">SUM(C8:H8)</f>
        <v>2163</v>
      </c>
      <c r="K8" s="75" t="n">
        <f aca="false">J8-I8</f>
        <v>1</v>
      </c>
      <c r="L8" s="23" t="s">
        <v>1165</v>
      </c>
    </row>
    <row r="9" customFormat="false" ht="15" hidden="false" customHeight="false" outlineLevel="0" collapsed="false">
      <c r="A9" s="2"/>
      <c r="B9" s="21" t="s">
        <v>2174</v>
      </c>
      <c r="C9" s="44" t="n">
        <f aca="false">SUM(C6:C8)</f>
        <v>9642</v>
      </c>
      <c r="D9" s="44" t="n">
        <f aca="false">SUM(D6:D8)</f>
        <v>3892</v>
      </c>
      <c r="E9" s="44" t="n">
        <f aca="false">SUM(E6:E8)</f>
        <v>3492</v>
      </c>
      <c r="F9" s="44" t="n">
        <f aca="false">SUM(F6:F8)</f>
        <v>2281</v>
      </c>
      <c r="G9" s="44" t="n">
        <f aca="false">SUM(G6:G8)</f>
        <v>2407</v>
      </c>
      <c r="H9" s="44" t="n">
        <f aca="false">SUM(H6:H8)</f>
        <v>12692</v>
      </c>
      <c r="I9" s="44" t="n">
        <f aca="false">SUM(I6:I8)</f>
        <v>34404</v>
      </c>
      <c r="J9" s="2"/>
      <c r="K9" s="2"/>
      <c r="L9" s="2"/>
    </row>
    <row r="10" customFormat="false" ht="15" hidden="false" customHeight="false" outlineLevel="0" collapsed="false">
      <c r="A10" s="2"/>
      <c r="B10" s="21" t="s">
        <v>2175</v>
      </c>
      <c r="C10" s="60" t="n">
        <f aca="false">Entrées!$C$413</f>
        <v>9642</v>
      </c>
      <c r="D10" s="60" t="n">
        <f aca="false">Entrées!$C$373</f>
        <v>3891</v>
      </c>
      <c r="E10" s="60" t="n">
        <f aca="false">Entrées!$C$374</f>
        <v>3492</v>
      </c>
      <c r="F10" s="60" t="n">
        <f aca="false">Entrées!$C$375</f>
        <v>2281</v>
      </c>
      <c r="G10" s="60" t="n">
        <f aca="false">Entrées!$C$376</f>
        <v>2407</v>
      </c>
      <c r="H10" s="60" t="n">
        <f aca="false">Entrées!$C$377</f>
        <v>12692</v>
      </c>
      <c r="I10" s="60" t="n">
        <f aca="false">Entrées!$C$412</f>
        <v>34404</v>
      </c>
      <c r="J10" s="63" t="n">
        <f aca="false">SUM(C10:H10)</f>
        <v>34405</v>
      </c>
      <c r="K10" s="75" t="n">
        <f aca="false">J10-I10</f>
        <v>1</v>
      </c>
      <c r="L10" s="23" t="s">
        <v>1284</v>
      </c>
    </row>
    <row r="11" customFormat="false" ht="15" hidden="false" customHeight="false" outlineLevel="0" collapsed="false">
      <c r="A11" s="2"/>
      <c r="B11" s="23" t="s">
        <v>2176</v>
      </c>
      <c r="C11" s="75" t="n">
        <f aca="false">C9-C10</f>
        <v>0</v>
      </c>
      <c r="D11" s="75" t="n">
        <f aca="false">D9-D10</f>
        <v>1</v>
      </c>
      <c r="E11" s="75" t="n">
        <f aca="false">E9-E10</f>
        <v>0</v>
      </c>
      <c r="F11" s="75" t="n">
        <f aca="false">F9-F10</f>
        <v>0</v>
      </c>
      <c r="G11" s="75" t="n">
        <f aca="false">G9-G10</f>
        <v>0</v>
      </c>
      <c r="H11" s="75" t="n">
        <f aca="false">H9-H10</f>
        <v>0</v>
      </c>
      <c r="I11" s="75" t="n">
        <f aca="false">I9-I10</f>
        <v>0</v>
      </c>
      <c r="J11" s="2"/>
      <c r="K11" s="2"/>
      <c r="L11" s="2"/>
    </row>
    <row r="12" customFormat="false" ht="15" hidden="false" customHeight="false" outlineLevel="0" collapsed="false">
      <c r="A12" s="2"/>
      <c r="B12" s="23" t="s">
        <v>2177</v>
      </c>
      <c r="C12" s="76" t="n">
        <f aca="false">C10/$I$10</f>
        <v>0.280258109522149</v>
      </c>
      <c r="D12" s="76" t="n">
        <f aca="false">D10/$I$10</f>
        <v>0.113097314265783</v>
      </c>
      <c r="E12" s="76" t="n">
        <f aca="false">E10/$I$10</f>
        <v>0.101499825601674</v>
      </c>
      <c r="F12" s="76" t="n">
        <f aca="false">F10/$I$10</f>
        <v>0.0663004301825369</v>
      </c>
      <c r="G12" s="76" t="n">
        <f aca="false">G10/$I$10</f>
        <v>0.0699627950238344</v>
      </c>
      <c r="H12" s="76" t="n">
        <f aca="false">H10/$I$10</f>
        <v>0.368910591791652</v>
      </c>
      <c r="I12" s="2"/>
      <c r="J12" s="2"/>
      <c r="K12" s="2"/>
      <c r="L12" s="2"/>
    </row>
    <row r="13" customFormat="false" ht="15" hidden="false" customHeight="false" outlineLevel="0" collapsed="false">
      <c r="A13" s="2"/>
      <c r="B13" s="5" t="s">
        <v>2178</v>
      </c>
      <c r="C13" s="60" t="n">
        <f aca="false">Entrées!$C$301</f>
        <v>4933</v>
      </c>
      <c r="D13" s="2"/>
      <c r="E13" s="2"/>
      <c r="F13" s="2"/>
      <c r="G13" s="2"/>
      <c r="H13" s="2"/>
      <c r="I13" s="2"/>
      <c r="J13" s="2"/>
      <c r="K13" s="2"/>
      <c r="L13" s="23" t="s">
        <v>992</v>
      </c>
    </row>
    <row r="14" customFormat="false" ht="15" hidden="false" customHeight="false" outlineLevel="0" collapsed="false">
      <c r="A14" s="2"/>
      <c r="B14" s="5" t="s">
        <v>2179</v>
      </c>
      <c r="C14" s="60" t="n">
        <f aca="false">Entrées!$C$302</f>
        <v>863</v>
      </c>
      <c r="D14" s="2"/>
      <c r="E14" s="2"/>
      <c r="F14" s="2"/>
      <c r="G14" s="2"/>
      <c r="H14" s="2"/>
      <c r="I14" s="2"/>
      <c r="J14" s="2"/>
      <c r="K14" s="2"/>
      <c r="L14" s="23" t="s">
        <v>995</v>
      </c>
    </row>
    <row r="15" customFormat="false" ht="15" hidden="false" customHeight="false" outlineLevel="0" collapsed="false">
      <c r="A15" s="2"/>
      <c r="B15" s="21" t="s">
        <v>2180</v>
      </c>
      <c r="C15" s="44" t="n">
        <f aca="false">C10-C13-C14</f>
        <v>3846</v>
      </c>
      <c r="D15" s="2"/>
      <c r="E15" s="2"/>
      <c r="F15" s="2"/>
      <c r="G15" s="2"/>
      <c r="H15" s="2"/>
      <c r="I15" s="2"/>
      <c r="J15" s="2"/>
      <c r="K15" s="2"/>
      <c r="L15" s="2"/>
    </row>
    <row r="16" customFormat="false" ht="15" hidden="false" customHeight="false" outlineLevel="0" collapsed="false">
      <c r="A16" s="2"/>
      <c r="B16" s="5" t="s">
        <v>2181</v>
      </c>
      <c r="C16" s="60" t="n">
        <f aca="false">Entrées!$C$272</f>
        <v>1451</v>
      </c>
      <c r="D16" s="2"/>
      <c r="E16" s="2"/>
      <c r="F16" s="2"/>
      <c r="G16" s="2"/>
      <c r="H16" s="2"/>
      <c r="I16" s="2"/>
      <c r="J16" s="2"/>
      <c r="K16" s="2"/>
      <c r="L16" s="23" t="s">
        <v>909</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1" t="s">
        <v>1934</v>
      </c>
      <c r="B18" s="21" t="s">
        <v>2182</v>
      </c>
      <c r="C18" s="2"/>
      <c r="D18" s="2"/>
      <c r="E18" s="2"/>
      <c r="F18" s="2"/>
      <c r="G18" s="2"/>
      <c r="H18" s="2"/>
      <c r="I18" s="2"/>
      <c r="J18" s="2"/>
      <c r="K18" s="2"/>
      <c r="L18" s="2"/>
    </row>
    <row r="19" customFormat="false" ht="35.05" hidden="false" customHeight="false" outlineLevel="0" collapsed="false">
      <c r="A19" s="20"/>
      <c r="B19" s="20" t="s">
        <v>2183</v>
      </c>
      <c r="C19" s="20" t="s">
        <v>2184</v>
      </c>
      <c r="D19" s="20" t="s">
        <v>2185</v>
      </c>
      <c r="E19" s="20" t="s">
        <v>2186</v>
      </c>
      <c r="F19" s="20" t="s">
        <v>2187</v>
      </c>
      <c r="G19" s="20" t="s">
        <v>2188</v>
      </c>
      <c r="H19" s="2"/>
      <c r="I19" s="2"/>
      <c r="J19" s="2"/>
      <c r="K19" s="2"/>
      <c r="L19" s="2"/>
    </row>
    <row r="20" customFormat="false" ht="15" hidden="false" customHeight="false" outlineLevel="0" collapsed="false">
      <c r="A20" s="2"/>
      <c r="B20" s="24" t="s">
        <v>188</v>
      </c>
      <c r="C20" s="67" t="n">
        <f aca="false">Entrées!$C$276+Entrées!$C$277</f>
        <v>1400</v>
      </c>
      <c r="D20" s="52" t="s">
        <v>1848</v>
      </c>
      <c r="E20" s="52" t="s">
        <v>1848</v>
      </c>
      <c r="F20" s="52" t="s">
        <v>1848</v>
      </c>
      <c r="G20" s="23" t="s">
        <v>2189</v>
      </c>
      <c r="H20" s="2"/>
      <c r="I20" s="2"/>
      <c r="J20" s="2"/>
      <c r="K20" s="2"/>
      <c r="L20" s="2"/>
    </row>
    <row r="21" customFormat="false" ht="15" hidden="false" customHeight="false" outlineLevel="0" collapsed="false">
      <c r="A21" s="2"/>
      <c r="B21" s="24" t="s">
        <v>153</v>
      </c>
      <c r="C21" s="67" t="n">
        <f aca="false">Entrées!$C$284+Entrées!$C$286+Entrées!$C$288+Entrées!$C$290</f>
        <v>2550</v>
      </c>
      <c r="D21" s="73" t="n">
        <f aca="false">(Entrées!$C$284*Entrées!$C$285+Entrées!$C$286*Entrées!$C$287+Entrées!$C$288*Entrées!$C$289+Entrées!$C$290*Entrées!$C$291)/C21/100</f>
        <v>0.0196362745098039</v>
      </c>
      <c r="E21" s="72" t="n">
        <f aca="false">Entrées!$C$281/100</f>
        <v>0.03324</v>
      </c>
      <c r="F21" s="44" t="n">
        <f aca="false">C21*(E21-D21)</f>
        <v>34.6895</v>
      </c>
      <c r="G21" s="23" t="s">
        <v>2190</v>
      </c>
      <c r="H21" s="2"/>
      <c r="I21" s="2"/>
      <c r="J21" s="2"/>
      <c r="K21" s="2"/>
      <c r="L21" s="2"/>
    </row>
    <row r="22" customFormat="false" ht="15" hidden="false" customHeight="false" outlineLevel="0" collapsed="false">
      <c r="A22" s="2"/>
      <c r="B22" s="24" t="s">
        <v>2165</v>
      </c>
      <c r="C22" s="67" t="n">
        <f aca="false">Entrées!$C$292+Entrées!$C$382+Entrées!$C$384</f>
        <v>2000</v>
      </c>
      <c r="D22" s="73" t="n">
        <f aca="false">(Entrées!$C$292*Entrées!$C$293+Entrées!$C$382*Entrées!$C$383+Entrées!$C$384*Entrées!$C$385)/C22/100</f>
        <v>0.01335</v>
      </c>
      <c r="E22" s="72" t="n">
        <f aca="false">Entrées!$C$281/100</f>
        <v>0.03324</v>
      </c>
      <c r="F22" s="44" t="n">
        <f aca="false">C22*(E22-D22)</f>
        <v>39.78</v>
      </c>
      <c r="G22" s="23" t="s">
        <v>2191</v>
      </c>
      <c r="H22" s="2"/>
      <c r="I22" s="2"/>
      <c r="J22" s="2"/>
      <c r="K22" s="2"/>
      <c r="L22" s="2"/>
    </row>
    <row r="23" customFormat="false" ht="15" hidden="false" customHeight="false" outlineLevel="0" collapsed="false">
      <c r="A23" s="2"/>
      <c r="B23" s="24" t="s">
        <v>2166</v>
      </c>
      <c r="C23" s="67" t="n">
        <f aca="false">Entrées!$C$386+Entrées!$C$387+Entrées!$C$388</f>
        <v>1275</v>
      </c>
      <c r="D23" s="52" t="s">
        <v>1848</v>
      </c>
      <c r="E23" s="52" t="s">
        <v>1848</v>
      </c>
      <c r="F23" s="52" t="s">
        <v>1848</v>
      </c>
      <c r="G23" s="23" t="s">
        <v>2192</v>
      </c>
      <c r="H23" s="2"/>
      <c r="I23" s="2"/>
      <c r="J23" s="2"/>
      <c r="K23" s="2"/>
      <c r="L23" s="2"/>
    </row>
    <row r="24" customFormat="false" ht="15" hidden="false" customHeight="false" outlineLevel="0" collapsed="false">
      <c r="A24" s="2"/>
      <c r="B24" s="24" t="s">
        <v>1307</v>
      </c>
      <c r="C24" s="67" t="n">
        <f aca="false">Entrées!$C$389+Entrées!$C$390+Entrées!$C$391+Entrées!$C$294</f>
        <v>1587</v>
      </c>
      <c r="D24" s="52" t="s">
        <v>1848</v>
      </c>
      <c r="E24" s="52" t="s">
        <v>1848</v>
      </c>
      <c r="F24" s="52" t="s">
        <v>1848</v>
      </c>
      <c r="G24" s="23" t="s">
        <v>2193</v>
      </c>
      <c r="H24" s="2"/>
      <c r="I24" s="2"/>
      <c r="J24" s="2"/>
      <c r="K24" s="2"/>
      <c r="L24" s="2"/>
    </row>
    <row r="25" customFormat="false" ht="15" hidden="false" customHeight="false" outlineLevel="0" collapsed="false">
      <c r="A25" s="2"/>
      <c r="B25" s="5" t="s">
        <v>2194</v>
      </c>
      <c r="C25" s="65" t="n">
        <f aca="false">SUM(C21:C24)/Entrées!$C$295</f>
        <v>0.535897621285518</v>
      </c>
      <c r="D25" s="2"/>
      <c r="E25" s="2"/>
      <c r="F25" s="2"/>
      <c r="G25" s="23" t="s">
        <v>974</v>
      </c>
      <c r="H25" s="2"/>
      <c r="I25" s="2"/>
      <c r="J25" s="2"/>
      <c r="K25" s="2"/>
      <c r="L25" s="2"/>
    </row>
    <row r="26" customFormat="false" ht="15" hidden="false" customHeight="false" outlineLevel="0" collapsed="false">
      <c r="A26" s="2"/>
      <c r="B26" s="21" t="s">
        <v>2195</v>
      </c>
      <c r="C26" s="44" t="n">
        <f aca="false">F21+F22</f>
        <v>74.4695</v>
      </c>
      <c r="D26" s="2"/>
      <c r="E26" s="2"/>
      <c r="F26" s="2"/>
      <c r="G26" s="2"/>
      <c r="H26" s="2"/>
      <c r="I26" s="2"/>
      <c r="J26" s="2"/>
      <c r="K26" s="2"/>
      <c r="L26" s="2"/>
    </row>
    <row r="27" customFormat="false" ht="15" hidden="false" customHeight="false" outlineLevel="0" collapsed="false">
      <c r="A27" s="2"/>
      <c r="B27" s="23" t="s">
        <v>2196</v>
      </c>
      <c r="C27" s="76" t="n">
        <f aca="false">C26/Entrées!$C$249</f>
        <v>0.0144320736434109</v>
      </c>
      <c r="D27" s="2"/>
      <c r="E27" s="2"/>
      <c r="F27" s="2"/>
      <c r="G27" s="23" t="s">
        <v>846</v>
      </c>
      <c r="H27" s="2"/>
      <c r="I27" s="2"/>
      <c r="J27" s="2"/>
      <c r="K27" s="2"/>
      <c r="L27" s="2"/>
    </row>
    <row r="28" customFormat="false" ht="43.5" hidden="false" customHeight="true" outlineLevel="0" collapsed="false">
      <c r="A28" s="2"/>
      <c r="B28" s="68" t="s">
        <v>2197</v>
      </c>
      <c r="C28" s="68"/>
      <c r="D28" s="68"/>
      <c r="E28" s="68"/>
      <c r="F28" s="68"/>
      <c r="G28" s="68"/>
      <c r="H28" s="68"/>
      <c r="I28" s="68"/>
      <c r="J28" s="68"/>
      <c r="K28" s="68"/>
      <c r="L28" s="68"/>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1" t="s">
        <v>2104</v>
      </c>
      <c r="B30" s="21" t="s">
        <v>2198</v>
      </c>
      <c r="C30" s="2"/>
      <c r="D30" s="2"/>
      <c r="E30" s="2"/>
      <c r="F30" s="2"/>
      <c r="G30" s="2"/>
      <c r="H30" s="2"/>
      <c r="I30" s="2"/>
      <c r="J30" s="2"/>
      <c r="K30" s="2"/>
      <c r="L30" s="2"/>
    </row>
    <row r="31" customFormat="false" ht="15" hidden="false" customHeight="false" outlineLevel="0" collapsed="false">
      <c r="A31" s="20"/>
      <c r="B31" s="20" t="s">
        <v>88</v>
      </c>
      <c r="C31" s="20" t="s">
        <v>89</v>
      </c>
      <c r="D31" s="20" t="s">
        <v>90</v>
      </c>
      <c r="E31" s="20" t="s">
        <v>1920</v>
      </c>
      <c r="F31" s="2"/>
      <c r="G31" s="2"/>
      <c r="H31" s="2"/>
      <c r="I31" s="2"/>
      <c r="J31" s="2"/>
      <c r="K31" s="2"/>
      <c r="L31" s="2"/>
    </row>
    <row r="32" customFormat="false" ht="15" hidden="false" customHeight="false" outlineLevel="0" collapsed="false">
      <c r="A32" s="2"/>
      <c r="B32" s="5" t="s">
        <v>2199</v>
      </c>
      <c r="C32" s="60" t="n">
        <f aca="false">Entrées!$C$378</f>
        <v>4500</v>
      </c>
      <c r="D32" s="23" t="s">
        <v>100</v>
      </c>
      <c r="E32" s="23" t="s">
        <v>1201</v>
      </c>
      <c r="F32" s="2"/>
      <c r="G32" s="2"/>
      <c r="H32" s="2"/>
      <c r="I32" s="2"/>
      <c r="J32" s="2"/>
      <c r="K32" s="2"/>
      <c r="L32" s="2"/>
    </row>
    <row r="33" customFormat="false" ht="15" hidden="false" customHeight="false" outlineLevel="0" collapsed="false">
      <c r="A33" s="2"/>
      <c r="B33" s="5" t="s">
        <v>2200</v>
      </c>
      <c r="C33" s="60" t="n">
        <f aca="false">Entrées!$C$379</f>
        <v>765</v>
      </c>
      <c r="D33" s="23" t="s">
        <v>100</v>
      </c>
      <c r="E33" s="23" t="s">
        <v>1204</v>
      </c>
      <c r="F33" s="2"/>
      <c r="G33" s="2"/>
      <c r="H33" s="2"/>
      <c r="I33" s="2"/>
      <c r="J33" s="2"/>
      <c r="K33" s="2"/>
      <c r="L33" s="2"/>
    </row>
    <row r="34" customFormat="false" ht="15" hidden="false" customHeight="false" outlineLevel="0" collapsed="false">
      <c r="A34" s="2"/>
      <c r="B34" s="5" t="s">
        <v>2201</v>
      </c>
      <c r="C34" s="60" t="n">
        <f aca="false">Entrées!$C$380</f>
        <v>7551</v>
      </c>
      <c r="D34" s="23" t="s">
        <v>100</v>
      </c>
      <c r="E34" s="23" t="s">
        <v>1207</v>
      </c>
      <c r="F34" s="2"/>
      <c r="G34" s="2"/>
      <c r="H34" s="2"/>
      <c r="I34" s="2"/>
      <c r="J34" s="2"/>
      <c r="K34" s="2"/>
      <c r="L34" s="2"/>
    </row>
    <row r="35" customFormat="false" ht="15" hidden="false" customHeight="false" outlineLevel="0" collapsed="false">
      <c r="A35" s="2"/>
      <c r="B35" s="5" t="s">
        <v>2202</v>
      </c>
      <c r="C35" s="60" t="n">
        <f aca="false">Entrées!$C$381</f>
        <v>673</v>
      </c>
      <c r="D35" s="23" t="s">
        <v>100</v>
      </c>
      <c r="E35" s="23" t="s">
        <v>1210</v>
      </c>
      <c r="F35" s="2"/>
      <c r="G35" s="2"/>
      <c r="H35" s="2"/>
      <c r="I35" s="2"/>
      <c r="J35" s="2"/>
      <c r="K35" s="2"/>
      <c r="L35" s="2"/>
    </row>
    <row r="36" customFormat="false" ht="15" hidden="false" customHeight="false" outlineLevel="0" collapsed="false">
      <c r="A36" s="2"/>
      <c r="B36" s="5" t="s">
        <v>2203</v>
      </c>
      <c r="C36" s="60" t="n">
        <f aca="false">Entrées!$C$414</f>
        <v>2422</v>
      </c>
      <c r="D36" s="23" t="s">
        <v>100</v>
      </c>
      <c r="E36" s="23" t="s">
        <v>1290</v>
      </c>
      <c r="F36" s="2"/>
      <c r="G36" s="2"/>
      <c r="H36" s="2"/>
      <c r="I36" s="2"/>
      <c r="J36" s="2"/>
      <c r="K36" s="2"/>
      <c r="L36" s="2"/>
    </row>
    <row r="37" customFormat="false" ht="15" hidden="false" customHeight="false" outlineLevel="0" collapsed="false">
      <c r="A37" s="2"/>
      <c r="B37" s="21" t="s">
        <v>2204</v>
      </c>
      <c r="C37" s="44" t="n">
        <f aca="false">SUM(C32:C36)</f>
        <v>15911</v>
      </c>
      <c r="D37" s="23" t="s">
        <v>100</v>
      </c>
      <c r="E37" s="23" t="s">
        <v>1990</v>
      </c>
      <c r="F37" s="2"/>
      <c r="G37" s="2"/>
      <c r="H37" s="2"/>
      <c r="I37" s="2"/>
      <c r="J37" s="2"/>
      <c r="K37" s="2"/>
      <c r="L37" s="2"/>
    </row>
    <row r="38" customFormat="false" ht="15" hidden="false" customHeight="false" outlineLevel="0" collapsed="false">
      <c r="A38" s="2"/>
      <c r="B38" s="5" t="s">
        <v>2205</v>
      </c>
      <c r="C38" s="60" t="n">
        <f aca="false">Entrées!$C$422</f>
        <v>15911</v>
      </c>
      <c r="D38" s="23" t="s">
        <v>100</v>
      </c>
      <c r="E38" s="23" t="s">
        <v>1314</v>
      </c>
      <c r="F38" s="2"/>
      <c r="G38" s="2"/>
      <c r="H38" s="2"/>
      <c r="I38" s="2"/>
      <c r="J38" s="2"/>
      <c r="K38" s="2"/>
      <c r="L38" s="2"/>
    </row>
    <row r="39" customFormat="false" ht="15" hidden="false" customHeight="false" outlineLevel="0" collapsed="false">
      <c r="A39" s="2"/>
      <c r="B39" s="5" t="s">
        <v>2206</v>
      </c>
      <c r="C39" s="63" t="n">
        <f aca="false">C32+C33+C35</f>
        <v>5938</v>
      </c>
      <c r="D39" s="23" t="s">
        <v>100</v>
      </c>
      <c r="E39" s="23" t="s">
        <v>2207</v>
      </c>
      <c r="F39" s="2"/>
      <c r="G39" s="2"/>
      <c r="H39" s="2"/>
      <c r="I39" s="2"/>
      <c r="J39" s="2"/>
      <c r="K39" s="2"/>
      <c r="L39" s="2"/>
    </row>
    <row r="40" customFormat="false" ht="15" hidden="false" customHeight="false" outlineLevel="0" collapsed="false">
      <c r="A40" s="2"/>
      <c r="B40" s="5" t="s">
        <v>2208</v>
      </c>
      <c r="C40" s="63" t="n">
        <f aca="false">C34+C36</f>
        <v>9973</v>
      </c>
      <c r="D40" s="23" t="s">
        <v>100</v>
      </c>
      <c r="E40" s="23"/>
      <c r="F40" s="2"/>
      <c r="G40" s="2"/>
      <c r="H40" s="2"/>
      <c r="I40" s="2"/>
      <c r="J40" s="2"/>
      <c r="K40" s="2"/>
      <c r="L40" s="2"/>
    </row>
    <row r="41" customFormat="false" ht="15" hidden="false" customHeight="false" outlineLevel="0" collapsed="false">
      <c r="A41" s="2"/>
      <c r="B41" s="21" t="s">
        <v>2209</v>
      </c>
      <c r="C41" s="61" t="n">
        <f aca="false">C38/C10</f>
        <v>1.65017631196847</v>
      </c>
      <c r="D41" s="23" t="s">
        <v>130</v>
      </c>
      <c r="E41" s="23" t="s">
        <v>2210</v>
      </c>
      <c r="F41" s="2"/>
      <c r="G41" s="2"/>
      <c r="H41" s="2"/>
      <c r="I41" s="2"/>
      <c r="J41" s="2"/>
      <c r="K41" s="2"/>
      <c r="L41" s="2"/>
    </row>
    <row r="42" customFormat="false" ht="15" hidden="false" customHeight="false" outlineLevel="0" collapsed="false">
      <c r="A42" s="2"/>
      <c r="B42" s="21" t="s">
        <v>2211</v>
      </c>
      <c r="C42" s="61" t="n">
        <f aca="false">C38/C15</f>
        <v>4.13702548101924</v>
      </c>
      <c r="D42" s="23" t="s">
        <v>130</v>
      </c>
      <c r="E42" s="23"/>
      <c r="F42" s="2"/>
      <c r="G42" s="2"/>
      <c r="H42" s="2"/>
      <c r="I42" s="2"/>
      <c r="J42" s="2"/>
      <c r="K42" s="2"/>
      <c r="L42" s="2"/>
    </row>
    <row r="43" customFormat="false" ht="15" hidden="false" customHeight="false" outlineLevel="0" collapsed="false">
      <c r="A43" s="2"/>
      <c r="B43" s="5" t="s">
        <v>2212</v>
      </c>
      <c r="C43" s="74" t="n">
        <f aca="false">C38/(C10+D10)</f>
        <v>1.17571861375896</v>
      </c>
      <c r="D43" s="23" t="s">
        <v>130</v>
      </c>
      <c r="E43" s="23"/>
      <c r="F43" s="2"/>
      <c r="G43" s="2"/>
      <c r="H43" s="2"/>
      <c r="I43" s="2"/>
      <c r="J43" s="2"/>
      <c r="K43" s="2"/>
      <c r="L43" s="2"/>
    </row>
    <row r="44" customFormat="false" ht="15" hidden="false" customHeight="false" outlineLevel="0" collapsed="false">
      <c r="A44" s="2"/>
      <c r="B44" s="5" t="s">
        <v>2213</v>
      </c>
      <c r="C44" s="74" t="n">
        <f aca="false">(C38+Trajectoire!$D$42)/(C10+D10)</f>
        <v>1.27379761675482</v>
      </c>
      <c r="D44" s="23" t="s">
        <v>130</v>
      </c>
      <c r="E44" s="23" t="s">
        <v>2214</v>
      </c>
      <c r="F44" s="2"/>
      <c r="G44" s="2"/>
      <c r="H44" s="2"/>
      <c r="I44" s="2"/>
      <c r="J44" s="2"/>
      <c r="K44" s="2"/>
      <c r="L44" s="2"/>
    </row>
    <row r="45" customFormat="false" ht="15" hidden="false" customHeight="false" outlineLevel="0" collapsed="false">
      <c r="A45" s="2"/>
      <c r="B45" s="5" t="s">
        <v>1951</v>
      </c>
      <c r="C45" s="64" t="n">
        <f aca="false">Entrées!$C$132</f>
        <v>6.5</v>
      </c>
      <c r="D45" s="23" t="s">
        <v>509</v>
      </c>
      <c r="E45" s="23" t="s">
        <v>507</v>
      </c>
      <c r="F45" s="2"/>
      <c r="G45" s="2"/>
      <c r="H45" s="2"/>
      <c r="I45" s="2"/>
      <c r="J45" s="2"/>
      <c r="K45" s="2"/>
      <c r="L45" s="2"/>
    </row>
    <row r="46" customFormat="false" ht="30" hidden="false" customHeight="true" outlineLevel="0" collapsed="false">
      <c r="A46" s="2"/>
      <c r="B46" s="68" t="s">
        <v>2215</v>
      </c>
      <c r="C46" s="68"/>
      <c r="D46" s="68"/>
      <c r="E46" s="68"/>
      <c r="F46" s="68"/>
      <c r="G46" s="68"/>
      <c r="H46" s="68"/>
      <c r="I46" s="68"/>
      <c r="J46" s="68"/>
      <c r="K46" s="68"/>
      <c r="L46" s="68"/>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2216</v>
      </c>
      <c r="B1" s="2"/>
      <c r="C1" s="2"/>
      <c r="D1" s="2"/>
      <c r="E1" s="2"/>
    </row>
    <row r="2" customFormat="false" ht="15" hidden="false" customHeight="false" outlineLevel="0" collapsed="false">
      <c r="A2" s="3" t="s">
        <v>2217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1" t="s">
        <v>1921</v>
      </c>
      <c r="B4" s="21" t="s">
        <v>2218</v>
      </c>
      <c r="C4" s="2"/>
      <c r="D4" s="2"/>
      <c r="E4" s="2"/>
    </row>
    <row r="5" customFormat="false" ht="15" hidden="false" customHeight="false" outlineLevel="0" collapsed="false">
      <c r="A5" s="20"/>
      <c r="B5" s="20" t="s">
        <v>2219</v>
      </c>
      <c r="C5" s="20" t="s">
        <v>110</v>
      </c>
      <c r="D5" s="20"/>
      <c r="E5" s="20" t="s">
        <v>1839</v>
      </c>
    </row>
    <row r="6" customFormat="false" ht="15" hidden="false" customHeight="false" outlineLevel="0" collapsed="false">
      <c r="A6" s="2"/>
      <c r="B6" s="5" t="s">
        <v>2220</v>
      </c>
      <c r="C6" s="77" t="n">
        <f aca="false">Entrées!$C$95</f>
        <v>1.9</v>
      </c>
      <c r="D6" s="23"/>
      <c r="E6" s="23" t="s">
        <v>401</v>
      </c>
    </row>
    <row r="7" customFormat="false" ht="15" hidden="false" customHeight="false" outlineLevel="0" collapsed="false">
      <c r="A7" s="2"/>
      <c r="B7" s="5" t="s">
        <v>2221</v>
      </c>
      <c r="C7" s="77" t="n">
        <f aca="false">Entrées!$C$96</f>
        <v>1.5</v>
      </c>
      <c r="D7" s="23"/>
      <c r="E7" s="23" t="s">
        <v>404</v>
      </c>
    </row>
    <row r="8" customFormat="false" ht="15" hidden="false" customHeight="false" outlineLevel="0" collapsed="false">
      <c r="A8" s="2"/>
      <c r="B8" s="5" t="s">
        <v>2222</v>
      </c>
      <c r="C8" s="78" t="n">
        <f aca="false">-Entrées!$C$97</f>
        <v>-0.3</v>
      </c>
      <c r="D8" s="23"/>
      <c r="E8" s="23" t="s">
        <v>407</v>
      </c>
    </row>
    <row r="9" customFormat="false" ht="15" hidden="false" customHeight="false" outlineLevel="0" collapsed="false">
      <c r="A9" s="2"/>
      <c r="B9" s="21" t="s">
        <v>2223</v>
      </c>
      <c r="C9" s="50" t="n">
        <f aca="false">SUM(C6:C8)</f>
        <v>3.1</v>
      </c>
      <c r="D9" s="23"/>
      <c r="E9" s="23"/>
    </row>
    <row r="10" customFormat="false" ht="15" hidden="false" customHeight="false" outlineLevel="0" collapsed="false">
      <c r="A10" s="2"/>
      <c r="B10" s="5" t="s">
        <v>2224</v>
      </c>
      <c r="C10" s="77" t="n">
        <f aca="false">Entrées!$C$12</f>
        <v>3.1</v>
      </c>
      <c r="D10" s="23"/>
      <c r="E10" s="23" t="s">
        <v>132</v>
      </c>
    </row>
    <row r="11" customFormat="false" ht="15" hidden="false" customHeight="false" outlineLevel="0" collapsed="false">
      <c r="A11" s="2"/>
      <c r="B11" s="2"/>
      <c r="C11" s="2"/>
      <c r="D11" s="2"/>
      <c r="E11" s="2"/>
    </row>
    <row r="12" customFormat="false" ht="15" hidden="false" customHeight="false" outlineLevel="0" collapsed="false">
      <c r="A12" s="2"/>
      <c r="B12" s="5" t="s">
        <v>2225</v>
      </c>
      <c r="C12" s="77" t="n">
        <f aca="false">Entrées!$C$10</f>
        <v>0.5</v>
      </c>
      <c r="D12" s="23"/>
      <c r="E12" s="23" t="s">
        <v>125</v>
      </c>
    </row>
    <row r="13" customFormat="false" ht="15" hidden="false" customHeight="false" outlineLevel="0" collapsed="false">
      <c r="A13" s="2"/>
      <c r="B13" s="5" t="s">
        <v>2226</v>
      </c>
      <c r="C13" s="77" t="n">
        <f aca="false">Entrées!$C$26</f>
        <v>1</v>
      </c>
      <c r="D13" s="23"/>
      <c r="E13" s="23" t="s">
        <v>183</v>
      </c>
    </row>
    <row r="14" customFormat="false" ht="15" hidden="false" customHeight="false" outlineLevel="0" collapsed="false">
      <c r="A14" s="2"/>
      <c r="B14" s="5" t="s">
        <v>2227</v>
      </c>
      <c r="C14" s="77" t="n">
        <f aca="false">Entrées!$C$23</f>
        <v>0.5</v>
      </c>
      <c r="D14" s="23"/>
      <c r="E14" s="23" t="s">
        <v>176</v>
      </c>
    </row>
    <row r="15" customFormat="false" ht="15" hidden="false" customHeight="false" outlineLevel="0" collapsed="false">
      <c r="A15" s="2"/>
      <c r="B15" s="5" t="s">
        <v>2228</v>
      </c>
      <c r="C15" s="78" t="n">
        <f aca="false">C12-C14</f>
        <v>0</v>
      </c>
      <c r="D15" s="23"/>
      <c r="E15" s="23"/>
    </row>
    <row r="16" customFormat="false" ht="15" hidden="false" customHeight="false" outlineLevel="0" collapsed="false">
      <c r="A16" s="2"/>
      <c r="B16" s="21" t="s">
        <v>2229</v>
      </c>
      <c r="C16" s="50" t="n">
        <f aca="false">C13-C14</f>
        <v>0.5</v>
      </c>
      <c r="D16" s="23"/>
      <c r="E16" s="23"/>
    </row>
    <row r="17" customFormat="false" ht="15" hidden="false" customHeight="false" outlineLevel="0" collapsed="false">
      <c r="A17" s="2"/>
      <c r="B17" s="5" t="s">
        <v>2230</v>
      </c>
      <c r="C17" s="77" t="n">
        <f aca="false">Entrées!$C$7</f>
        <v>0.5</v>
      </c>
      <c r="D17" s="23"/>
      <c r="E17" s="23" t="s">
        <v>108</v>
      </c>
    </row>
    <row r="18" customFormat="false" ht="42" hidden="false" customHeight="true" outlineLevel="0" collapsed="false">
      <c r="A18" s="2"/>
      <c r="B18" s="68" t="s">
        <v>2231</v>
      </c>
      <c r="C18" s="68"/>
      <c r="D18" s="68"/>
      <c r="E18" s="68"/>
    </row>
    <row r="19" customFormat="false" ht="15" hidden="false" customHeight="false" outlineLevel="0" collapsed="false">
      <c r="A19" s="2"/>
      <c r="B19" s="2"/>
      <c r="C19" s="2"/>
      <c r="D19" s="2"/>
      <c r="E19" s="2"/>
    </row>
    <row r="20" customFormat="false" ht="15" hidden="false" customHeight="false" outlineLevel="0" collapsed="false">
      <c r="A20" s="21" t="s">
        <v>1934</v>
      </c>
      <c r="B20" s="21" t="s">
        <v>2232</v>
      </c>
      <c r="C20" s="2"/>
      <c r="D20" s="2"/>
      <c r="E20" s="2"/>
    </row>
    <row r="21" customFormat="false" ht="15" hidden="false" customHeight="false" outlineLevel="0" collapsed="false">
      <c r="A21" s="2"/>
      <c r="B21" s="5" t="s">
        <v>2233</v>
      </c>
      <c r="C21" s="78" t="n">
        <f aca="false">-Entrées!$C$81/1000</f>
        <v>2.778</v>
      </c>
      <c r="D21" s="23" t="s">
        <v>127</v>
      </c>
      <c r="E21" s="23" t="s">
        <v>362</v>
      </c>
    </row>
    <row r="22" customFormat="false" ht="15" hidden="false" customHeight="false" outlineLevel="0" collapsed="false">
      <c r="A22" s="2"/>
      <c r="B22" s="5" t="s">
        <v>2234</v>
      </c>
      <c r="C22" s="78" t="n">
        <f aca="false">$C$17*4</f>
        <v>2</v>
      </c>
      <c r="D22" s="23" t="s">
        <v>127</v>
      </c>
      <c r="E22" s="23" t="s">
        <v>2235</v>
      </c>
    </row>
    <row r="23" customFormat="false" ht="15" hidden="false" customHeight="false" outlineLevel="0" collapsed="false">
      <c r="A23" s="2"/>
      <c r="B23" s="21" t="s">
        <v>2236</v>
      </c>
      <c r="C23" s="79" t="n">
        <f aca="false">C21/$C$17</f>
        <v>5.556</v>
      </c>
      <c r="D23" s="23" t="s">
        <v>2237</v>
      </c>
      <c r="E23" s="23"/>
    </row>
    <row r="24" customFormat="false" ht="15" hidden="false" customHeight="false" outlineLevel="0" collapsed="false">
      <c r="A24" s="2"/>
      <c r="B24" s="5" t="s">
        <v>2238</v>
      </c>
      <c r="C24" s="77" t="n">
        <f aca="false">Entrées!$C$30</f>
        <v>2</v>
      </c>
      <c r="D24" s="23" t="s">
        <v>127</v>
      </c>
      <c r="E24" s="23" t="s">
        <v>194</v>
      </c>
    </row>
    <row r="25" customFormat="false" ht="15" hidden="false" customHeight="false" outlineLevel="0" collapsed="false">
      <c r="A25" s="2"/>
      <c r="B25" s="21" t="s">
        <v>2239</v>
      </c>
      <c r="C25" s="50" t="n">
        <f aca="false">C21-C24</f>
        <v>0.778</v>
      </c>
      <c r="D25" s="23" t="s">
        <v>127</v>
      </c>
      <c r="E25" s="23"/>
    </row>
    <row r="26" customFormat="false" ht="15" hidden="false" customHeight="false" outlineLevel="0" collapsed="false">
      <c r="A26" s="2"/>
      <c r="B26" s="5" t="s">
        <v>2240</v>
      </c>
      <c r="C26" s="80" t="n">
        <f aca="false">C25/$C$17</f>
        <v>1.556</v>
      </c>
      <c r="D26" s="23" t="s">
        <v>2237</v>
      </c>
      <c r="E26" s="23"/>
    </row>
    <row r="27" customFormat="false" ht="15" hidden="false" customHeight="false" outlineLevel="0" collapsed="false">
      <c r="A27" s="2"/>
      <c r="B27" s="5" t="s">
        <v>2241</v>
      </c>
      <c r="C27" s="77" t="n">
        <f aca="false">Entrées!$C$37</f>
        <v>8</v>
      </c>
      <c r="D27" s="23" t="s">
        <v>127</v>
      </c>
      <c r="E27" s="23" t="s">
        <v>217</v>
      </c>
    </row>
    <row r="28" customFormat="false" ht="42" hidden="false" customHeight="true" outlineLevel="0" collapsed="false">
      <c r="A28" s="2"/>
      <c r="B28" s="68" t="s">
        <v>2242</v>
      </c>
      <c r="C28" s="68"/>
      <c r="D28" s="68"/>
      <c r="E28" s="68"/>
    </row>
    <row r="29" customFormat="false" ht="15" hidden="false" customHeight="false" outlineLevel="0" collapsed="false">
      <c r="A29" s="2"/>
      <c r="B29" s="2"/>
      <c r="C29" s="2"/>
      <c r="D29" s="2"/>
      <c r="E29" s="2"/>
    </row>
    <row r="30" customFormat="false" ht="15" hidden="false" customHeight="false" outlineLevel="0" collapsed="false">
      <c r="A30" s="21" t="s">
        <v>2104</v>
      </c>
      <c r="B30" s="21" t="s">
        <v>2243</v>
      </c>
      <c r="C30" s="2"/>
      <c r="D30" s="2"/>
      <c r="E30" s="2"/>
    </row>
    <row r="31" customFormat="false" ht="15" hidden="false" customHeight="false" outlineLevel="0" collapsed="false">
      <c r="A31" s="20"/>
      <c r="B31" s="20" t="s">
        <v>91</v>
      </c>
      <c r="C31" s="20" t="s">
        <v>2244</v>
      </c>
      <c r="D31" s="20" t="s">
        <v>2245</v>
      </c>
      <c r="E31" s="20" t="s">
        <v>2246</v>
      </c>
    </row>
    <row r="32" customFormat="false" ht="15" hidden="false" customHeight="false" outlineLevel="0" collapsed="false">
      <c r="A32" s="2"/>
      <c r="B32" s="5" t="s">
        <v>2247</v>
      </c>
      <c r="C32" s="77" t="n">
        <f aca="false">Entrées!$C$35</f>
        <v>0.1</v>
      </c>
      <c r="D32" s="78" t="n">
        <f aca="false">C32</f>
        <v>0.1</v>
      </c>
      <c r="E32" s="23" t="s">
        <v>210</v>
      </c>
    </row>
    <row r="33" customFormat="false" ht="15" hidden="false" customHeight="false" outlineLevel="0" collapsed="false">
      <c r="A33" s="2"/>
      <c r="B33" s="5" t="s">
        <v>2248</v>
      </c>
      <c r="C33" s="78" t="n">
        <f aca="false">Entrées!$C$36*Hypothèses!$J$12</f>
        <v>0.25</v>
      </c>
      <c r="D33" s="78" t="n">
        <f aca="false">D32+C33</f>
        <v>0.35</v>
      </c>
      <c r="E33" s="23" t="s">
        <v>2249</v>
      </c>
    </row>
    <row r="34" customFormat="false" ht="15" hidden="false" customHeight="false" outlineLevel="0" collapsed="false">
      <c r="A34" s="2"/>
      <c r="B34" s="5" t="s">
        <v>2250</v>
      </c>
      <c r="C34" s="78" t="n">
        <f aca="false">Entrées!$C$36*(1-Hypothèses!$J$12)+MAX(0,Entrées!$C$30-Entrées!$C$35-Entrées!$C$36)*Hypothèses!$J$13</f>
        <v>0.95</v>
      </c>
      <c r="D34" s="78" t="n">
        <f aca="false">D33+C34</f>
        <v>1.3</v>
      </c>
      <c r="E34" s="23" t="s">
        <v>2251</v>
      </c>
    </row>
    <row r="35" customFormat="false" ht="15" hidden="false" customHeight="false" outlineLevel="0" collapsed="false">
      <c r="A35" s="2"/>
      <c r="B35" s="5" t="s">
        <v>2252</v>
      </c>
      <c r="C35" s="78" t="n">
        <f aca="false">MAX(0,Entrées!$C$30-D34)</f>
        <v>0.7</v>
      </c>
      <c r="D35" s="78" t="n">
        <f aca="false">D34+C35</f>
        <v>2</v>
      </c>
      <c r="E35" s="23" t="s">
        <v>2253</v>
      </c>
    </row>
    <row r="36" customFormat="false" ht="15" hidden="false" customHeight="false" outlineLevel="0" collapsed="false">
      <c r="A36" s="2"/>
      <c r="B36" s="21" t="s">
        <v>2254</v>
      </c>
      <c r="C36" s="44" t="n">
        <f aca="false">(C33+C34)*1000/Hypothèses!$J$14</f>
        <v>120</v>
      </c>
      <c r="D36" s="23" t="s">
        <v>100</v>
      </c>
      <c r="E36" s="23" t="s">
        <v>2255</v>
      </c>
    </row>
    <row r="37" customFormat="false" ht="15" hidden="false" customHeight="false" outlineLevel="0" collapsed="false">
      <c r="A37" s="2"/>
      <c r="B37" s="2"/>
      <c r="C37" s="2"/>
      <c r="D37" s="2"/>
      <c r="E37" s="2"/>
    </row>
    <row r="38" customFormat="false" ht="15" hidden="false" customHeight="false" outlineLevel="0" collapsed="false">
      <c r="A38" s="21" t="s">
        <v>2256</v>
      </c>
      <c r="B38" s="21" t="s">
        <v>2257</v>
      </c>
      <c r="C38" s="2"/>
      <c r="D38" s="2"/>
      <c r="E38" s="2"/>
    </row>
    <row r="39" customFormat="false" ht="15" hidden="false" customHeight="false" outlineLevel="0" collapsed="false">
      <c r="A39" s="20"/>
      <c r="B39" s="20" t="s">
        <v>2122</v>
      </c>
      <c r="C39" s="20" t="s">
        <v>127</v>
      </c>
      <c r="D39" s="20"/>
      <c r="E39" s="20" t="s">
        <v>1839</v>
      </c>
    </row>
    <row r="40" customFormat="false" ht="15" hidden="false" customHeight="false" outlineLevel="0" collapsed="false">
      <c r="A40" s="2"/>
      <c r="B40" s="5" t="s">
        <v>2258</v>
      </c>
      <c r="C40" s="77" t="n">
        <f aca="false">Entrées!$C$117</f>
        <v>4</v>
      </c>
      <c r="D40" s="23"/>
      <c r="E40" s="23" t="s">
        <v>462</v>
      </c>
    </row>
    <row r="41" customFormat="false" ht="15" hidden="false" customHeight="false" outlineLevel="0" collapsed="false">
      <c r="A41" s="2"/>
      <c r="B41" s="5" t="s">
        <v>2259</v>
      </c>
      <c r="C41" s="77" t="n">
        <f aca="false">Entrées!$C$118</f>
        <v>2</v>
      </c>
      <c r="D41" s="23"/>
      <c r="E41" s="23" t="s">
        <v>465</v>
      </c>
    </row>
    <row r="42" customFormat="false" ht="15" hidden="false" customHeight="false" outlineLevel="0" collapsed="false">
      <c r="A42" s="2"/>
      <c r="B42" s="5" t="s">
        <v>2260</v>
      </c>
      <c r="C42" s="78" t="n">
        <f aca="false">-Entrées!$C$126/1000</f>
        <v>-0.397</v>
      </c>
      <c r="D42" s="23"/>
      <c r="E42" s="23" t="s">
        <v>2261</v>
      </c>
    </row>
    <row r="43" customFormat="false" ht="15" hidden="false" customHeight="false" outlineLevel="0" collapsed="false">
      <c r="A43" s="2"/>
      <c r="B43" s="5" t="s">
        <v>2262</v>
      </c>
      <c r="C43" s="78" t="n">
        <f aca="false">-Entrées!$C$69/1000</f>
        <v>2.301</v>
      </c>
      <c r="D43" s="23"/>
      <c r="E43" s="23" t="s">
        <v>2263</v>
      </c>
    </row>
    <row r="44" customFormat="false" ht="15" hidden="false" customHeight="false" outlineLevel="0" collapsed="false">
      <c r="A44" s="2"/>
      <c r="B44" s="5" t="s">
        <v>2264</v>
      </c>
      <c r="C44" s="78" t="n">
        <f aca="false">-Entrées!$C$80/1000</f>
        <v>2.869</v>
      </c>
      <c r="D44" s="23"/>
      <c r="E44" s="23" t="s">
        <v>2265</v>
      </c>
    </row>
    <row r="45" customFormat="false" ht="15" hidden="false" customHeight="false" outlineLevel="0" collapsed="false">
      <c r="A45" s="2"/>
      <c r="B45" s="21" t="s">
        <v>2266</v>
      </c>
      <c r="C45" s="50" t="n">
        <f aca="false">SUM(C42:C44)</f>
        <v>4.773</v>
      </c>
      <c r="D45" s="23"/>
      <c r="E45" s="23" t="s">
        <v>2267</v>
      </c>
    </row>
    <row r="46" customFormat="false" ht="15" hidden="false" customHeight="false" outlineLevel="0" collapsed="false">
      <c r="A46" s="2"/>
      <c r="B46" s="21" t="s">
        <v>2268</v>
      </c>
      <c r="C46" s="50" t="n">
        <f aca="false">C45-C40</f>
        <v>0.773000000000001</v>
      </c>
      <c r="D46" s="23"/>
      <c r="E46" s="23" t="s">
        <v>2269</v>
      </c>
    </row>
    <row r="47" customFormat="false" ht="15" hidden="false" customHeight="false" outlineLevel="0" collapsed="false">
      <c r="A47" s="2"/>
      <c r="B47" s="5" t="s">
        <v>2270</v>
      </c>
      <c r="C47" s="77" t="n">
        <f aca="false">Entrées!$C$119</f>
        <v>4</v>
      </c>
      <c r="D47" s="23"/>
      <c r="E47" s="23" t="s">
        <v>467</v>
      </c>
    </row>
    <row r="48" customFormat="false" ht="15" hidden="false" customHeight="false" outlineLevel="0" collapsed="false">
      <c r="A48" s="2"/>
      <c r="B48" s="5" t="s">
        <v>2271</v>
      </c>
      <c r="C48" s="77" t="n">
        <f aca="false">Entrées!$C$121</f>
        <v>8.5</v>
      </c>
      <c r="D48" s="23"/>
      <c r="E48" s="23" t="s">
        <v>472</v>
      </c>
    </row>
    <row r="49" customFormat="false" ht="15" hidden="false" customHeight="false" outlineLevel="0" collapsed="false">
      <c r="A49" s="2"/>
      <c r="B49" s="5" t="s">
        <v>2272</v>
      </c>
      <c r="C49" s="65" t="n">
        <f aca="false">Entrées!$C$122/100</f>
        <v>0.9</v>
      </c>
      <c r="D49" s="23" t="s">
        <v>296</v>
      </c>
      <c r="E49" s="23" t="s">
        <v>476</v>
      </c>
    </row>
    <row r="50" customFormat="false" ht="15" hidden="false" customHeight="false" outlineLevel="0" collapsed="false">
      <c r="A50" s="2"/>
      <c r="B50" s="5" t="s">
        <v>2273</v>
      </c>
      <c r="C50" s="65" t="n">
        <f aca="false">Entrées!$C$123/100</f>
        <v>0.8</v>
      </c>
      <c r="D50" s="23" t="s">
        <v>296</v>
      </c>
      <c r="E50" s="23" t="s">
        <v>478</v>
      </c>
    </row>
    <row r="51" customFormat="false" ht="42" hidden="false" customHeight="true" outlineLevel="0" collapsed="false">
      <c r="A51" s="2"/>
      <c r="B51" s="68" t="s">
        <v>2274</v>
      </c>
      <c r="C51" s="68"/>
      <c r="D51" s="68"/>
      <c r="E51" s="68"/>
    </row>
    <row r="52" customFormat="false" ht="15" hidden="false" customHeight="false" outlineLevel="0" collapsed="false">
      <c r="A52" s="2"/>
      <c r="B52" s="2"/>
      <c r="C52" s="2"/>
      <c r="D52" s="2"/>
      <c r="E52" s="2"/>
    </row>
    <row r="53" customFormat="false" ht="15" hidden="false" customHeight="false" outlineLevel="0" collapsed="false">
      <c r="A53" s="21" t="s">
        <v>2275</v>
      </c>
      <c r="B53" s="21" t="s">
        <v>2276</v>
      </c>
      <c r="C53" s="2"/>
      <c r="D53" s="2"/>
      <c r="E53" s="2"/>
    </row>
    <row r="54" customFormat="false" ht="42" hidden="false" customHeight="true" outlineLevel="0" collapsed="false">
      <c r="A54" s="2"/>
      <c r="B54" s="68" t="s">
        <v>2277</v>
      </c>
      <c r="C54" s="68"/>
      <c r="D54" s="68"/>
      <c r="E54" s="68"/>
    </row>
    <row r="55" customFormat="false" ht="15" hidden="false" customHeight="false" outlineLevel="0" collapsed="false">
      <c r="A55" s="20"/>
      <c r="B55" s="20" t="s">
        <v>2278</v>
      </c>
      <c r="C55" s="20" t="s">
        <v>2279</v>
      </c>
      <c r="D55" s="20" t="s">
        <v>2280</v>
      </c>
      <c r="E55" s="20" t="s">
        <v>1839</v>
      </c>
    </row>
    <row r="56" customFormat="false" ht="15" hidden="false" customHeight="false" outlineLevel="0" collapsed="false">
      <c r="A56" s="2"/>
      <c r="B56" s="5" t="s">
        <v>2281</v>
      </c>
      <c r="C56" s="60" t="n">
        <f aca="false">Entrées!$C$455</f>
        <v>8547</v>
      </c>
      <c r="D56" s="65" t="n">
        <f aca="false">C56/Entrées!$C$453</f>
        <v>0.192517343904856</v>
      </c>
      <c r="E56" s="23" t="s">
        <v>1409</v>
      </c>
    </row>
    <row r="57" customFormat="false" ht="15" hidden="false" customHeight="false" outlineLevel="0" collapsed="false">
      <c r="A57" s="2"/>
      <c r="B57" s="5" t="s">
        <v>2282</v>
      </c>
      <c r="C57" s="60" t="n">
        <f aca="false">Entrées!$C$456</f>
        <v>4683</v>
      </c>
      <c r="D57" s="65" t="n">
        <f aca="false">C57/Entrées!$C$453</f>
        <v>0.10548247589873</v>
      </c>
      <c r="E57" s="23" t="s">
        <v>1412</v>
      </c>
    </row>
    <row r="58" customFormat="false" ht="15" hidden="false" customHeight="false" outlineLevel="0" collapsed="false">
      <c r="A58" s="2"/>
      <c r="B58" s="5" t="s">
        <v>2283</v>
      </c>
      <c r="C58" s="60" t="n">
        <f aca="false">Entrées!$C$457</f>
        <v>3097</v>
      </c>
      <c r="D58" s="65" t="n">
        <f aca="false">C58/Entrées!$C$453</f>
        <v>0.0697585368051176</v>
      </c>
      <c r="E58" s="23" t="s">
        <v>1415</v>
      </c>
    </row>
    <row r="59" customFormat="false" ht="15" hidden="false" customHeight="false" outlineLevel="0" collapsed="false">
      <c r="A59" s="2"/>
      <c r="B59" s="5" t="s">
        <v>2284</v>
      </c>
      <c r="C59" s="60" t="n">
        <f aca="false">Entrées!$C$458</f>
        <v>3035</v>
      </c>
      <c r="D59" s="65" t="n">
        <f aca="false">C59/Entrées!$C$453</f>
        <v>0.0683620145959095</v>
      </c>
      <c r="E59" s="23" t="s">
        <v>1418</v>
      </c>
    </row>
    <row r="60" customFormat="false" ht="15" hidden="false" customHeight="false" outlineLevel="0" collapsed="false">
      <c r="A60" s="2"/>
      <c r="B60" s="5" t="s">
        <v>2285</v>
      </c>
      <c r="C60" s="60" t="n">
        <f aca="false">Entrées!$C$459</f>
        <v>3007</v>
      </c>
      <c r="D60" s="65" t="n">
        <f aca="false">C60/Entrées!$C$453</f>
        <v>0.0677313271465898</v>
      </c>
      <c r="E60" s="23" t="s">
        <v>1421</v>
      </c>
    </row>
    <row r="61" customFormat="false" ht="15" hidden="false" customHeight="false" outlineLevel="0" collapsed="false">
      <c r="A61" s="2"/>
      <c r="B61" s="5" t="s">
        <v>2286</v>
      </c>
      <c r="C61" s="60" t="n">
        <f aca="false">Entrées!$C$460</f>
        <v>2978</v>
      </c>
      <c r="D61" s="65" t="n">
        <f aca="false">C61/Entrées!$C$453</f>
        <v>0.0670781151455086</v>
      </c>
      <c r="E61" s="23" t="s">
        <v>1424</v>
      </c>
    </row>
    <row r="62" customFormat="false" ht="15" hidden="false" customHeight="false" outlineLevel="0" collapsed="false">
      <c r="A62" s="2"/>
      <c r="B62" s="5" t="s">
        <v>2287</v>
      </c>
      <c r="C62" s="60" t="n">
        <f aca="false">Entrées!$C$461</f>
        <v>2165</v>
      </c>
      <c r="D62" s="65" t="n">
        <f aca="false">C62/Entrées!$C$453</f>
        <v>0.0487656545634742</v>
      </c>
      <c r="E62" s="23" t="s">
        <v>1427</v>
      </c>
    </row>
    <row r="63" customFormat="false" ht="15" hidden="false" customHeight="false" outlineLevel="0" collapsed="false">
      <c r="A63" s="2"/>
      <c r="B63" s="5" t="s">
        <v>2288</v>
      </c>
      <c r="C63" s="60" t="n">
        <f aca="false">Entrées!$C$462</f>
        <v>2023</v>
      </c>
      <c r="D63" s="65" t="n">
        <f aca="false">C63/Entrées!$C$453</f>
        <v>0.0455671682133526</v>
      </c>
      <c r="E63" s="23" t="s">
        <v>1430</v>
      </c>
    </row>
    <row r="64" customFormat="false" ht="15" hidden="false" customHeight="false" outlineLevel="0" collapsed="false">
      <c r="A64" s="2"/>
      <c r="B64" s="5" t="s">
        <v>2289</v>
      </c>
      <c r="C64" s="60" t="n">
        <f aca="false">Entrées!$C$463</f>
        <v>1160</v>
      </c>
      <c r="D64" s="65" t="n">
        <f aca="false">C64/Entrées!$C$453</f>
        <v>0.0261284800432471</v>
      </c>
      <c r="E64" s="23" t="s">
        <v>1433</v>
      </c>
    </row>
    <row r="65" customFormat="false" ht="15" hidden="false" customHeight="false" outlineLevel="0" collapsed="false">
      <c r="A65" s="2"/>
      <c r="B65" s="5" t="s">
        <v>2290</v>
      </c>
      <c r="C65" s="60" t="n">
        <f aca="false">Entrées!$C$464</f>
        <v>1081</v>
      </c>
      <c r="D65" s="65" t="n">
        <f aca="false">C65/Entrées!$C$453</f>
        <v>0.024349040454095</v>
      </c>
      <c r="E65" s="23" t="s">
        <v>1436</v>
      </c>
    </row>
    <row r="66" customFormat="false" ht="15" hidden="false" customHeight="false" outlineLevel="0" collapsed="false">
      <c r="A66" s="2"/>
      <c r="B66" s="5" t="s">
        <v>2291</v>
      </c>
      <c r="C66" s="60" t="n">
        <f aca="false">Entrées!$C$466</f>
        <v>1070</v>
      </c>
      <c r="D66" s="65" t="n">
        <f aca="false">C66/Entrées!$C$453</f>
        <v>0.0241012703847193</v>
      </c>
      <c r="E66" s="23" t="s">
        <v>1441</v>
      </c>
    </row>
    <row r="67" customFormat="false" ht="15" hidden="false" customHeight="false" outlineLevel="0" collapsed="false">
      <c r="A67" s="2"/>
      <c r="B67" s="5" t="s">
        <v>2292</v>
      </c>
      <c r="C67" s="60" t="n">
        <f aca="false">Entrées!$C$468</f>
        <v>932</v>
      </c>
      <c r="D67" s="65" t="n">
        <f aca="false">C67/Entrées!$C$453</f>
        <v>0.0209928822416434</v>
      </c>
      <c r="E67" s="23" t="s">
        <v>1446</v>
      </c>
    </row>
    <row r="68" customFormat="false" ht="15" hidden="false" customHeight="false" outlineLevel="0" collapsed="false">
      <c r="A68" s="2"/>
      <c r="B68" s="5" t="s">
        <v>2293</v>
      </c>
      <c r="C68" s="60" t="n">
        <f aca="false">Entrées!$C$470</f>
        <v>908</v>
      </c>
      <c r="D68" s="65" t="n">
        <f aca="false">C68/Entrées!$C$453</f>
        <v>0.0204522929993693</v>
      </c>
      <c r="E68" s="23" t="s">
        <v>1451</v>
      </c>
    </row>
    <row r="69" customFormat="false" ht="15" hidden="false" customHeight="false" outlineLevel="0" collapsed="false">
      <c r="A69" s="2"/>
      <c r="B69" s="5" t="s">
        <v>2294</v>
      </c>
      <c r="C69" s="60" t="n">
        <f aca="false">Entrées!$C$471</f>
        <v>807</v>
      </c>
      <c r="D69" s="65" t="n">
        <f aca="false">C69/Entrées!$C$453</f>
        <v>0.0181773132714659</v>
      </c>
      <c r="E69" s="23" t="s">
        <v>1454</v>
      </c>
    </row>
    <row r="70" customFormat="false" ht="15" hidden="false" customHeight="false" outlineLevel="0" collapsed="false">
      <c r="A70" s="2"/>
      <c r="B70" s="5" t="s">
        <v>2295</v>
      </c>
      <c r="C70" s="60" t="n">
        <f aca="false">Entrées!$C$472</f>
        <v>609</v>
      </c>
      <c r="D70" s="65" t="n">
        <f aca="false">C70/Entrées!$C$453</f>
        <v>0.0137174520227047</v>
      </c>
      <c r="E70" s="23" t="s">
        <v>1457</v>
      </c>
    </row>
    <row r="71" customFormat="false" ht="15" hidden="false" customHeight="false" outlineLevel="0" collapsed="false">
      <c r="A71" s="2"/>
      <c r="B71" s="5" t="s">
        <v>2296</v>
      </c>
      <c r="C71" s="60" t="n">
        <f aca="false">Entrées!$C$473</f>
        <v>581</v>
      </c>
      <c r="D71" s="65" t="n">
        <f aca="false">C71/Entrées!$C$453</f>
        <v>0.013086764573385</v>
      </c>
      <c r="E71" s="23" t="s">
        <v>1460</v>
      </c>
    </row>
    <row r="72" customFormat="false" ht="15" hidden="false" customHeight="false" outlineLevel="0" collapsed="false">
      <c r="A72" s="2"/>
      <c r="B72" s="5" t="s">
        <v>2297</v>
      </c>
      <c r="C72" s="60" t="n">
        <f aca="false">Entrées!$C$474</f>
        <v>504</v>
      </c>
      <c r="D72" s="65" t="n">
        <f aca="false">C72/Entrées!$C$453</f>
        <v>0.0113523740877557</v>
      </c>
      <c r="E72" s="23" t="s">
        <v>1463</v>
      </c>
    </row>
    <row r="73" customFormat="false" ht="15" hidden="false" customHeight="false" outlineLevel="0" collapsed="false">
      <c r="A73" s="2"/>
      <c r="B73" s="5" t="s">
        <v>2298</v>
      </c>
      <c r="C73" s="60" t="n">
        <f aca="false">Entrées!$C$475</f>
        <v>7207</v>
      </c>
      <c r="D73" s="65" t="n">
        <f aca="false">C73/Entrées!$C$453</f>
        <v>0.162334444544554</v>
      </c>
      <c r="E73" s="23" t="s">
        <v>1466</v>
      </c>
    </row>
    <row r="74" customFormat="false" ht="15" hidden="false" customHeight="false" outlineLevel="0" collapsed="false">
      <c r="A74" s="2"/>
      <c r="B74" s="21" t="s">
        <v>2299</v>
      </c>
      <c r="C74" s="44" t="n">
        <f aca="false">SUM(C56:C73)</f>
        <v>44394</v>
      </c>
      <c r="D74" s="23" t="s">
        <v>100</v>
      </c>
      <c r="E74" s="23"/>
    </row>
    <row r="75" customFormat="false" ht="15" hidden="false" customHeight="false" outlineLevel="0" collapsed="false">
      <c r="A75" s="2"/>
      <c r="B75" s="5" t="s">
        <v>2300</v>
      </c>
      <c r="C75" s="60" t="n">
        <f aca="false">Entrées!$C$453</f>
        <v>44396</v>
      </c>
      <c r="D75" s="23" t="s">
        <v>100</v>
      </c>
      <c r="E75" s="23" t="s">
        <v>1404</v>
      </c>
    </row>
    <row r="76" customFormat="false" ht="15" hidden="false" customHeight="false" outlineLevel="0" collapsed="false">
      <c r="A76" s="2"/>
      <c r="B76" s="5" t="s">
        <v>2301</v>
      </c>
      <c r="C76" s="60" t="n">
        <f aca="false">Entrées!$C$469</f>
        <v>1266</v>
      </c>
      <c r="D76" s="23" t="s">
        <v>100</v>
      </c>
      <c r="E76" s="23" t="s">
        <v>1449</v>
      </c>
    </row>
    <row r="77" customFormat="false" ht="15" hidden="false" customHeight="false" outlineLevel="0" collapsed="false">
      <c r="A77" s="2"/>
      <c r="B77" s="2"/>
      <c r="C77" s="2"/>
      <c r="D77" s="2"/>
      <c r="E77" s="2"/>
    </row>
    <row r="78" customFormat="false" ht="15" hidden="false" customHeight="false" outlineLevel="0" collapsed="false">
      <c r="A78" s="20"/>
      <c r="B78" s="20" t="s">
        <v>2302</v>
      </c>
      <c r="C78" s="20" t="s">
        <v>89</v>
      </c>
      <c r="D78" s="20" t="s">
        <v>90</v>
      </c>
      <c r="E78" s="20" t="s">
        <v>1920</v>
      </c>
    </row>
    <row r="79" customFormat="false" ht="15" hidden="false" customHeight="false" outlineLevel="0" collapsed="false">
      <c r="A79" s="2"/>
      <c r="B79" s="5" t="s">
        <v>2303</v>
      </c>
      <c r="C79" s="63" t="n">
        <f aca="false">Entrées!$C$30*1000</f>
        <v>2000</v>
      </c>
      <c r="D79" s="23" t="s">
        <v>100</v>
      </c>
      <c r="E79" s="23" t="s">
        <v>194</v>
      </c>
    </row>
    <row r="80" customFormat="false" ht="15" hidden="false" customHeight="false" outlineLevel="0" collapsed="false">
      <c r="A80" s="2"/>
      <c r="B80" s="21" t="s">
        <v>2304</v>
      </c>
      <c r="C80" s="44" t="n">
        <f aca="false">Cessions!$C$79/Hypothèses!$J$14</f>
        <v>200</v>
      </c>
      <c r="D80" s="23" t="s">
        <v>100</v>
      </c>
      <c r="E80" s="23" t="s">
        <v>2305</v>
      </c>
    </row>
    <row r="81" customFormat="false" ht="15" hidden="false" customHeight="false" outlineLevel="0" collapsed="false">
      <c r="A81" s="2"/>
      <c r="B81" s="5" t="s">
        <v>2306</v>
      </c>
      <c r="C81" s="63" t="n">
        <f aca="false">Cessions!$C$80/(Entrées!$C$431/100)</f>
        <v>1257.86163522013</v>
      </c>
      <c r="D81" s="23" t="s">
        <v>100</v>
      </c>
      <c r="E81" s="23" t="s">
        <v>2307</v>
      </c>
    </row>
    <row r="82" customFormat="false" ht="15" hidden="false" customHeight="false" outlineLevel="0" collapsed="false">
      <c r="A82" s="2"/>
      <c r="B82" s="21" t="s">
        <v>2308</v>
      </c>
      <c r="C82" s="40" t="n">
        <f aca="false">Cessions!$C$81/Entrées!$C$453</f>
        <v>0.0283327695112201</v>
      </c>
      <c r="D82" s="23" t="s">
        <v>296</v>
      </c>
      <c r="E82" s="23"/>
    </row>
    <row r="83" customFormat="false" ht="15" hidden="false" customHeight="false" outlineLevel="0" collapsed="false">
      <c r="A83" s="2"/>
      <c r="B83" s="5" t="s">
        <v>2309</v>
      </c>
      <c r="C83" s="60" t="n">
        <f aca="false">Entrées!$C$436</f>
        <v>5383</v>
      </c>
      <c r="D83" s="23" t="s">
        <v>100</v>
      </c>
      <c r="E83" s="23" t="s">
        <v>1353</v>
      </c>
    </row>
    <row r="84" customFormat="false" ht="15" hidden="false" customHeight="false" outlineLevel="0" collapsed="false">
      <c r="A84" s="2"/>
      <c r="B84" s="5" t="s">
        <v>2310</v>
      </c>
      <c r="C84" s="60" t="n">
        <f aca="false">Entrées!$C$446</f>
        <v>1566</v>
      </c>
      <c r="D84" s="23" t="s">
        <v>100</v>
      </c>
      <c r="E84" s="23" t="s">
        <v>1383</v>
      </c>
    </row>
    <row r="85" customFormat="false" ht="15" hidden="false" customHeight="false" outlineLevel="0" collapsed="false">
      <c r="A85" s="2"/>
      <c r="B85" s="5" t="s">
        <v>2311</v>
      </c>
      <c r="C85" s="60" t="n">
        <f aca="false">Entrées!$C$440</f>
        <v>2729</v>
      </c>
      <c r="D85" s="23" t="s">
        <v>100</v>
      </c>
      <c r="E85" s="23" t="s">
        <v>1365</v>
      </c>
    </row>
    <row r="86" customFormat="false" ht="15" hidden="false" customHeight="false" outlineLevel="0" collapsed="false">
      <c r="A86" s="2"/>
      <c r="B86" s="5" t="s">
        <v>2312</v>
      </c>
      <c r="C86" s="60" t="n">
        <f aca="false">Entrées!$C$443</f>
        <v>1087</v>
      </c>
      <c r="D86" s="23" t="s">
        <v>100</v>
      </c>
      <c r="E86" s="23" t="s">
        <v>1374</v>
      </c>
    </row>
    <row r="87" customFormat="false" ht="15" hidden="false" customHeight="false" outlineLevel="0" collapsed="false">
      <c r="A87" s="2"/>
      <c r="B87" s="21" t="s">
        <v>2313</v>
      </c>
      <c r="C87" s="40" t="n">
        <f aca="false">Cessions!$C$80/Cessions!$C$83</f>
        <v>0.0371540033438603</v>
      </c>
      <c r="D87" s="23" t="s">
        <v>296</v>
      </c>
      <c r="E87" s="23"/>
    </row>
    <row r="88" customFormat="false" ht="15" hidden="false" customHeight="false" outlineLevel="0" collapsed="false">
      <c r="A88" s="2"/>
      <c r="B88" s="21" t="s">
        <v>2314</v>
      </c>
      <c r="C88" s="40" t="n">
        <f aca="false">Cessions!$C$80/Cessions!$C$84</f>
        <v>0.127713920817369</v>
      </c>
      <c r="D88" s="23" t="s">
        <v>296</v>
      </c>
      <c r="E88" s="23"/>
    </row>
    <row r="89" customFormat="false" ht="15" hidden="false" customHeight="false" outlineLevel="0" collapsed="false">
      <c r="A89" s="2"/>
      <c r="B89" s="2"/>
      <c r="C89" s="2"/>
      <c r="D89" s="2"/>
      <c r="E89" s="2"/>
    </row>
    <row r="90" customFormat="false" ht="15" hidden="false" customHeight="false" outlineLevel="0" collapsed="false">
      <c r="A90" s="20"/>
      <c r="B90" s="20" t="s">
        <v>2315</v>
      </c>
      <c r="C90" s="20" t="s">
        <v>2316</v>
      </c>
      <c r="D90" s="20" t="s">
        <v>2183</v>
      </c>
      <c r="E90" s="20" t="s">
        <v>2317</v>
      </c>
    </row>
    <row r="91" customFormat="false" ht="15" hidden="false" customHeight="false" outlineLevel="0" collapsed="false">
      <c r="A91" s="2"/>
      <c r="B91" s="5" t="s">
        <v>2318</v>
      </c>
      <c r="C91" s="81" t="n">
        <v>32</v>
      </c>
      <c r="D91" s="52" t="s">
        <v>2319</v>
      </c>
      <c r="E91" s="23" t="s">
        <v>2320</v>
      </c>
    </row>
    <row r="92" customFormat="false" ht="15" hidden="false" customHeight="false" outlineLevel="0" collapsed="false">
      <c r="A92" s="2"/>
      <c r="B92" s="5" t="s">
        <v>2321</v>
      </c>
      <c r="C92" s="81" t="n">
        <v>102</v>
      </c>
      <c r="D92" s="24" t="n">
        <v>2022</v>
      </c>
      <c r="E92" s="23" t="s">
        <v>2322</v>
      </c>
    </row>
    <row r="93" customFormat="false" ht="15" hidden="false" customHeight="false" outlineLevel="0" collapsed="false">
      <c r="A93" s="2"/>
      <c r="B93" s="5" t="s">
        <v>2323</v>
      </c>
      <c r="C93" s="81" t="n">
        <v>141</v>
      </c>
      <c r="D93" s="24" t="n">
        <v>2022</v>
      </c>
      <c r="E93" s="23" t="s">
        <v>2324</v>
      </c>
    </row>
    <row r="94" customFormat="false" ht="15" hidden="false" customHeight="false" outlineLevel="0" collapsed="false">
      <c r="A94" s="2"/>
      <c r="B94" s="5" t="s">
        <v>2325</v>
      </c>
      <c r="C94" s="81" t="n">
        <v>27</v>
      </c>
      <c r="D94" s="24" t="n">
        <v>2022</v>
      </c>
      <c r="E94" s="23" t="s">
        <v>2326</v>
      </c>
    </row>
    <row r="95" customFormat="false" ht="15" hidden="false" customHeight="false" outlineLevel="0" collapsed="false">
      <c r="A95" s="2"/>
      <c r="B95" s="5" t="s">
        <v>2327</v>
      </c>
      <c r="C95" s="81" t="n">
        <v>49</v>
      </c>
      <c r="D95" s="24" t="n">
        <v>2023</v>
      </c>
      <c r="E95" s="23" t="s">
        <v>2328</v>
      </c>
    </row>
    <row r="96" customFormat="false" ht="15" hidden="false" customHeight="false" outlineLevel="0" collapsed="false">
      <c r="A96" s="2"/>
      <c r="B96" s="5" t="s">
        <v>2329</v>
      </c>
      <c r="C96" s="81" t="n">
        <v>15</v>
      </c>
      <c r="D96" s="24" t="n">
        <v>2023</v>
      </c>
      <c r="E96" s="23" t="s">
        <v>2330</v>
      </c>
    </row>
    <row r="97" customFormat="false" ht="15" hidden="false" customHeight="false" outlineLevel="0" collapsed="false">
      <c r="A97" s="2"/>
      <c r="B97" s="5" t="s">
        <v>2331</v>
      </c>
      <c r="C97" s="81" t="n">
        <v>84</v>
      </c>
      <c r="D97" s="24" t="n">
        <v>2023</v>
      </c>
      <c r="E97" s="23" t="s">
        <v>2332</v>
      </c>
    </row>
    <row r="98" customFormat="false" ht="15" hidden="false" customHeight="false" outlineLevel="0" collapsed="false">
      <c r="A98" s="2"/>
      <c r="B98" s="5" t="s">
        <v>2333</v>
      </c>
      <c r="C98" s="81" t="n">
        <v>74</v>
      </c>
      <c r="D98" s="24" t="n">
        <v>2023</v>
      </c>
      <c r="E98" s="23" t="s">
        <v>2334</v>
      </c>
    </row>
    <row r="99" customFormat="false" ht="15" hidden="false" customHeight="false" outlineLevel="0" collapsed="false">
      <c r="A99" s="2"/>
      <c r="B99" s="5" t="s">
        <v>2335</v>
      </c>
      <c r="C99" s="81" t="n">
        <v>149</v>
      </c>
      <c r="D99" s="24" t="n">
        <v>2024</v>
      </c>
      <c r="E99" s="23" t="s">
        <v>2336</v>
      </c>
    </row>
    <row r="100" customFormat="false" ht="15" hidden="false" customHeight="false" outlineLevel="0" collapsed="false">
      <c r="A100" s="2"/>
      <c r="B100" s="5" t="s">
        <v>2337</v>
      </c>
      <c r="C100" s="81" t="n">
        <v>580</v>
      </c>
      <c r="D100" s="24" t="n">
        <v>2024</v>
      </c>
      <c r="E100" s="23" t="s">
        <v>2338</v>
      </c>
    </row>
    <row r="101" customFormat="false" ht="15" hidden="false" customHeight="false" outlineLevel="0" collapsed="false">
      <c r="A101" s="2"/>
      <c r="B101" s="5" t="s">
        <v>2339</v>
      </c>
      <c r="C101" s="81" t="n">
        <v>198</v>
      </c>
      <c r="D101" s="24" t="n">
        <v>2024</v>
      </c>
      <c r="E101" s="23" t="s">
        <v>2340</v>
      </c>
    </row>
    <row r="102" customFormat="false" ht="15" hidden="false" customHeight="false" outlineLevel="0" collapsed="false">
      <c r="A102" s="2"/>
      <c r="B102" s="5" t="s">
        <v>2341</v>
      </c>
      <c r="C102" s="81" t="n">
        <v>79</v>
      </c>
      <c r="D102" s="24" t="n">
        <v>2024</v>
      </c>
      <c r="E102" s="23" t="s">
        <v>2342</v>
      </c>
    </row>
    <row r="103" customFormat="false" ht="15" hidden="false" customHeight="false" outlineLevel="0" collapsed="false">
      <c r="A103" s="2"/>
      <c r="B103" s="5" t="s">
        <v>2343</v>
      </c>
      <c r="C103" s="81" t="n">
        <v>14</v>
      </c>
      <c r="D103" s="24" t="n">
        <v>2026</v>
      </c>
      <c r="E103" s="23" t="s">
        <v>2344</v>
      </c>
    </row>
    <row r="104" customFormat="false" ht="15" hidden="false" customHeight="false" outlineLevel="0" collapsed="false">
      <c r="A104" s="2"/>
      <c r="B104" s="5" t="s">
        <v>2345</v>
      </c>
      <c r="C104" s="81" t="n">
        <v>41</v>
      </c>
      <c r="D104" s="24" t="n">
        <v>2026</v>
      </c>
      <c r="E104" s="23" t="s">
        <v>2346</v>
      </c>
    </row>
    <row r="105" customFormat="false" ht="15" hidden="false" customHeight="false" outlineLevel="0" collapsed="false">
      <c r="A105" s="2"/>
      <c r="B105" s="21" t="s">
        <v>2347</v>
      </c>
      <c r="C105" s="44" t="n">
        <f aca="false">SUM(C91:C104)</f>
        <v>1585</v>
      </c>
      <c r="D105" s="23" t="s">
        <v>100</v>
      </c>
      <c r="E105" s="23" t="s">
        <v>2348</v>
      </c>
    </row>
    <row r="106" customFormat="false" ht="15" hidden="false" customHeight="false" outlineLevel="0" collapsed="false">
      <c r="A106" s="2"/>
      <c r="B106" s="5" t="s">
        <v>2349</v>
      </c>
      <c r="C106" s="82" t="n">
        <f aca="false">COUNT(C91:C104)</f>
        <v>14</v>
      </c>
      <c r="D106" s="23"/>
      <c r="E106" s="23"/>
    </row>
    <row r="107" customFormat="false" ht="15" hidden="false" customHeight="false" outlineLevel="0" collapsed="false">
      <c r="A107" s="2"/>
      <c r="B107" s="5" t="s">
        <v>2350</v>
      </c>
      <c r="C107" s="63" t="n">
        <f aca="false">AVERAGE(C91:C104)</f>
        <v>113.214285714286</v>
      </c>
      <c r="D107" s="23" t="s">
        <v>100</v>
      </c>
      <c r="E107" s="23"/>
    </row>
    <row r="108" customFormat="false" ht="15" hidden="false" customHeight="false" outlineLevel="0" collapsed="false">
      <c r="A108" s="2"/>
      <c r="B108" s="5" t="s">
        <v>2351</v>
      </c>
      <c r="C108" s="63" t="n">
        <f aca="false">MAX(C91:C104)</f>
        <v>580</v>
      </c>
      <c r="D108" s="23" t="s">
        <v>100</v>
      </c>
      <c r="E108" s="23"/>
    </row>
    <row r="109" customFormat="false" ht="15" hidden="false" customHeight="false" outlineLevel="0" collapsed="false">
      <c r="A109" s="2"/>
      <c r="B109" s="21" t="s">
        <v>2352</v>
      </c>
      <c r="C109" s="44" t="n">
        <f aca="false">SUMIFS(C91:C104,D91:D104,"&lt;2026")/4</f>
        <v>374.5</v>
      </c>
      <c r="D109" s="23" t="s">
        <v>100</v>
      </c>
      <c r="E109" s="23" t="s">
        <v>2353</v>
      </c>
    </row>
    <row r="110" customFormat="false" ht="15" hidden="false" customHeight="false" outlineLevel="0" collapsed="false">
      <c r="A110" s="2"/>
      <c r="B110" s="21" t="s">
        <v>2354</v>
      </c>
      <c r="C110" s="50" t="n">
        <f aca="false">Cessions!$C$79/Cessions!$C$107</f>
        <v>17.6656151419558</v>
      </c>
      <c r="D110" s="23"/>
      <c r="E110" s="23" t="s">
        <v>2355</v>
      </c>
    </row>
    <row r="111" customFormat="false" ht="15" hidden="false" customHeight="false" outlineLevel="0" collapsed="false">
      <c r="A111" s="2"/>
      <c r="B111" s="5" t="s">
        <v>2356</v>
      </c>
      <c r="C111" s="78" t="n">
        <f aca="false">Cessions!$C$79/Cessions!$C$108</f>
        <v>3.44827586206897</v>
      </c>
      <c r="D111" s="23"/>
      <c r="E111" s="23"/>
    </row>
    <row r="112" customFormat="false" ht="15" hidden="false" customHeight="false" outlineLevel="0" collapsed="false">
      <c r="A112" s="2"/>
      <c r="B112" s="21" t="s">
        <v>2357</v>
      </c>
      <c r="C112" s="50" t="n">
        <f aca="false">Cessions!$C$79/Cessions!$C$109</f>
        <v>5.34045393858478</v>
      </c>
      <c r="D112" s="23" t="s">
        <v>509</v>
      </c>
      <c r="E112" s="23" t="s">
        <v>2358</v>
      </c>
    </row>
    <row r="113" customFormat="false" ht="15" hidden="false" customHeight="false" outlineLevel="0" collapsed="false">
      <c r="A113" s="2"/>
      <c r="B113" s="2"/>
      <c r="C113" s="2"/>
      <c r="D113" s="2"/>
      <c r="E113" s="2"/>
    </row>
    <row r="114" customFormat="false" ht="23.85" hidden="false" customHeight="false" outlineLevel="0" collapsed="false">
      <c r="A114" s="20"/>
      <c r="B114" s="20" t="s">
        <v>2359</v>
      </c>
      <c r="C114" s="20" t="s">
        <v>2360</v>
      </c>
      <c r="D114" s="20" t="s">
        <v>2361</v>
      </c>
      <c r="E114" s="20" t="s">
        <v>2362</v>
      </c>
    </row>
    <row r="115" customFormat="false" ht="15" hidden="false" customHeight="false" outlineLevel="0" collapsed="false">
      <c r="A115" s="2"/>
      <c r="B115" s="5" t="s">
        <v>2363</v>
      </c>
      <c r="C115" s="63" t="n">
        <f aca="false">1000/8</f>
        <v>125</v>
      </c>
      <c r="D115" s="63" t="n">
        <f aca="false">Hypothèses!$J$26*C115</f>
        <v>375</v>
      </c>
      <c r="E115" s="44" t="n">
        <f aca="false">1000-D115</f>
        <v>625</v>
      </c>
    </row>
    <row r="116" customFormat="false" ht="15" hidden="false" customHeight="false" outlineLevel="0" collapsed="false">
      <c r="A116" s="2"/>
      <c r="B116" s="5" t="s">
        <v>2364</v>
      </c>
      <c r="C116" s="63" t="n">
        <f aca="false">1000/10</f>
        <v>100</v>
      </c>
      <c r="D116" s="63" t="n">
        <f aca="false">Hypothèses!$J$26*C116</f>
        <v>300</v>
      </c>
      <c r="E116" s="44" t="n">
        <f aca="false">1000-D116</f>
        <v>700</v>
      </c>
    </row>
    <row r="117" customFormat="false" ht="15" hidden="false" customHeight="false" outlineLevel="0" collapsed="false">
      <c r="A117" s="2"/>
      <c r="B117" s="5" t="s">
        <v>2365</v>
      </c>
      <c r="C117" s="63" t="n">
        <f aca="false">1000/12</f>
        <v>83.3333333333333</v>
      </c>
      <c r="D117" s="63" t="n">
        <f aca="false">Hypothèses!$J$26*C117</f>
        <v>250</v>
      </c>
      <c r="E117" s="44" t="n">
        <f aca="false">1000-D117</f>
        <v>750</v>
      </c>
    </row>
    <row r="118" customFormat="false" ht="57.75" hidden="false" customHeight="true" outlineLevel="0" collapsed="false">
      <c r="A118" s="2"/>
      <c r="B118" s="68" t="s">
        <v>2366</v>
      </c>
      <c r="C118" s="68"/>
      <c r="D118" s="68"/>
      <c r="E118" s="68"/>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2367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2368</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1" t="s">
        <v>40</v>
      </c>
      <c r="C4" s="2"/>
      <c r="D4" s="83" t="s">
        <v>2369</v>
      </c>
      <c r="E4" s="83" t="s">
        <v>2370</v>
      </c>
      <c r="F4" s="83" t="s">
        <v>2371</v>
      </c>
      <c r="G4" s="83" t="s">
        <v>2372</v>
      </c>
      <c r="H4" s="83" t="s">
        <v>2373</v>
      </c>
      <c r="I4" s="83" t="s">
        <v>2374</v>
      </c>
      <c r="J4" s="83" t="s">
        <v>2375</v>
      </c>
      <c r="K4" s="83" t="s">
        <v>2376</v>
      </c>
      <c r="L4" s="83" t="s">
        <v>2377</v>
      </c>
      <c r="M4" s="83" t="s">
        <v>2378</v>
      </c>
      <c r="N4" s="83" t="s">
        <v>2379</v>
      </c>
      <c r="O4" s="83" t="s">
        <v>2380</v>
      </c>
      <c r="P4" s="83" t="s">
        <v>2381</v>
      </c>
      <c r="Q4" s="83" t="s">
        <v>2382</v>
      </c>
      <c r="R4" s="83" t="s">
        <v>2383</v>
      </c>
      <c r="S4" s="83" t="s">
        <v>2384</v>
      </c>
      <c r="T4" s="83" t="s">
        <v>2385</v>
      </c>
      <c r="U4" s="83" t="s">
        <v>2386</v>
      </c>
      <c r="V4" s="83" t="s">
        <v>2387</v>
      </c>
      <c r="W4" s="83" t="s">
        <v>2388</v>
      </c>
      <c r="X4" s="83" t="s">
        <v>2389</v>
      </c>
      <c r="Y4" s="83" t="s">
        <v>2390</v>
      </c>
      <c r="Z4" s="83" t="s">
        <v>2391</v>
      </c>
      <c r="AA4" s="83" t="s">
        <v>2392</v>
      </c>
      <c r="AB4" s="83" t="s">
        <v>2393</v>
      </c>
      <c r="AC4" s="83" t="s">
        <v>2394</v>
      </c>
      <c r="AD4" s="83" t="s">
        <v>2395</v>
      </c>
      <c r="AE4" s="83" t="s">
        <v>2396</v>
      </c>
      <c r="AF4" s="83" t="s">
        <v>2397</v>
      </c>
    </row>
    <row r="5" customFormat="false" ht="15" hidden="false" customHeight="false" outlineLevel="0" collapsed="false">
      <c r="A5" s="2"/>
      <c r="B5" s="21" t="s">
        <v>2398</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3" t="s">
        <v>1841</v>
      </c>
      <c r="B6" s="5" t="s">
        <v>1842</v>
      </c>
      <c r="C6" s="23" t="s">
        <v>296</v>
      </c>
      <c r="D6" s="71" t="n">
        <f aca="false">Hypothèses!$J$5</f>
        <v>0.055</v>
      </c>
      <c r="E6" s="84" t="n">
        <f aca="false">Hypothèses!$D$5</f>
        <v>0.05</v>
      </c>
      <c r="F6" s="84" t="n">
        <f aca="false">Hypothèses!$E$5</f>
        <v>0.06</v>
      </c>
      <c r="G6" s="65" t="n">
        <f aca="false">$D6</f>
        <v>0.055</v>
      </c>
      <c r="H6" s="65" t="n">
        <f aca="false">$D6</f>
        <v>0.055</v>
      </c>
      <c r="I6" s="65" t="n">
        <f aca="false">$D6</f>
        <v>0.055</v>
      </c>
      <c r="J6" s="65" t="n">
        <f aca="false">$D6</f>
        <v>0.055</v>
      </c>
      <c r="K6" s="65" t="n">
        <f aca="false">$D6</f>
        <v>0.055</v>
      </c>
      <c r="L6" s="65" t="n">
        <f aca="false">$D6</f>
        <v>0.055</v>
      </c>
      <c r="M6" s="65" t="n">
        <f aca="false">$D6</f>
        <v>0.055</v>
      </c>
      <c r="N6" s="65" t="n">
        <f aca="false">$D6</f>
        <v>0.055</v>
      </c>
      <c r="O6" s="65" t="n">
        <f aca="false">$D6</f>
        <v>0.055</v>
      </c>
      <c r="P6" s="65" t="n">
        <f aca="false">$D6</f>
        <v>0.055</v>
      </c>
      <c r="Q6" s="65" t="n">
        <f aca="false">$D6</f>
        <v>0.055</v>
      </c>
      <c r="R6" s="65" t="n">
        <f aca="false">$D6</f>
        <v>0.055</v>
      </c>
      <c r="S6" s="65" t="n">
        <f aca="false">$D6</f>
        <v>0.055</v>
      </c>
      <c r="T6" s="65" t="n">
        <f aca="false">$D6</f>
        <v>0.055</v>
      </c>
      <c r="U6" s="65" t="n">
        <f aca="false">$D6</f>
        <v>0.055</v>
      </c>
      <c r="V6" s="65" t="n">
        <f aca="false">$D6</f>
        <v>0.055</v>
      </c>
      <c r="W6" s="65" t="n">
        <f aca="false">$D6</f>
        <v>0.055</v>
      </c>
      <c r="X6" s="65" t="n">
        <f aca="false">$D6</f>
        <v>0.055</v>
      </c>
      <c r="Y6" s="65" t="n">
        <f aca="false">$D6</f>
        <v>0.055</v>
      </c>
      <c r="Z6" s="65" t="n">
        <f aca="false">$D6</f>
        <v>0.055</v>
      </c>
      <c r="AA6" s="65" t="n">
        <f aca="false">$D6</f>
        <v>0.055</v>
      </c>
      <c r="AB6" s="65" t="n">
        <f aca="false">$D6</f>
        <v>0.055</v>
      </c>
      <c r="AC6" s="65" t="n">
        <f aca="false">$D6</f>
        <v>0.055</v>
      </c>
      <c r="AD6" s="65" t="n">
        <f aca="false">$D6</f>
        <v>0.055</v>
      </c>
      <c r="AE6" s="85" t="n">
        <f aca="false">IF($E$46&lt;=$F$46,Hypothèses!$D$5,Hypothèses!$E$5)</f>
        <v>0.05</v>
      </c>
      <c r="AF6" s="85" t="n">
        <f aca="false">IF($E$46&gt;$F$46,Hypothèses!$D$5,Hypothèses!$E$5)</f>
        <v>0.06</v>
      </c>
    </row>
    <row r="7" customFormat="false" ht="15" hidden="false" customHeight="false" outlineLevel="0" collapsed="false">
      <c r="A7" s="23" t="s">
        <v>1845</v>
      </c>
      <c r="B7" s="5" t="s">
        <v>1846</v>
      </c>
      <c r="C7" s="23" t="s">
        <v>296</v>
      </c>
      <c r="D7" s="71" t="n">
        <f aca="false">Hypothèses!$J$6</f>
        <v>0.055</v>
      </c>
      <c r="E7" s="65" t="n">
        <f aca="false">$D7</f>
        <v>0.055</v>
      </c>
      <c r="F7" s="65" t="n">
        <f aca="false">$D7</f>
        <v>0.055</v>
      </c>
      <c r="G7" s="84" t="n">
        <f aca="false">Hypothèses!$D$6</f>
        <v>0.04</v>
      </c>
      <c r="H7" s="84" t="n">
        <f aca="false">Hypothèses!$E$6</f>
        <v>0.07</v>
      </c>
      <c r="I7" s="65" t="n">
        <f aca="false">$D7</f>
        <v>0.055</v>
      </c>
      <c r="J7" s="65" t="n">
        <f aca="false">$D7</f>
        <v>0.055</v>
      </c>
      <c r="K7" s="65" t="n">
        <f aca="false">$D7</f>
        <v>0.055</v>
      </c>
      <c r="L7" s="65" t="n">
        <f aca="false">$D7</f>
        <v>0.055</v>
      </c>
      <c r="M7" s="65" t="n">
        <f aca="false">$D7</f>
        <v>0.055</v>
      </c>
      <c r="N7" s="65" t="n">
        <f aca="false">$D7</f>
        <v>0.055</v>
      </c>
      <c r="O7" s="65" t="n">
        <f aca="false">$D7</f>
        <v>0.055</v>
      </c>
      <c r="P7" s="65" t="n">
        <f aca="false">$D7</f>
        <v>0.055</v>
      </c>
      <c r="Q7" s="65" t="n">
        <f aca="false">$D7</f>
        <v>0.055</v>
      </c>
      <c r="R7" s="65" t="n">
        <f aca="false">$D7</f>
        <v>0.055</v>
      </c>
      <c r="S7" s="65" t="n">
        <f aca="false">$D7</f>
        <v>0.055</v>
      </c>
      <c r="T7" s="65" t="n">
        <f aca="false">$D7</f>
        <v>0.055</v>
      </c>
      <c r="U7" s="65" t="n">
        <f aca="false">$D7</f>
        <v>0.055</v>
      </c>
      <c r="V7" s="65" t="n">
        <f aca="false">$D7</f>
        <v>0.055</v>
      </c>
      <c r="W7" s="65" t="n">
        <f aca="false">$D7</f>
        <v>0.055</v>
      </c>
      <c r="X7" s="65" t="n">
        <f aca="false">$D7</f>
        <v>0.055</v>
      </c>
      <c r="Y7" s="65" t="n">
        <f aca="false">$D7</f>
        <v>0.055</v>
      </c>
      <c r="Z7" s="65" t="n">
        <f aca="false">$D7</f>
        <v>0.055</v>
      </c>
      <c r="AA7" s="65" t="n">
        <f aca="false">$D7</f>
        <v>0.055</v>
      </c>
      <c r="AB7" s="65" t="n">
        <f aca="false">$D7</f>
        <v>0.055</v>
      </c>
      <c r="AC7" s="65" t="n">
        <f aca="false">$D7</f>
        <v>0.055</v>
      </c>
      <c r="AD7" s="65" t="n">
        <f aca="false">$D7</f>
        <v>0.055</v>
      </c>
      <c r="AE7" s="85" t="n">
        <f aca="false">IF($G$46&lt;=$H$46,Hypothèses!$D$6,Hypothèses!$E$6)</f>
        <v>0.04</v>
      </c>
      <c r="AF7" s="85" t="n">
        <f aca="false">IF($G$46&gt;$H$46,Hypothèses!$D$6,Hypothèses!$E$6)</f>
        <v>0.07</v>
      </c>
    </row>
    <row r="8" customFormat="false" ht="15" hidden="false" customHeight="false" outlineLevel="0" collapsed="false">
      <c r="A8" s="23" t="s">
        <v>1849</v>
      </c>
      <c r="B8" s="5" t="s">
        <v>1850</v>
      </c>
      <c r="C8" s="23" t="s">
        <v>246</v>
      </c>
      <c r="D8" s="60" t="n">
        <f aca="false">Hypothèses!$J$7</f>
        <v>200</v>
      </c>
      <c r="E8" s="63" t="n">
        <f aca="false">$D8</f>
        <v>200</v>
      </c>
      <c r="F8" s="63" t="n">
        <f aca="false">$D8</f>
        <v>200</v>
      </c>
      <c r="G8" s="63" t="n">
        <f aca="false">$D8</f>
        <v>200</v>
      </c>
      <c r="H8" s="63" t="n">
        <f aca="false">$D8</f>
        <v>200</v>
      </c>
      <c r="I8" s="86" t="n">
        <f aca="false">Hypothèses!$D$7</f>
        <v>180</v>
      </c>
      <c r="J8" s="86" t="n">
        <f aca="false">Hypothèses!$E$7</f>
        <v>220</v>
      </c>
      <c r="K8" s="63" t="n">
        <f aca="false">$D8</f>
        <v>200</v>
      </c>
      <c r="L8" s="63" t="n">
        <f aca="false">$D8</f>
        <v>200</v>
      </c>
      <c r="M8" s="63" t="n">
        <f aca="false">$D8</f>
        <v>200</v>
      </c>
      <c r="N8" s="63" t="n">
        <f aca="false">$D8</f>
        <v>200</v>
      </c>
      <c r="O8" s="63" t="n">
        <f aca="false">$D8</f>
        <v>200</v>
      </c>
      <c r="P8" s="63" t="n">
        <f aca="false">$D8</f>
        <v>200</v>
      </c>
      <c r="Q8" s="63" t="n">
        <f aca="false">$D8</f>
        <v>200</v>
      </c>
      <c r="R8" s="63" t="n">
        <f aca="false">$D8</f>
        <v>200</v>
      </c>
      <c r="S8" s="63" t="n">
        <f aca="false">$D8</f>
        <v>200</v>
      </c>
      <c r="T8" s="63" t="n">
        <f aca="false">$D8</f>
        <v>200</v>
      </c>
      <c r="U8" s="63" t="n">
        <f aca="false">$D8</f>
        <v>200</v>
      </c>
      <c r="V8" s="63" t="n">
        <f aca="false">$D8</f>
        <v>200</v>
      </c>
      <c r="W8" s="63" t="n">
        <f aca="false">$D8</f>
        <v>200</v>
      </c>
      <c r="X8" s="63" t="n">
        <f aca="false">$D8</f>
        <v>200</v>
      </c>
      <c r="Y8" s="63" t="n">
        <f aca="false">$D8</f>
        <v>200</v>
      </c>
      <c r="Z8" s="63" t="n">
        <f aca="false">$D8</f>
        <v>200</v>
      </c>
      <c r="AA8" s="63" t="n">
        <f aca="false">$D8</f>
        <v>200</v>
      </c>
      <c r="AB8" s="63" t="n">
        <f aca="false">$D8</f>
        <v>200</v>
      </c>
      <c r="AC8" s="63" t="n">
        <f aca="false">$D8</f>
        <v>200</v>
      </c>
      <c r="AD8" s="63" t="n">
        <f aca="false">$D8</f>
        <v>200</v>
      </c>
      <c r="AE8" s="87" t="n">
        <f aca="false">IF($I$46&lt;=$J$46,Hypothèses!$D$7,Hypothèses!$E$7)</f>
        <v>180</v>
      </c>
      <c r="AF8" s="87" t="n">
        <f aca="false">IF($I$46&gt;$J$46,Hypothèses!$D$7,Hypothèses!$E$7)</f>
        <v>220</v>
      </c>
    </row>
    <row r="9" customFormat="false" ht="15" hidden="false" customHeight="false" outlineLevel="0" collapsed="false">
      <c r="A9" s="23" t="s">
        <v>1852</v>
      </c>
      <c r="B9" s="5" t="s">
        <v>1853</v>
      </c>
      <c r="C9" s="23" t="s">
        <v>296</v>
      </c>
      <c r="D9" s="71" t="n">
        <f aca="false">Hypothèses!$J$8</f>
        <v>0.25</v>
      </c>
      <c r="E9" s="65" t="n">
        <f aca="false">$D9</f>
        <v>0.25</v>
      </c>
      <c r="F9" s="65" t="n">
        <f aca="false">$D9</f>
        <v>0.25</v>
      </c>
      <c r="G9" s="65" t="n">
        <f aca="false">$D9</f>
        <v>0.25</v>
      </c>
      <c r="H9" s="65" t="n">
        <f aca="false">$D9</f>
        <v>0.25</v>
      </c>
      <c r="I9" s="65" t="n">
        <f aca="false">$D9</f>
        <v>0.25</v>
      </c>
      <c r="J9" s="65" t="n">
        <f aca="false">$D9</f>
        <v>0.25</v>
      </c>
      <c r="K9" s="84" t="n">
        <f aca="false">Hypothèses!$D$8</f>
        <v>0</v>
      </c>
      <c r="L9" s="84" t="n">
        <f aca="false">Hypothèses!$E$8</f>
        <v>0.5</v>
      </c>
      <c r="M9" s="65" t="n">
        <f aca="false">$D9</f>
        <v>0.25</v>
      </c>
      <c r="N9" s="65" t="n">
        <f aca="false">$D9</f>
        <v>0.25</v>
      </c>
      <c r="O9" s="65" t="n">
        <f aca="false">$D9</f>
        <v>0.25</v>
      </c>
      <c r="P9" s="65" t="n">
        <f aca="false">$D9</f>
        <v>0.25</v>
      </c>
      <c r="Q9" s="65" t="n">
        <f aca="false">$D9</f>
        <v>0.25</v>
      </c>
      <c r="R9" s="65" t="n">
        <f aca="false">$D9</f>
        <v>0.25</v>
      </c>
      <c r="S9" s="65" t="n">
        <f aca="false">$D9</f>
        <v>0.25</v>
      </c>
      <c r="T9" s="65" t="n">
        <f aca="false">$D9</f>
        <v>0.25</v>
      </c>
      <c r="U9" s="65" t="n">
        <f aca="false">$D9</f>
        <v>0.25</v>
      </c>
      <c r="V9" s="65" t="n">
        <f aca="false">$D9</f>
        <v>0.25</v>
      </c>
      <c r="W9" s="65" t="n">
        <f aca="false">$D9</f>
        <v>0.25</v>
      </c>
      <c r="X9" s="65" t="n">
        <f aca="false">$D9</f>
        <v>0.25</v>
      </c>
      <c r="Y9" s="65" t="n">
        <f aca="false">$D9</f>
        <v>0.25</v>
      </c>
      <c r="Z9" s="65" t="n">
        <f aca="false">$D9</f>
        <v>0.25</v>
      </c>
      <c r="AA9" s="65" t="n">
        <f aca="false">$D9</f>
        <v>0.25</v>
      </c>
      <c r="AB9" s="65" t="n">
        <f aca="false">$D9</f>
        <v>0.25</v>
      </c>
      <c r="AC9" s="65" t="n">
        <f aca="false">$D9</f>
        <v>0.25</v>
      </c>
      <c r="AD9" s="65" t="n">
        <f aca="false">$D9</f>
        <v>0.25</v>
      </c>
      <c r="AE9" s="85" t="n">
        <f aca="false">IF($K$46&lt;=$L$46,Hypothèses!$D$8,Hypothèses!$E$8)</f>
        <v>0</v>
      </c>
      <c r="AF9" s="85" t="n">
        <f aca="false">IF($K$46&gt;$L$46,Hypothèses!$D$8,Hypothèses!$E$8)</f>
        <v>0.5</v>
      </c>
    </row>
    <row r="10" customFormat="false" ht="15" hidden="false" customHeight="false" outlineLevel="0" collapsed="false">
      <c r="A10" s="23" t="s">
        <v>1855</v>
      </c>
      <c r="B10" s="5" t="s">
        <v>1856</v>
      </c>
      <c r="C10" s="23" t="s">
        <v>100</v>
      </c>
      <c r="D10" s="60" t="n">
        <f aca="false">Hypothèses!$J$9</f>
        <v>1629</v>
      </c>
      <c r="E10" s="63" t="n">
        <f aca="false">$D10</f>
        <v>1629</v>
      </c>
      <c r="F10" s="63" t="n">
        <f aca="false">$D10</f>
        <v>1629</v>
      </c>
      <c r="G10" s="63" t="n">
        <f aca="false">$D10</f>
        <v>1629</v>
      </c>
      <c r="H10" s="63" t="n">
        <f aca="false">$D10</f>
        <v>1629</v>
      </c>
      <c r="I10" s="63" t="n">
        <f aca="false">$D10</f>
        <v>1629</v>
      </c>
      <c r="J10" s="63" t="n">
        <f aca="false">$D10</f>
        <v>1629</v>
      </c>
      <c r="K10" s="63" t="n">
        <f aca="false">$D10</f>
        <v>1629</v>
      </c>
      <c r="L10" s="63" t="n">
        <f aca="false">$D10</f>
        <v>1629</v>
      </c>
      <c r="M10" s="86" t="n">
        <f aca="false">Hypothèses!$D$9</f>
        <v>1303.2</v>
      </c>
      <c r="N10" s="86" t="n">
        <f aca="false">Hypothèses!$E$9</f>
        <v>1791.9</v>
      </c>
      <c r="O10" s="63" t="n">
        <f aca="false">$D10</f>
        <v>1629</v>
      </c>
      <c r="P10" s="63" t="n">
        <f aca="false">$D10</f>
        <v>1629</v>
      </c>
      <c r="Q10" s="63" t="n">
        <f aca="false">$D10</f>
        <v>1629</v>
      </c>
      <c r="R10" s="63" t="n">
        <f aca="false">$D10</f>
        <v>1629</v>
      </c>
      <c r="S10" s="63" t="n">
        <f aca="false">$D10</f>
        <v>1629</v>
      </c>
      <c r="T10" s="63" t="n">
        <f aca="false">$D10</f>
        <v>1629</v>
      </c>
      <c r="U10" s="63" t="n">
        <f aca="false">$D10</f>
        <v>1629</v>
      </c>
      <c r="V10" s="63" t="n">
        <f aca="false">$D10</f>
        <v>1629</v>
      </c>
      <c r="W10" s="63" t="n">
        <f aca="false">$D10</f>
        <v>1629</v>
      </c>
      <c r="X10" s="63" t="n">
        <f aca="false">$D10</f>
        <v>1629</v>
      </c>
      <c r="Y10" s="63" t="n">
        <f aca="false">$D10</f>
        <v>1629</v>
      </c>
      <c r="Z10" s="63" t="n">
        <f aca="false">$D10</f>
        <v>1629</v>
      </c>
      <c r="AA10" s="63" t="n">
        <f aca="false">$D10</f>
        <v>1629</v>
      </c>
      <c r="AB10" s="63" t="n">
        <f aca="false">$D10</f>
        <v>1629</v>
      </c>
      <c r="AC10" s="63" t="n">
        <f aca="false">$D10</f>
        <v>1629</v>
      </c>
      <c r="AD10" s="63" t="n">
        <f aca="false">$D10</f>
        <v>1629</v>
      </c>
      <c r="AE10" s="87" t="n">
        <f aca="false">IF($M$46&lt;=$N$46,Hypothèses!$D$9,Hypothèses!$E$9)</f>
        <v>1303.2</v>
      </c>
      <c r="AF10" s="87" t="n">
        <f aca="false">IF($M$46&gt;$N$46,Hypothèses!$D$9,Hypothèses!$E$9)</f>
        <v>1791.9</v>
      </c>
    </row>
    <row r="11" customFormat="false" ht="15" hidden="false" customHeight="false" outlineLevel="0" collapsed="false">
      <c r="A11" s="23" t="s">
        <v>1859</v>
      </c>
      <c r="B11" s="5" t="s">
        <v>1860</v>
      </c>
      <c r="C11" s="23" t="s">
        <v>296</v>
      </c>
      <c r="D11" s="71" t="n">
        <f aca="false">Hypothèses!$J$10</f>
        <v>0.168696364464616</v>
      </c>
      <c r="E11" s="65" t="n">
        <f aca="false">$D11</f>
        <v>0.168696364464616</v>
      </c>
      <c r="F11" s="65" t="n">
        <f aca="false">$D11</f>
        <v>0.168696364464616</v>
      </c>
      <c r="G11" s="65" t="n">
        <f aca="false">$D11</f>
        <v>0.168696364464616</v>
      </c>
      <c r="H11" s="65" t="n">
        <f aca="false">$D11</f>
        <v>0.168696364464616</v>
      </c>
      <c r="I11" s="65" t="n">
        <f aca="false">$D11</f>
        <v>0.168696364464616</v>
      </c>
      <c r="J11" s="65" t="n">
        <f aca="false">$D11</f>
        <v>0.168696364464616</v>
      </c>
      <c r="K11" s="65" t="n">
        <f aca="false">$D11</f>
        <v>0.168696364464616</v>
      </c>
      <c r="L11" s="65" t="n">
        <f aca="false">$D11</f>
        <v>0.168696364464616</v>
      </c>
      <c r="M11" s="65" t="n">
        <f aca="false">$D11</f>
        <v>0.168696364464616</v>
      </c>
      <c r="N11" s="65" t="n">
        <f aca="false">$D11</f>
        <v>0.168696364464616</v>
      </c>
      <c r="O11" s="84" t="n">
        <f aca="false">Hypothèses!$D$10</f>
        <v>0.14</v>
      </c>
      <c r="P11" s="84" t="n">
        <f aca="false">Hypothèses!$E$10</f>
        <v>0.19</v>
      </c>
      <c r="Q11" s="65" t="n">
        <f aca="false">$D11</f>
        <v>0.168696364464616</v>
      </c>
      <c r="R11" s="65" t="n">
        <f aca="false">$D11</f>
        <v>0.168696364464616</v>
      </c>
      <c r="S11" s="65" t="n">
        <f aca="false">$D11</f>
        <v>0.168696364464616</v>
      </c>
      <c r="T11" s="65" t="n">
        <f aca="false">$D11</f>
        <v>0.168696364464616</v>
      </c>
      <c r="U11" s="65" t="n">
        <f aca="false">$D11</f>
        <v>0.168696364464616</v>
      </c>
      <c r="V11" s="65" t="n">
        <f aca="false">$D11</f>
        <v>0.168696364464616</v>
      </c>
      <c r="W11" s="65" t="n">
        <f aca="false">$D11</f>
        <v>0.168696364464616</v>
      </c>
      <c r="X11" s="65" t="n">
        <f aca="false">$D11</f>
        <v>0.168696364464616</v>
      </c>
      <c r="Y11" s="65" t="n">
        <f aca="false">$D11</f>
        <v>0.168696364464616</v>
      </c>
      <c r="Z11" s="65" t="n">
        <f aca="false">$D11</f>
        <v>0.168696364464616</v>
      </c>
      <c r="AA11" s="65" t="n">
        <f aca="false">$D11</f>
        <v>0.168696364464616</v>
      </c>
      <c r="AB11" s="65" t="n">
        <f aca="false">$D11</f>
        <v>0.168696364464616</v>
      </c>
      <c r="AC11" s="65" t="n">
        <f aca="false">$D11</f>
        <v>0.168696364464616</v>
      </c>
      <c r="AD11" s="65" t="n">
        <f aca="false">$D11</f>
        <v>0.168696364464616</v>
      </c>
      <c r="AE11" s="85" t="n">
        <f aca="false">IF($O$46&lt;=$P$46,Hypothèses!$D$10,Hypothèses!$E$10)</f>
        <v>0.14</v>
      </c>
      <c r="AF11" s="85" t="n">
        <f aca="false">IF($O$46&gt;$P$46,Hypothèses!$D$10,Hypothèses!$E$10)</f>
        <v>0.19</v>
      </c>
    </row>
    <row r="12" customFormat="false" ht="15" hidden="false" customHeight="false" outlineLevel="0" collapsed="false">
      <c r="A12" s="23" t="s">
        <v>1863</v>
      </c>
      <c r="B12" s="5" t="s">
        <v>1864</v>
      </c>
      <c r="C12" s="23" t="s">
        <v>296</v>
      </c>
      <c r="D12" s="71" t="n">
        <f aca="false">Hypothèses!$J$11</f>
        <v>0.08</v>
      </c>
      <c r="E12" s="65" t="n">
        <f aca="false">$D12</f>
        <v>0.08</v>
      </c>
      <c r="F12" s="65" t="n">
        <f aca="false">$D12</f>
        <v>0.08</v>
      </c>
      <c r="G12" s="65" t="n">
        <f aca="false">$D12</f>
        <v>0.08</v>
      </c>
      <c r="H12" s="65" t="n">
        <f aca="false">$D12</f>
        <v>0.08</v>
      </c>
      <c r="I12" s="65" t="n">
        <f aca="false">$D12</f>
        <v>0.08</v>
      </c>
      <c r="J12" s="65" t="n">
        <f aca="false">$D12</f>
        <v>0.08</v>
      </c>
      <c r="K12" s="65" t="n">
        <f aca="false">$D12</f>
        <v>0.08</v>
      </c>
      <c r="L12" s="65" t="n">
        <f aca="false">$D12</f>
        <v>0.08</v>
      </c>
      <c r="M12" s="65" t="n">
        <f aca="false">$D12</f>
        <v>0.08</v>
      </c>
      <c r="N12" s="65" t="n">
        <f aca="false">$D12</f>
        <v>0.08</v>
      </c>
      <c r="O12" s="65" t="n">
        <f aca="false">$D12</f>
        <v>0.08</v>
      </c>
      <c r="P12" s="65" t="n">
        <f aca="false">$D12</f>
        <v>0.08</v>
      </c>
      <c r="Q12" s="84" t="n">
        <f aca="false">Hypothèses!$D$11</f>
        <v>0.04</v>
      </c>
      <c r="R12" s="84" t="n">
        <f aca="false">Hypothèses!$E$11</f>
        <v>0.12</v>
      </c>
      <c r="S12" s="65" t="n">
        <f aca="false">$D12</f>
        <v>0.08</v>
      </c>
      <c r="T12" s="65" t="n">
        <f aca="false">$D12</f>
        <v>0.08</v>
      </c>
      <c r="U12" s="65" t="n">
        <f aca="false">$D12</f>
        <v>0.08</v>
      </c>
      <c r="V12" s="65" t="n">
        <f aca="false">$D12</f>
        <v>0.08</v>
      </c>
      <c r="W12" s="65" t="n">
        <f aca="false">$D12</f>
        <v>0.08</v>
      </c>
      <c r="X12" s="65" t="n">
        <f aca="false">$D12</f>
        <v>0.08</v>
      </c>
      <c r="Y12" s="65" t="n">
        <f aca="false">$D12</f>
        <v>0.08</v>
      </c>
      <c r="Z12" s="65" t="n">
        <f aca="false">$D12</f>
        <v>0.08</v>
      </c>
      <c r="AA12" s="65" t="n">
        <f aca="false">$D12</f>
        <v>0.08</v>
      </c>
      <c r="AB12" s="65" t="n">
        <f aca="false">$D12</f>
        <v>0.08</v>
      </c>
      <c r="AC12" s="65" t="n">
        <f aca="false">$D12</f>
        <v>0.08</v>
      </c>
      <c r="AD12" s="65" t="n">
        <f aca="false">$D12</f>
        <v>0.08</v>
      </c>
      <c r="AE12" s="85" t="n">
        <f aca="false">IF($Q$46&lt;=$R$46,Hypothèses!$D$11,Hypothèses!$E$11)</f>
        <v>0.12</v>
      </c>
      <c r="AF12" s="85" t="n">
        <f aca="false">IF($Q$46&gt;$R$46,Hypothèses!$D$11,Hypothèses!$E$11)</f>
        <v>0.04</v>
      </c>
    </row>
    <row r="13" customFormat="false" ht="15" hidden="false" customHeight="false" outlineLevel="0" collapsed="false">
      <c r="A13" s="23" t="s">
        <v>1866</v>
      </c>
      <c r="B13" s="5" t="s">
        <v>1867</v>
      </c>
      <c r="C13" s="23" t="s">
        <v>296</v>
      </c>
      <c r="D13" s="71" t="n">
        <f aca="false">Hypothèses!$J$12</f>
        <v>0.5</v>
      </c>
      <c r="E13" s="65" t="n">
        <f aca="false">$D13</f>
        <v>0.5</v>
      </c>
      <c r="F13" s="65" t="n">
        <f aca="false">$D13</f>
        <v>0.5</v>
      </c>
      <c r="G13" s="65" t="n">
        <f aca="false">$D13</f>
        <v>0.5</v>
      </c>
      <c r="H13" s="65" t="n">
        <f aca="false">$D13</f>
        <v>0.5</v>
      </c>
      <c r="I13" s="65" t="n">
        <f aca="false">$D13</f>
        <v>0.5</v>
      </c>
      <c r="J13" s="65" t="n">
        <f aca="false">$D13</f>
        <v>0.5</v>
      </c>
      <c r="K13" s="65" t="n">
        <f aca="false">$D13</f>
        <v>0.5</v>
      </c>
      <c r="L13" s="65" t="n">
        <f aca="false">$D13</f>
        <v>0.5</v>
      </c>
      <c r="M13" s="65" t="n">
        <f aca="false">$D13</f>
        <v>0.5</v>
      </c>
      <c r="N13" s="65" t="n">
        <f aca="false">$D13</f>
        <v>0.5</v>
      </c>
      <c r="O13" s="65" t="n">
        <f aca="false">$D13</f>
        <v>0.5</v>
      </c>
      <c r="P13" s="65" t="n">
        <f aca="false">$D13</f>
        <v>0.5</v>
      </c>
      <c r="Q13" s="65" t="n">
        <f aca="false">$D13</f>
        <v>0.5</v>
      </c>
      <c r="R13" s="65" t="n">
        <f aca="false">$D13</f>
        <v>0.5</v>
      </c>
      <c r="S13" s="84" t="n">
        <f aca="false">Hypothèses!$D$12</f>
        <v>0</v>
      </c>
      <c r="T13" s="84" t="n">
        <f aca="false">Hypothèses!$E$12</f>
        <v>1</v>
      </c>
      <c r="U13" s="65" t="n">
        <f aca="false">$D13</f>
        <v>0.5</v>
      </c>
      <c r="V13" s="65" t="n">
        <f aca="false">$D13</f>
        <v>0.5</v>
      </c>
      <c r="W13" s="65" t="n">
        <f aca="false">$D13</f>
        <v>0.5</v>
      </c>
      <c r="X13" s="65" t="n">
        <f aca="false">$D13</f>
        <v>0.5</v>
      </c>
      <c r="Y13" s="65" t="n">
        <f aca="false">$D13</f>
        <v>0.5</v>
      </c>
      <c r="Z13" s="65" t="n">
        <f aca="false">$D13</f>
        <v>0.5</v>
      </c>
      <c r="AA13" s="65" t="n">
        <f aca="false">$D13</f>
        <v>0.5</v>
      </c>
      <c r="AB13" s="65" t="n">
        <f aca="false">$D13</f>
        <v>0.5</v>
      </c>
      <c r="AC13" s="65" t="n">
        <f aca="false">$D13</f>
        <v>0.5</v>
      </c>
      <c r="AD13" s="65" t="n">
        <f aca="false">$D13</f>
        <v>0.5</v>
      </c>
      <c r="AE13" s="85" t="n">
        <f aca="false">IF($S$46&lt;=$T$46,Hypothèses!$D$12,Hypothèses!$E$12)</f>
        <v>1</v>
      </c>
      <c r="AF13" s="85" t="n">
        <f aca="false">IF($S$46&gt;$T$46,Hypothèses!$D$12,Hypothèses!$E$12)</f>
        <v>0</v>
      </c>
    </row>
    <row r="14" customFormat="false" ht="15" hidden="false" customHeight="false" outlineLevel="0" collapsed="false">
      <c r="A14" s="23" t="s">
        <v>1869</v>
      </c>
      <c r="B14" s="5" t="s">
        <v>1870</v>
      </c>
      <c r="C14" s="23" t="s">
        <v>296</v>
      </c>
      <c r="D14" s="71" t="n">
        <f aca="false">Hypothèses!$J$13</f>
        <v>0.5</v>
      </c>
      <c r="E14" s="65" t="n">
        <f aca="false">$D14</f>
        <v>0.5</v>
      </c>
      <c r="F14" s="65" t="n">
        <f aca="false">$D14</f>
        <v>0.5</v>
      </c>
      <c r="G14" s="65" t="n">
        <f aca="false">$D14</f>
        <v>0.5</v>
      </c>
      <c r="H14" s="65" t="n">
        <f aca="false">$D14</f>
        <v>0.5</v>
      </c>
      <c r="I14" s="65" t="n">
        <f aca="false">$D14</f>
        <v>0.5</v>
      </c>
      <c r="J14" s="65" t="n">
        <f aca="false">$D14</f>
        <v>0.5</v>
      </c>
      <c r="K14" s="65" t="n">
        <f aca="false">$D14</f>
        <v>0.5</v>
      </c>
      <c r="L14" s="65" t="n">
        <f aca="false">$D14</f>
        <v>0.5</v>
      </c>
      <c r="M14" s="65" t="n">
        <f aca="false">$D14</f>
        <v>0.5</v>
      </c>
      <c r="N14" s="65" t="n">
        <f aca="false">$D14</f>
        <v>0.5</v>
      </c>
      <c r="O14" s="65" t="n">
        <f aca="false">$D14</f>
        <v>0.5</v>
      </c>
      <c r="P14" s="65" t="n">
        <f aca="false">$D14</f>
        <v>0.5</v>
      </c>
      <c r="Q14" s="65" t="n">
        <f aca="false">$D14</f>
        <v>0.5</v>
      </c>
      <c r="R14" s="65" t="n">
        <f aca="false">$D14</f>
        <v>0.5</v>
      </c>
      <c r="S14" s="65" t="n">
        <f aca="false">$D14</f>
        <v>0.5</v>
      </c>
      <c r="T14" s="65" t="n">
        <f aca="false">$D14</f>
        <v>0.5</v>
      </c>
      <c r="U14" s="84" t="n">
        <f aca="false">Hypothèses!$D$13</f>
        <v>0</v>
      </c>
      <c r="V14" s="84" t="n">
        <f aca="false">Hypothèses!$E$13</f>
        <v>1</v>
      </c>
      <c r="W14" s="65" t="n">
        <f aca="false">$D14</f>
        <v>0.5</v>
      </c>
      <c r="X14" s="65" t="n">
        <f aca="false">$D14</f>
        <v>0.5</v>
      </c>
      <c r="Y14" s="65" t="n">
        <f aca="false">$D14</f>
        <v>0.5</v>
      </c>
      <c r="Z14" s="65" t="n">
        <f aca="false">$D14</f>
        <v>0.5</v>
      </c>
      <c r="AA14" s="65" t="n">
        <f aca="false">$D14</f>
        <v>0.5</v>
      </c>
      <c r="AB14" s="65" t="n">
        <f aca="false">$D14</f>
        <v>0.5</v>
      </c>
      <c r="AC14" s="65" t="n">
        <f aca="false">$D14</f>
        <v>0.5</v>
      </c>
      <c r="AD14" s="65" t="n">
        <f aca="false">$D14</f>
        <v>0.5</v>
      </c>
      <c r="AE14" s="85" t="n">
        <f aca="false">IF($U$46&lt;=$V$46,Hypothèses!$D$13,Hypothèses!$E$13)</f>
        <v>0</v>
      </c>
      <c r="AF14" s="85" t="n">
        <f aca="false">IF($U$46&gt;$V$46,Hypothèses!$D$13,Hypothèses!$E$13)</f>
        <v>1</v>
      </c>
    </row>
    <row r="15" customFormat="false" ht="15" hidden="false" customHeight="false" outlineLevel="0" collapsed="false">
      <c r="A15" s="23" t="s">
        <v>1872</v>
      </c>
      <c r="B15" s="5" t="s">
        <v>1873</v>
      </c>
      <c r="C15" s="23" t="s">
        <v>130</v>
      </c>
      <c r="D15" s="88" t="n">
        <f aca="false">Hypothèses!$J$14</f>
        <v>10</v>
      </c>
      <c r="E15" s="89" t="n">
        <f aca="false">$D15</f>
        <v>10</v>
      </c>
      <c r="F15" s="89" t="n">
        <f aca="false">$D15</f>
        <v>10</v>
      </c>
      <c r="G15" s="89" t="n">
        <f aca="false">$D15</f>
        <v>10</v>
      </c>
      <c r="H15" s="89" t="n">
        <f aca="false">$D15</f>
        <v>10</v>
      </c>
      <c r="I15" s="89" t="n">
        <f aca="false">$D15</f>
        <v>10</v>
      </c>
      <c r="J15" s="89" t="n">
        <f aca="false">$D15</f>
        <v>10</v>
      </c>
      <c r="K15" s="89" t="n">
        <f aca="false">$D15</f>
        <v>10</v>
      </c>
      <c r="L15" s="89" t="n">
        <f aca="false">$D15</f>
        <v>10</v>
      </c>
      <c r="M15" s="89" t="n">
        <f aca="false">$D15</f>
        <v>10</v>
      </c>
      <c r="N15" s="89" t="n">
        <f aca="false">$D15</f>
        <v>10</v>
      </c>
      <c r="O15" s="89" t="n">
        <f aca="false">$D15</f>
        <v>10</v>
      </c>
      <c r="P15" s="89" t="n">
        <f aca="false">$D15</f>
        <v>10</v>
      </c>
      <c r="Q15" s="89" t="n">
        <f aca="false">$D15</f>
        <v>10</v>
      </c>
      <c r="R15" s="89" t="n">
        <f aca="false">$D15</f>
        <v>10</v>
      </c>
      <c r="S15" s="89" t="n">
        <f aca="false">$D15</f>
        <v>10</v>
      </c>
      <c r="T15" s="89" t="n">
        <f aca="false">$D15</f>
        <v>10</v>
      </c>
      <c r="U15" s="89" t="n">
        <f aca="false">$D15</f>
        <v>10</v>
      </c>
      <c r="V15" s="89" t="n">
        <f aca="false">$D15</f>
        <v>10</v>
      </c>
      <c r="W15" s="90" t="n">
        <f aca="false">Hypothèses!$D$14</f>
        <v>8</v>
      </c>
      <c r="X15" s="90" t="n">
        <f aca="false">Hypothèses!$E$14</f>
        <v>12</v>
      </c>
      <c r="Y15" s="89" t="n">
        <f aca="false">$D15</f>
        <v>10</v>
      </c>
      <c r="Z15" s="89" t="n">
        <f aca="false">$D15</f>
        <v>10</v>
      </c>
      <c r="AA15" s="89" t="n">
        <f aca="false">$D15</f>
        <v>10</v>
      </c>
      <c r="AB15" s="89" t="n">
        <f aca="false">$D15</f>
        <v>10</v>
      </c>
      <c r="AC15" s="89" t="n">
        <f aca="false">$D15</f>
        <v>10</v>
      </c>
      <c r="AD15" s="89" t="n">
        <f aca="false">$D15</f>
        <v>10</v>
      </c>
      <c r="AE15" s="91" t="n">
        <f aca="false">IF($W$46&lt;=$X$46,Hypothèses!$D$14,Hypothèses!$E$14)</f>
        <v>8</v>
      </c>
      <c r="AF15" s="91" t="n">
        <f aca="false">IF($W$46&gt;$X$46,Hypothèses!$D$14,Hypothèses!$E$14)</f>
        <v>12</v>
      </c>
    </row>
    <row r="16" customFormat="false" ht="15" hidden="false" customHeight="false" outlineLevel="0" collapsed="false">
      <c r="A16" s="23" t="s">
        <v>1875</v>
      </c>
      <c r="B16" s="5" t="s">
        <v>1876</v>
      </c>
      <c r="C16" s="23" t="s">
        <v>127</v>
      </c>
      <c r="D16" s="77" t="n">
        <f aca="false">Hypothèses!$J$15</f>
        <v>0.5</v>
      </c>
      <c r="E16" s="78" t="n">
        <f aca="false">$D16</f>
        <v>0.5</v>
      </c>
      <c r="F16" s="78" t="n">
        <f aca="false">$D16</f>
        <v>0.5</v>
      </c>
      <c r="G16" s="78" t="n">
        <f aca="false">$D16</f>
        <v>0.5</v>
      </c>
      <c r="H16" s="78" t="n">
        <f aca="false">$D16</f>
        <v>0.5</v>
      </c>
      <c r="I16" s="78" t="n">
        <f aca="false">$D16</f>
        <v>0.5</v>
      </c>
      <c r="J16" s="78" t="n">
        <f aca="false">$D16</f>
        <v>0.5</v>
      </c>
      <c r="K16" s="78" t="n">
        <f aca="false">$D16</f>
        <v>0.5</v>
      </c>
      <c r="L16" s="78" t="n">
        <f aca="false">$D16</f>
        <v>0.5</v>
      </c>
      <c r="M16" s="78" t="n">
        <f aca="false">$D16</f>
        <v>0.5</v>
      </c>
      <c r="N16" s="78" t="n">
        <f aca="false">$D16</f>
        <v>0.5</v>
      </c>
      <c r="O16" s="78" t="n">
        <f aca="false">$D16</f>
        <v>0.5</v>
      </c>
      <c r="P16" s="78" t="n">
        <f aca="false">$D16</f>
        <v>0.5</v>
      </c>
      <c r="Q16" s="78" t="n">
        <f aca="false">$D16</f>
        <v>0.5</v>
      </c>
      <c r="R16" s="78" t="n">
        <f aca="false">$D16</f>
        <v>0.5</v>
      </c>
      <c r="S16" s="78" t="n">
        <f aca="false">$D16</f>
        <v>0.5</v>
      </c>
      <c r="T16" s="78" t="n">
        <f aca="false">$D16</f>
        <v>0.5</v>
      </c>
      <c r="U16" s="78" t="n">
        <f aca="false">$D16</f>
        <v>0.5</v>
      </c>
      <c r="V16" s="78" t="n">
        <f aca="false">$D16</f>
        <v>0.5</v>
      </c>
      <c r="W16" s="78" t="n">
        <f aca="false">$D16</f>
        <v>0.5</v>
      </c>
      <c r="X16" s="78" t="n">
        <f aca="false">$D16</f>
        <v>0.5</v>
      </c>
      <c r="Y16" s="92" t="n">
        <f aca="false">Hypothèses!$D$15</f>
        <v>0</v>
      </c>
      <c r="Z16" s="92" t="n">
        <f aca="false">Hypothèses!$E$15</f>
        <v>1</v>
      </c>
      <c r="AA16" s="78" t="n">
        <f aca="false">$D16</f>
        <v>0.5</v>
      </c>
      <c r="AB16" s="78" t="n">
        <f aca="false">$D16</f>
        <v>0.5</v>
      </c>
      <c r="AC16" s="78" t="n">
        <f aca="false">$D16</f>
        <v>0.5</v>
      </c>
      <c r="AD16" s="78" t="n">
        <f aca="false">$D16</f>
        <v>0.5</v>
      </c>
      <c r="AE16" s="93" t="n">
        <f aca="false">IF($Y$46&lt;=$Z$46,Hypothèses!$D$15,Hypothèses!$E$15)</f>
        <v>1</v>
      </c>
      <c r="AF16" s="93" t="n">
        <f aca="false">IF($Y$46&gt;$Z$46,Hypothèses!$D$15,Hypothèses!$E$15)</f>
        <v>0</v>
      </c>
    </row>
    <row r="17" customFormat="false" ht="15" hidden="false" customHeight="false" outlineLevel="0" collapsed="false">
      <c r="A17" s="23" t="s">
        <v>1879</v>
      </c>
      <c r="B17" s="5" t="s">
        <v>1880</v>
      </c>
      <c r="C17" s="23" t="s">
        <v>296</v>
      </c>
      <c r="D17" s="71" t="n">
        <f aca="false">Hypothèses!$J$16</f>
        <v>0.731914893617021</v>
      </c>
      <c r="E17" s="65" t="n">
        <f aca="false">$D17</f>
        <v>0.731914893617021</v>
      </c>
      <c r="F17" s="65" t="n">
        <f aca="false">$D17</f>
        <v>0.731914893617021</v>
      </c>
      <c r="G17" s="65" t="n">
        <f aca="false">$D17</f>
        <v>0.731914893617021</v>
      </c>
      <c r="H17" s="65" t="n">
        <f aca="false">$D17</f>
        <v>0.731914893617021</v>
      </c>
      <c r="I17" s="65" t="n">
        <f aca="false">$D17</f>
        <v>0.731914893617021</v>
      </c>
      <c r="J17" s="65" t="n">
        <f aca="false">$D17</f>
        <v>0.731914893617021</v>
      </c>
      <c r="K17" s="65" t="n">
        <f aca="false">$D17</f>
        <v>0.731914893617021</v>
      </c>
      <c r="L17" s="65" t="n">
        <f aca="false">$D17</f>
        <v>0.731914893617021</v>
      </c>
      <c r="M17" s="65" t="n">
        <f aca="false">$D17</f>
        <v>0.731914893617021</v>
      </c>
      <c r="N17" s="65" t="n">
        <f aca="false">$D17</f>
        <v>0.731914893617021</v>
      </c>
      <c r="O17" s="65" t="n">
        <f aca="false">$D17</f>
        <v>0.731914893617021</v>
      </c>
      <c r="P17" s="65" t="n">
        <f aca="false">$D17</f>
        <v>0.731914893617021</v>
      </c>
      <c r="Q17" s="65" t="n">
        <f aca="false">$D17</f>
        <v>0.731914893617021</v>
      </c>
      <c r="R17" s="65" t="n">
        <f aca="false">$D17</f>
        <v>0.731914893617021</v>
      </c>
      <c r="S17" s="65" t="n">
        <f aca="false">$D17</f>
        <v>0.731914893617021</v>
      </c>
      <c r="T17" s="65" t="n">
        <f aca="false">$D17</f>
        <v>0.731914893617021</v>
      </c>
      <c r="U17" s="65" t="n">
        <f aca="false">$D17</f>
        <v>0.731914893617021</v>
      </c>
      <c r="V17" s="65" t="n">
        <f aca="false">$D17</f>
        <v>0.731914893617021</v>
      </c>
      <c r="W17" s="65" t="n">
        <f aca="false">$D17</f>
        <v>0.731914893617021</v>
      </c>
      <c r="X17" s="65" t="n">
        <f aca="false">$D17</f>
        <v>0.731914893617021</v>
      </c>
      <c r="Y17" s="65" t="n">
        <f aca="false">$D17</f>
        <v>0.731914893617021</v>
      </c>
      <c r="Z17" s="65" t="n">
        <f aca="false">$D17</f>
        <v>0.731914893617021</v>
      </c>
      <c r="AA17" s="84" t="n">
        <f aca="false">Hypothèses!$D$16</f>
        <v>0.69531914893617</v>
      </c>
      <c r="AB17" s="84" t="n">
        <f aca="false">Hypothèses!$E$16</f>
        <v>0.753872340425532</v>
      </c>
      <c r="AC17" s="65" t="n">
        <f aca="false">$D17</f>
        <v>0.731914893617021</v>
      </c>
      <c r="AD17" s="65" t="n">
        <f aca="false">$D17</f>
        <v>0.731914893617021</v>
      </c>
      <c r="AE17" s="85" t="n">
        <f aca="false">IF($AA$46&lt;=$AB$46,Hypothèses!$D$16,Hypothèses!$E$16)</f>
        <v>0.69531914893617</v>
      </c>
      <c r="AF17" s="85" t="n">
        <f aca="false">IF($AA$46&gt;$AB$46,Hypothèses!$D$16,Hypothèses!$E$16)</f>
        <v>0.753872340425532</v>
      </c>
    </row>
    <row r="18" customFormat="false" ht="15" hidden="false" customHeight="false" outlineLevel="0" collapsed="false">
      <c r="A18" s="23" t="s">
        <v>1893</v>
      </c>
      <c r="B18" s="5" t="s">
        <v>1894</v>
      </c>
      <c r="C18" s="23" t="s">
        <v>130</v>
      </c>
      <c r="D18" s="88" t="n">
        <f aca="false">Hypothèses!$J$21</f>
        <v>9.8</v>
      </c>
      <c r="E18" s="89" t="n">
        <f aca="false">$D18</f>
        <v>9.8</v>
      </c>
      <c r="F18" s="89" t="n">
        <f aca="false">$D18</f>
        <v>9.8</v>
      </c>
      <c r="G18" s="89" t="n">
        <f aca="false">$D18</f>
        <v>9.8</v>
      </c>
      <c r="H18" s="89" t="n">
        <f aca="false">$D18</f>
        <v>9.8</v>
      </c>
      <c r="I18" s="89" t="n">
        <f aca="false">$D18</f>
        <v>9.8</v>
      </c>
      <c r="J18" s="89" t="n">
        <f aca="false">$D18</f>
        <v>9.8</v>
      </c>
      <c r="K18" s="89" t="n">
        <f aca="false">$D18</f>
        <v>9.8</v>
      </c>
      <c r="L18" s="89" t="n">
        <f aca="false">$D18</f>
        <v>9.8</v>
      </c>
      <c r="M18" s="89" t="n">
        <f aca="false">$D18</f>
        <v>9.8</v>
      </c>
      <c r="N18" s="89" t="n">
        <f aca="false">$D18</f>
        <v>9.8</v>
      </c>
      <c r="O18" s="89" t="n">
        <f aca="false">$D18</f>
        <v>9.8</v>
      </c>
      <c r="P18" s="89" t="n">
        <f aca="false">$D18</f>
        <v>9.8</v>
      </c>
      <c r="Q18" s="89" t="n">
        <f aca="false">$D18</f>
        <v>9.8</v>
      </c>
      <c r="R18" s="89" t="n">
        <f aca="false">$D18</f>
        <v>9.8</v>
      </c>
      <c r="S18" s="89" t="n">
        <f aca="false">$D18</f>
        <v>9.8</v>
      </c>
      <c r="T18" s="89" t="n">
        <f aca="false">$D18</f>
        <v>9.8</v>
      </c>
      <c r="U18" s="89" t="n">
        <f aca="false">$D18</f>
        <v>9.8</v>
      </c>
      <c r="V18" s="89" t="n">
        <f aca="false">$D18</f>
        <v>9.8</v>
      </c>
      <c r="W18" s="89" t="n">
        <f aca="false">$D18</f>
        <v>9.8</v>
      </c>
      <c r="X18" s="89" t="n">
        <f aca="false">$D18</f>
        <v>9.8</v>
      </c>
      <c r="Y18" s="89" t="n">
        <f aca="false">$D18</f>
        <v>9.8</v>
      </c>
      <c r="Z18" s="89" t="n">
        <f aca="false">$D18</f>
        <v>9.8</v>
      </c>
      <c r="AA18" s="89" t="n">
        <f aca="false">$D18</f>
        <v>9.8</v>
      </c>
      <c r="AB18" s="89" t="n">
        <f aca="false">$D18</f>
        <v>9.8</v>
      </c>
      <c r="AC18" s="90" t="n">
        <f aca="false">Hypothèses!$D$21</f>
        <v>7.4</v>
      </c>
      <c r="AD18" s="90" t="n">
        <f aca="false">Hypothèses!$E$21</f>
        <v>11</v>
      </c>
      <c r="AE18" s="91" t="n">
        <f aca="false">IF($AC$46&lt;=$AD$46,Hypothèses!$D$21,Hypothèses!$E$21)</f>
        <v>11</v>
      </c>
      <c r="AF18" s="91" t="n">
        <f aca="false">IF($AC$46&gt;$AD$46,Hypothèses!$D$21,Hypothèses!$E$21)</f>
        <v>7.4</v>
      </c>
    </row>
    <row r="19" customFormat="false" ht="15" hidden="false" customHeight="false" outlineLevel="0" collapsed="false">
      <c r="A19" s="23" t="s">
        <v>1884</v>
      </c>
      <c r="B19" s="5" t="s">
        <v>1885</v>
      </c>
      <c r="C19" s="23" t="s">
        <v>1886</v>
      </c>
      <c r="D19" s="94" t="n">
        <f aca="false">Hypothèses!$J$19</f>
        <v>1.17584579071597</v>
      </c>
      <c r="E19" s="95" t="n">
        <f aca="false">$D19</f>
        <v>1.17584579071597</v>
      </c>
      <c r="F19" s="95" t="n">
        <f aca="false">$D19</f>
        <v>1.17584579071597</v>
      </c>
      <c r="G19" s="95" t="n">
        <f aca="false">$D19</f>
        <v>1.17584579071597</v>
      </c>
      <c r="H19" s="95" t="n">
        <f aca="false">$D19</f>
        <v>1.17584579071597</v>
      </c>
      <c r="I19" s="95" t="n">
        <f aca="false">$D19</f>
        <v>1.17584579071597</v>
      </c>
      <c r="J19" s="95" t="n">
        <f aca="false">$D19</f>
        <v>1.17584579071597</v>
      </c>
      <c r="K19" s="95" t="n">
        <f aca="false">$D19</f>
        <v>1.17584579071597</v>
      </c>
      <c r="L19" s="95" t="n">
        <f aca="false">$D19</f>
        <v>1.17584579071597</v>
      </c>
      <c r="M19" s="95" t="n">
        <f aca="false">$D19</f>
        <v>1.17584579071597</v>
      </c>
      <c r="N19" s="95" t="n">
        <f aca="false">$D19</f>
        <v>1.17584579071597</v>
      </c>
      <c r="O19" s="95" t="n">
        <f aca="false">$D19</f>
        <v>1.17584579071597</v>
      </c>
      <c r="P19" s="95" t="n">
        <f aca="false">$D19</f>
        <v>1.17584579071597</v>
      </c>
      <c r="Q19" s="95" t="n">
        <f aca="false">$D19</f>
        <v>1.17584579071597</v>
      </c>
      <c r="R19" s="95" t="n">
        <f aca="false">$D19</f>
        <v>1.17584579071597</v>
      </c>
      <c r="S19" s="95" t="n">
        <f aca="false">$D19</f>
        <v>1.17584579071597</v>
      </c>
      <c r="T19" s="95" t="n">
        <f aca="false">$D19</f>
        <v>1.17584579071597</v>
      </c>
      <c r="U19" s="95" t="n">
        <f aca="false">$D19</f>
        <v>1.17584579071597</v>
      </c>
      <c r="V19" s="95" t="n">
        <f aca="false">$D19</f>
        <v>1.17584579071597</v>
      </c>
      <c r="W19" s="95" t="n">
        <f aca="false">$D19</f>
        <v>1.17584579071597</v>
      </c>
      <c r="X19" s="95" t="n">
        <f aca="false">$D19</f>
        <v>1.17584579071597</v>
      </c>
      <c r="Y19" s="95" t="n">
        <f aca="false">$D19</f>
        <v>1.17584579071597</v>
      </c>
      <c r="Z19" s="95" t="n">
        <f aca="false">$D19</f>
        <v>1.17584579071597</v>
      </c>
      <c r="AA19" s="95" t="n">
        <f aca="false">$D19</f>
        <v>1.17584579071597</v>
      </c>
      <c r="AB19" s="95" t="n">
        <f aca="false">$D19</f>
        <v>1.17584579071597</v>
      </c>
      <c r="AC19" s="95" t="n">
        <f aca="false">$D19</f>
        <v>1.17584579071597</v>
      </c>
      <c r="AD19" s="95" t="n">
        <f aca="false">$D19</f>
        <v>1.17584579071597</v>
      </c>
      <c r="AE19" s="95" t="n">
        <f aca="false">$D19</f>
        <v>1.17584579071597</v>
      </c>
      <c r="AF19" s="95" t="n">
        <f aca="false">$D19</f>
        <v>1.17584579071597</v>
      </c>
    </row>
    <row r="20" customFormat="false" ht="15" hidden="false" customHeight="false" outlineLevel="0" collapsed="false">
      <c r="A20" s="23" t="s">
        <v>1889</v>
      </c>
      <c r="B20" s="5" t="s">
        <v>1890</v>
      </c>
      <c r="C20" s="23" t="s">
        <v>100</v>
      </c>
      <c r="D20" s="60" t="n">
        <f aca="false">Hypothèses!$J$20</f>
        <v>295</v>
      </c>
      <c r="E20" s="63" t="n">
        <f aca="false">$D20</f>
        <v>295</v>
      </c>
      <c r="F20" s="63" t="n">
        <f aca="false">$D20</f>
        <v>295</v>
      </c>
      <c r="G20" s="63" t="n">
        <f aca="false">$D20</f>
        <v>295</v>
      </c>
      <c r="H20" s="63" t="n">
        <f aca="false">$D20</f>
        <v>295</v>
      </c>
      <c r="I20" s="63" t="n">
        <f aca="false">$D20</f>
        <v>295</v>
      </c>
      <c r="J20" s="63" t="n">
        <f aca="false">$D20</f>
        <v>295</v>
      </c>
      <c r="K20" s="63" t="n">
        <f aca="false">$D20</f>
        <v>295</v>
      </c>
      <c r="L20" s="63" t="n">
        <f aca="false">$D20</f>
        <v>295</v>
      </c>
      <c r="M20" s="63" t="n">
        <f aca="false">$D20</f>
        <v>295</v>
      </c>
      <c r="N20" s="63" t="n">
        <f aca="false">$D20</f>
        <v>295</v>
      </c>
      <c r="O20" s="63" t="n">
        <f aca="false">$D20</f>
        <v>295</v>
      </c>
      <c r="P20" s="63" t="n">
        <f aca="false">$D20</f>
        <v>295</v>
      </c>
      <c r="Q20" s="63" t="n">
        <f aca="false">$D20</f>
        <v>295</v>
      </c>
      <c r="R20" s="63" t="n">
        <f aca="false">$D20</f>
        <v>295</v>
      </c>
      <c r="S20" s="63" t="n">
        <f aca="false">$D20</f>
        <v>295</v>
      </c>
      <c r="T20" s="63" t="n">
        <f aca="false">$D20</f>
        <v>295</v>
      </c>
      <c r="U20" s="63" t="n">
        <f aca="false">$D20</f>
        <v>295</v>
      </c>
      <c r="V20" s="63" t="n">
        <f aca="false">$D20</f>
        <v>295</v>
      </c>
      <c r="W20" s="63" t="n">
        <f aca="false">$D20</f>
        <v>295</v>
      </c>
      <c r="X20" s="63" t="n">
        <f aca="false">$D20</f>
        <v>295</v>
      </c>
      <c r="Y20" s="63" t="n">
        <f aca="false">$D20</f>
        <v>295</v>
      </c>
      <c r="Z20" s="63" t="n">
        <f aca="false">$D20</f>
        <v>295</v>
      </c>
      <c r="AA20" s="63" t="n">
        <f aca="false">$D20</f>
        <v>295</v>
      </c>
      <c r="AB20" s="63" t="n">
        <f aca="false">$D20</f>
        <v>295</v>
      </c>
      <c r="AC20" s="63" t="n">
        <f aca="false">$D20</f>
        <v>295</v>
      </c>
      <c r="AD20" s="63" t="n">
        <f aca="false">$D20</f>
        <v>295</v>
      </c>
      <c r="AE20" s="63" t="n">
        <f aca="false">$D20</f>
        <v>295</v>
      </c>
      <c r="AF20" s="63" t="n">
        <f aca="false">$D20</f>
        <v>295</v>
      </c>
    </row>
    <row r="21" customFormat="false" ht="15" hidden="false" customHeight="false" outlineLevel="0" collapsed="false">
      <c r="A21" s="23" t="s">
        <v>1896</v>
      </c>
      <c r="B21" s="5" t="s">
        <v>1897</v>
      </c>
      <c r="C21" s="23" t="s">
        <v>127</v>
      </c>
      <c r="D21" s="77" t="n">
        <f aca="false">Hypothèses!$J$22</f>
        <v>0</v>
      </c>
      <c r="E21" s="78" t="n">
        <f aca="false">$D21</f>
        <v>0</v>
      </c>
      <c r="F21" s="78" t="n">
        <f aca="false">$D21</f>
        <v>0</v>
      </c>
      <c r="G21" s="78" t="n">
        <f aca="false">$D21</f>
        <v>0</v>
      </c>
      <c r="H21" s="78" t="n">
        <f aca="false">$D21</f>
        <v>0</v>
      </c>
      <c r="I21" s="78" t="n">
        <f aca="false">$D21</f>
        <v>0</v>
      </c>
      <c r="J21" s="78" t="n">
        <f aca="false">$D21</f>
        <v>0</v>
      </c>
      <c r="K21" s="78" t="n">
        <f aca="false">$D21</f>
        <v>0</v>
      </c>
      <c r="L21" s="78" t="n">
        <f aca="false">$D21</f>
        <v>0</v>
      </c>
      <c r="M21" s="78" t="n">
        <f aca="false">$D21</f>
        <v>0</v>
      </c>
      <c r="N21" s="78" t="n">
        <f aca="false">$D21</f>
        <v>0</v>
      </c>
      <c r="O21" s="78" t="n">
        <f aca="false">$D21</f>
        <v>0</v>
      </c>
      <c r="P21" s="78" t="n">
        <f aca="false">$D21</f>
        <v>0</v>
      </c>
      <c r="Q21" s="78" t="n">
        <f aca="false">$D21</f>
        <v>0</v>
      </c>
      <c r="R21" s="78" t="n">
        <f aca="false">$D21</f>
        <v>0</v>
      </c>
      <c r="S21" s="78" t="n">
        <f aca="false">$D21</f>
        <v>0</v>
      </c>
      <c r="T21" s="78" t="n">
        <f aca="false">$D21</f>
        <v>0</v>
      </c>
      <c r="U21" s="78" t="n">
        <f aca="false">$D21</f>
        <v>0</v>
      </c>
      <c r="V21" s="78" t="n">
        <f aca="false">$D21</f>
        <v>0</v>
      </c>
      <c r="W21" s="78" t="n">
        <f aca="false">$D21</f>
        <v>0</v>
      </c>
      <c r="X21" s="78" t="n">
        <f aca="false">$D21</f>
        <v>0</v>
      </c>
      <c r="Y21" s="78" t="n">
        <f aca="false">$D21</f>
        <v>0</v>
      </c>
      <c r="Z21" s="78" t="n">
        <f aca="false">$D21</f>
        <v>0</v>
      </c>
      <c r="AA21" s="78" t="n">
        <f aca="false">$D21</f>
        <v>0</v>
      </c>
      <c r="AB21" s="78" t="n">
        <f aca="false">$D21</f>
        <v>0</v>
      </c>
      <c r="AC21" s="78" t="n">
        <f aca="false">$D21</f>
        <v>0</v>
      </c>
      <c r="AD21" s="78" t="n">
        <f aca="false">$D21</f>
        <v>0</v>
      </c>
      <c r="AE21" s="78" t="n">
        <f aca="false">$D21</f>
        <v>0</v>
      </c>
      <c r="AF21" s="78" t="n">
        <f aca="false">$D21</f>
        <v>0</v>
      </c>
    </row>
    <row r="22" customFormat="false" ht="15" hidden="false" customHeight="false" outlineLevel="0" collapsed="false">
      <c r="A22" s="23" t="s">
        <v>1899</v>
      </c>
      <c r="B22" s="5" t="s">
        <v>1900</v>
      </c>
      <c r="C22" s="23" t="s">
        <v>100</v>
      </c>
      <c r="D22" s="60" t="n">
        <f aca="false">Hypothèses!$J$23</f>
        <v>0</v>
      </c>
      <c r="E22" s="63" t="n">
        <f aca="false">$D22</f>
        <v>0</v>
      </c>
      <c r="F22" s="63" t="n">
        <f aca="false">$D22</f>
        <v>0</v>
      </c>
      <c r="G22" s="63" t="n">
        <f aca="false">$D22</f>
        <v>0</v>
      </c>
      <c r="H22" s="63" t="n">
        <f aca="false">$D22</f>
        <v>0</v>
      </c>
      <c r="I22" s="63" t="n">
        <f aca="false">$D22</f>
        <v>0</v>
      </c>
      <c r="J22" s="63" t="n">
        <f aca="false">$D22</f>
        <v>0</v>
      </c>
      <c r="K22" s="63" t="n">
        <f aca="false">$D22</f>
        <v>0</v>
      </c>
      <c r="L22" s="63" t="n">
        <f aca="false">$D22</f>
        <v>0</v>
      </c>
      <c r="M22" s="63" t="n">
        <f aca="false">$D22</f>
        <v>0</v>
      </c>
      <c r="N22" s="63" t="n">
        <f aca="false">$D22</f>
        <v>0</v>
      </c>
      <c r="O22" s="63" t="n">
        <f aca="false">$D22</f>
        <v>0</v>
      </c>
      <c r="P22" s="63" t="n">
        <f aca="false">$D22</f>
        <v>0</v>
      </c>
      <c r="Q22" s="63" t="n">
        <f aca="false">$D22</f>
        <v>0</v>
      </c>
      <c r="R22" s="63" t="n">
        <f aca="false">$D22</f>
        <v>0</v>
      </c>
      <c r="S22" s="63" t="n">
        <f aca="false">$D22</f>
        <v>0</v>
      </c>
      <c r="T22" s="63" t="n">
        <f aca="false">$D22</f>
        <v>0</v>
      </c>
      <c r="U22" s="63" t="n">
        <f aca="false">$D22</f>
        <v>0</v>
      </c>
      <c r="V22" s="63" t="n">
        <f aca="false">$D22</f>
        <v>0</v>
      </c>
      <c r="W22" s="63" t="n">
        <f aca="false">$D22</f>
        <v>0</v>
      </c>
      <c r="X22" s="63" t="n">
        <f aca="false">$D22</f>
        <v>0</v>
      </c>
      <c r="Y22" s="63" t="n">
        <f aca="false">$D22</f>
        <v>0</v>
      </c>
      <c r="Z22" s="63" t="n">
        <f aca="false">$D22</f>
        <v>0</v>
      </c>
      <c r="AA22" s="63" t="n">
        <f aca="false">$D22</f>
        <v>0</v>
      </c>
      <c r="AB22" s="63" t="n">
        <f aca="false">$D22</f>
        <v>0</v>
      </c>
      <c r="AC22" s="63" t="n">
        <f aca="false">$D22</f>
        <v>0</v>
      </c>
      <c r="AD22" s="63" t="n">
        <f aca="false">$D22</f>
        <v>0</v>
      </c>
      <c r="AE22" s="63" t="n">
        <f aca="false">$D22</f>
        <v>0</v>
      </c>
      <c r="AF22" s="63" t="n">
        <f aca="false">$D22</f>
        <v>0</v>
      </c>
    </row>
    <row r="23" customFormat="false" ht="15" hidden="false" customHeight="false" outlineLevel="0" collapsed="false">
      <c r="A23" s="23" t="s">
        <v>1902</v>
      </c>
      <c r="B23" s="5" t="s">
        <v>1903</v>
      </c>
      <c r="C23" s="23" t="s">
        <v>1904</v>
      </c>
      <c r="D23" s="96" t="n">
        <f aca="false">Hypothèses!$J$24</f>
        <v>7</v>
      </c>
      <c r="E23" s="82" t="n">
        <f aca="false">$D23</f>
        <v>7</v>
      </c>
      <c r="F23" s="82" t="n">
        <f aca="false">$D23</f>
        <v>7</v>
      </c>
      <c r="G23" s="82" t="n">
        <f aca="false">$D23</f>
        <v>7</v>
      </c>
      <c r="H23" s="82" t="n">
        <f aca="false">$D23</f>
        <v>7</v>
      </c>
      <c r="I23" s="82" t="n">
        <f aca="false">$D23</f>
        <v>7</v>
      </c>
      <c r="J23" s="82" t="n">
        <f aca="false">$D23</f>
        <v>7</v>
      </c>
      <c r="K23" s="82" t="n">
        <f aca="false">$D23</f>
        <v>7</v>
      </c>
      <c r="L23" s="82" t="n">
        <f aca="false">$D23</f>
        <v>7</v>
      </c>
      <c r="M23" s="82" t="n">
        <f aca="false">$D23</f>
        <v>7</v>
      </c>
      <c r="N23" s="82" t="n">
        <f aca="false">$D23</f>
        <v>7</v>
      </c>
      <c r="O23" s="82" t="n">
        <f aca="false">$D23</f>
        <v>7</v>
      </c>
      <c r="P23" s="82" t="n">
        <f aca="false">$D23</f>
        <v>7</v>
      </c>
      <c r="Q23" s="82" t="n">
        <f aca="false">$D23</f>
        <v>7</v>
      </c>
      <c r="R23" s="82" t="n">
        <f aca="false">$D23</f>
        <v>7</v>
      </c>
      <c r="S23" s="82" t="n">
        <f aca="false">$D23</f>
        <v>7</v>
      </c>
      <c r="T23" s="82" t="n">
        <f aca="false">$D23</f>
        <v>7</v>
      </c>
      <c r="U23" s="82" t="n">
        <f aca="false">$D23</f>
        <v>7</v>
      </c>
      <c r="V23" s="82" t="n">
        <f aca="false">$D23</f>
        <v>7</v>
      </c>
      <c r="W23" s="82" t="n">
        <f aca="false">$D23</f>
        <v>7</v>
      </c>
      <c r="X23" s="82" t="n">
        <f aca="false">$D23</f>
        <v>7</v>
      </c>
      <c r="Y23" s="82" t="n">
        <f aca="false">$D23</f>
        <v>7</v>
      </c>
      <c r="Z23" s="82" t="n">
        <f aca="false">$D23</f>
        <v>7</v>
      </c>
      <c r="AA23" s="82" t="n">
        <f aca="false">$D23</f>
        <v>7</v>
      </c>
      <c r="AB23" s="82" t="n">
        <f aca="false">$D23</f>
        <v>7</v>
      </c>
      <c r="AC23" s="82" t="n">
        <f aca="false">$D23</f>
        <v>7</v>
      </c>
      <c r="AD23" s="82" t="n">
        <f aca="false">$D23</f>
        <v>7</v>
      </c>
      <c r="AE23" s="82" t="n">
        <f aca="false">$D23</f>
        <v>7</v>
      </c>
      <c r="AF23" s="82" t="n">
        <f aca="false">$D23</f>
        <v>7</v>
      </c>
    </row>
    <row r="24" customFormat="false" ht="15" hidden="false" customHeight="false" outlineLevel="0" collapsed="false">
      <c r="A24" s="23" t="s">
        <v>1906</v>
      </c>
      <c r="B24" s="5" t="s">
        <v>1907</v>
      </c>
      <c r="C24" s="23" t="s">
        <v>246</v>
      </c>
      <c r="D24" s="97" t="n">
        <f aca="false">Hypothèses!$J$25</f>
        <v>22.5</v>
      </c>
      <c r="E24" s="98" t="n">
        <f aca="false">$D24</f>
        <v>22.5</v>
      </c>
      <c r="F24" s="98" t="n">
        <f aca="false">$D24</f>
        <v>22.5</v>
      </c>
      <c r="G24" s="98" t="n">
        <f aca="false">$D24</f>
        <v>22.5</v>
      </c>
      <c r="H24" s="98" t="n">
        <f aca="false">$D24</f>
        <v>22.5</v>
      </c>
      <c r="I24" s="98" t="n">
        <f aca="false">$D24</f>
        <v>22.5</v>
      </c>
      <c r="J24" s="98" t="n">
        <f aca="false">$D24</f>
        <v>22.5</v>
      </c>
      <c r="K24" s="98" t="n">
        <f aca="false">$D24</f>
        <v>22.5</v>
      </c>
      <c r="L24" s="98" t="n">
        <f aca="false">$D24</f>
        <v>22.5</v>
      </c>
      <c r="M24" s="98" t="n">
        <f aca="false">$D24</f>
        <v>22.5</v>
      </c>
      <c r="N24" s="98" t="n">
        <f aca="false">$D24</f>
        <v>22.5</v>
      </c>
      <c r="O24" s="98" t="n">
        <f aca="false">$D24</f>
        <v>22.5</v>
      </c>
      <c r="P24" s="98" t="n">
        <f aca="false">$D24</f>
        <v>22.5</v>
      </c>
      <c r="Q24" s="98" t="n">
        <f aca="false">$D24</f>
        <v>22.5</v>
      </c>
      <c r="R24" s="98" t="n">
        <f aca="false">$D24</f>
        <v>22.5</v>
      </c>
      <c r="S24" s="98" t="n">
        <f aca="false">$D24</f>
        <v>22.5</v>
      </c>
      <c r="T24" s="98" t="n">
        <f aca="false">$D24</f>
        <v>22.5</v>
      </c>
      <c r="U24" s="98" t="n">
        <f aca="false">$D24</f>
        <v>22.5</v>
      </c>
      <c r="V24" s="98" t="n">
        <f aca="false">$D24</f>
        <v>22.5</v>
      </c>
      <c r="W24" s="98" t="n">
        <f aca="false">$D24</f>
        <v>22.5</v>
      </c>
      <c r="X24" s="98" t="n">
        <f aca="false">$D24</f>
        <v>22.5</v>
      </c>
      <c r="Y24" s="98" t="n">
        <f aca="false">$D24</f>
        <v>22.5</v>
      </c>
      <c r="Z24" s="98" t="n">
        <f aca="false">$D24</f>
        <v>22.5</v>
      </c>
      <c r="AA24" s="98" t="n">
        <f aca="false">$D24</f>
        <v>22.5</v>
      </c>
      <c r="AB24" s="98" t="n">
        <f aca="false">$D24</f>
        <v>22.5</v>
      </c>
      <c r="AC24" s="98" t="n">
        <f aca="false">$D24</f>
        <v>22.5</v>
      </c>
      <c r="AD24" s="98" t="n">
        <f aca="false">$D24</f>
        <v>22.5</v>
      </c>
      <c r="AE24" s="98" t="n">
        <f aca="false">$D24</f>
        <v>22.5</v>
      </c>
      <c r="AF24" s="98" t="n">
        <f aca="false">$D24</f>
        <v>22.5</v>
      </c>
    </row>
    <row r="25" customFormat="false" ht="15" hidden="false" customHeight="false" outlineLevel="0" collapsed="false">
      <c r="A25" s="23" t="s">
        <v>1909</v>
      </c>
      <c r="B25" s="5" t="s">
        <v>1910</v>
      </c>
      <c r="C25" s="23" t="s">
        <v>130</v>
      </c>
      <c r="D25" s="88" t="n">
        <f aca="false">Hypothèses!$J$26</f>
        <v>3</v>
      </c>
      <c r="E25" s="89" t="n">
        <f aca="false">$D25</f>
        <v>3</v>
      </c>
      <c r="F25" s="89" t="n">
        <f aca="false">$D25</f>
        <v>3</v>
      </c>
      <c r="G25" s="89" t="n">
        <f aca="false">$D25</f>
        <v>3</v>
      </c>
      <c r="H25" s="89" t="n">
        <f aca="false">$D25</f>
        <v>3</v>
      </c>
      <c r="I25" s="89" t="n">
        <f aca="false">$D25</f>
        <v>3</v>
      </c>
      <c r="J25" s="89" t="n">
        <f aca="false">$D25</f>
        <v>3</v>
      </c>
      <c r="K25" s="89" t="n">
        <f aca="false">$D25</f>
        <v>3</v>
      </c>
      <c r="L25" s="89" t="n">
        <f aca="false">$D25</f>
        <v>3</v>
      </c>
      <c r="M25" s="89" t="n">
        <f aca="false">$D25</f>
        <v>3</v>
      </c>
      <c r="N25" s="89" t="n">
        <f aca="false">$D25</f>
        <v>3</v>
      </c>
      <c r="O25" s="89" t="n">
        <f aca="false">$D25</f>
        <v>3</v>
      </c>
      <c r="P25" s="89" t="n">
        <f aca="false">$D25</f>
        <v>3</v>
      </c>
      <c r="Q25" s="89" t="n">
        <f aca="false">$D25</f>
        <v>3</v>
      </c>
      <c r="R25" s="89" t="n">
        <f aca="false">$D25</f>
        <v>3</v>
      </c>
      <c r="S25" s="89" t="n">
        <f aca="false">$D25</f>
        <v>3</v>
      </c>
      <c r="T25" s="89" t="n">
        <f aca="false">$D25</f>
        <v>3</v>
      </c>
      <c r="U25" s="89" t="n">
        <f aca="false">$D25</f>
        <v>3</v>
      </c>
      <c r="V25" s="89" t="n">
        <f aca="false">$D25</f>
        <v>3</v>
      </c>
      <c r="W25" s="89" t="n">
        <f aca="false">$D25</f>
        <v>3</v>
      </c>
      <c r="X25" s="89" t="n">
        <f aca="false">$D25</f>
        <v>3</v>
      </c>
      <c r="Y25" s="89" t="n">
        <f aca="false">$D25</f>
        <v>3</v>
      </c>
      <c r="Z25" s="89" t="n">
        <f aca="false">$D25</f>
        <v>3</v>
      </c>
      <c r="AA25" s="89" t="n">
        <f aca="false">$D25</f>
        <v>3</v>
      </c>
      <c r="AB25" s="89" t="n">
        <f aca="false">$D25</f>
        <v>3</v>
      </c>
      <c r="AC25" s="89" t="n">
        <f aca="false">$D25</f>
        <v>3</v>
      </c>
      <c r="AD25" s="89" t="n">
        <f aca="false">$D25</f>
        <v>3</v>
      </c>
      <c r="AE25" s="89" t="n">
        <f aca="false">$D25</f>
        <v>3</v>
      </c>
      <c r="AF25" s="89" t="n">
        <f aca="false">$D25</f>
        <v>3</v>
      </c>
    </row>
    <row r="26" customFormat="false" ht="15" hidden="false" customHeight="false" outlineLevel="0" collapsed="false">
      <c r="A26" s="2"/>
      <c r="B26" s="21" t="s">
        <v>2399</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3" t="s">
        <v>2400</v>
      </c>
      <c r="B27" s="5" t="s">
        <v>2401</v>
      </c>
      <c r="C27" s="23" t="s">
        <v>100</v>
      </c>
      <c r="D27" s="63" t="n">
        <f aca="false">Entrées!$C$8*(1+D6)</f>
        <v>7437.75</v>
      </c>
      <c r="E27" s="63" t="n">
        <f aca="false">Entrées!$C$8*(1+E6)</f>
        <v>7402.5</v>
      </c>
      <c r="F27" s="63" t="n">
        <f aca="false">Entrées!$C$8*(1+F6)</f>
        <v>7473</v>
      </c>
      <c r="G27" s="63" t="n">
        <f aca="false">Entrées!$C$8*(1+G6)</f>
        <v>7437.75</v>
      </c>
      <c r="H27" s="63" t="n">
        <f aca="false">Entrées!$C$8*(1+H6)</f>
        <v>7437.75</v>
      </c>
      <c r="I27" s="63" t="n">
        <f aca="false">Entrées!$C$8*(1+I6)</f>
        <v>7437.75</v>
      </c>
      <c r="J27" s="63" t="n">
        <f aca="false">Entrées!$C$8*(1+J6)</f>
        <v>7437.75</v>
      </c>
      <c r="K27" s="63" t="n">
        <f aca="false">Entrées!$C$8*(1+K6)</f>
        <v>7437.75</v>
      </c>
      <c r="L27" s="63" t="n">
        <f aca="false">Entrées!$C$8*(1+L6)</f>
        <v>7437.75</v>
      </c>
      <c r="M27" s="63" t="n">
        <f aca="false">Entrées!$C$8*(1+M6)</f>
        <v>7437.75</v>
      </c>
      <c r="N27" s="63" t="n">
        <f aca="false">Entrées!$C$8*(1+N6)</f>
        <v>7437.75</v>
      </c>
      <c r="O27" s="63" t="n">
        <f aca="false">Entrées!$C$8*(1+O6)</f>
        <v>7437.75</v>
      </c>
      <c r="P27" s="63" t="n">
        <f aca="false">Entrées!$C$8*(1+P6)</f>
        <v>7437.75</v>
      </c>
      <c r="Q27" s="63" t="n">
        <f aca="false">Entrées!$C$8*(1+Q6)</f>
        <v>7437.75</v>
      </c>
      <c r="R27" s="63" t="n">
        <f aca="false">Entrées!$C$8*(1+R6)</f>
        <v>7437.75</v>
      </c>
      <c r="S27" s="63" t="n">
        <f aca="false">Entrées!$C$8*(1+S6)</f>
        <v>7437.75</v>
      </c>
      <c r="T27" s="63" t="n">
        <f aca="false">Entrées!$C$8*(1+T6)</f>
        <v>7437.75</v>
      </c>
      <c r="U27" s="63" t="n">
        <f aca="false">Entrées!$C$8*(1+U6)</f>
        <v>7437.75</v>
      </c>
      <c r="V27" s="63" t="n">
        <f aca="false">Entrées!$C$8*(1+V6)</f>
        <v>7437.75</v>
      </c>
      <c r="W27" s="63" t="n">
        <f aca="false">Entrées!$C$8*(1+W6)</f>
        <v>7437.75</v>
      </c>
      <c r="X27" s="63" t="n">
        <f aca="false">Entrées!$C$8*(1+X6)</f>
        <v>7437.75</v>
      </c>
      <c r="Y27" s="63" t="n">
        <f aca="false">Entrées!$C$8*(1+Y6)</f>
        <v>7437.75</v>
      </c>
      <c r="Z27" s="63" t="n">
        <f aca="false">Entrées!$C$8*(1+Z6)</f>
        <v>7437.75</v>
      </c>
      <c r="AA27" s="63" t="n">
        <f aca="false">Entrées!$C$8*(1+AA6)</f>
        <v>7437.75</v>
      </c>
      <c r="AB27" s="63" t="n">
        <f aca="false">Entrées!$C$8*(1+AB6)</f>
        <v>7437.75</v>
      </c>
      <c r="AC27" s="63" t="n">
        <f aca="false">Entrées!$C$8*(1+AC6)</f>
        <v>7437.75</v>
      </c>
      <c r="AD27" s="63" t="n">
        <f aca="false">Entrées!$C$8*(1+AD6)</f>
        <v>7437.75</v>
      </c>
      <c r="AE27" s="63" t="n">
        <f aca="false">Entrées!$C$8*(1+AE6)</f>
        <v>7402.5</v>
      </c>
      <c r="AF27" s="63" t="n">
        <f aca="false">Entrées!$C$8*(1+AF6)</f>
        <v>7473</v>
      </c>
    </row>
    <row r="28" customFormat="false" ht="15" hidden="false" customHeight="false" outlineLevel="0" collapsed="false">
      <c r="A28" s="23" t="s">
        <v>2402</v>
      </c>
      <c r="B28" s="5" t="s">
        <v>2403</v>
      </c>
      <c r="C28" s="23" t="s">
        <v>100</v>
      </c>
      <c r="D28" s="63" t="n">
        <f aca="false">D8*D23/12/D19</f>
        <v>99.2193598750976</v>
      </c>
      <c r="E28" s="63" t="n">
        <f aca="false">E8*E23/12/E19</f>
        <v>99.2193598750976</v>
      </c>
      <c r="F28" s="63" t="n">
        <f aca="false">F8*F23/12/F19</f>
        <v>99.2193598750976</v>
      </c>
      <c r="G28" s="63" t="n">
        <f aca="false">G8*G23/12/G19</f>
        <v>99.2193598750976</v>
      </c>
      <c r="H28" s="63" t="n">
        <f aca="false">H8*H23/12/H19</f>
        <v>99.2193598750976</v>
      </c>
      <c r="I28" s="63" t="n">
        <f aca="false">I8*I23/12/I19</f>
        <v>89.2974238875878</v>
      </c>
      <c r="J28" s="63" t="n">
        <f aca="false">J8*J23/12/J19</f>
        <v>109.141295862607</v>
      </c>
      <c r="K28" s="63" t="n">
        <f aca="false">K8*K23/12/K19</f>
        <v>99.2193598750976</v>
      </c>
      <c r="L28" s="63" t="n">
        <f aca="false">L8*L23/12/L19</f>
        <v>99.2193598750976</v>
      </c>
      <c r="M28" s="63" t="n">
        <f aca="false">M8*M23/12/M19</f>
        <v>99.2193598750976</v>
      </c>
      <c r="N28" s="63" t="n">
        <f aca="false">N8*N23/12/N19</f>
        <v>99.2193598750976</v>
      </c>
      <c r="O28" s="63" t="n">
        <f aca="false">O8*O23/12/O19</f>
        <v>99.2193598750976</v>
      </c>
      <c r="P28" s="63" t="n">
        <f aca="false">P8*P23/12/P19</f>
        <v>99.2193598750976</v>
      </c>
      <c r="Q28" s="63" t="n">
        <f aca="false">Q8*Q23/12/Q19</f>
        <v>99.2193598750976</v>
      </c>
      <c r="R28" s="63" t="n">
        <f aca="false">R8*R23/12/R19</f>
        <v>99.2193598750976</v>
      </c>
      <c r="S28" s="63" t="n">
        <f aca="false">S8*S23/12/S19</f>
        <v>99.2193598750976</v>
      </c>
      <c r="T28" s="63" t="n">
        <f aca="false">T8*T23/12/T19</f>
        <v>99.2193598750976</v>
      </c>
      <c r="U28" s="63" t="n">
        <f aca="false">U8*U23/12/U19</f>
        <v>99.2193598750976</v>
      </c>
      <c r="V28" s="63" t="n">
        <f aca="false">V8*V23/12/V19</f>
        <v>99.2193598750976</v>
      </c>
      <c r="W28" s="63" t="n">
        <f aca="false">W8*W23/12/W19</f>
        <v>99.2193598750976</v>
      </c>
      <c r="X28" s="63" t="n">
        <f aca="false">X8*X23/12/X19</f>
        <v>99.2193598750976</v>
      </c>
      <c r="Y28" s="63" t="n">
        <f aca="false">Y8*Y23/12/Y19</f>
        <v>99.2193598750976</v>
      </c>
      <c r="Z28" s="63" t="n">
        <f aca="false">Z8*Z23/12/Z19</f>
        <v>99.2193598750976</v>
      </c>
      <c r="AA28" s="63" t="n">
        <f aca="false">AA8*AA23/12/AA19</f>
        <v>99.2193598750976</v>
      </c>
      <c r="AB28" s="63" t="n">
        <f aca="false">AB8*AB23/12/AB19</f>
        <v>99.2193598750976</v>
      </c>
      <c r="AC28" s="63" t="n">
        <f aca="false">AC8*AC23/12/AC19</f>
        <v>99.2193598750976</v>
      </c>
      <c r="AD28" s="63" t="n">
        <f aca="false">AD8*AD23/12/AD19</f>
        <v>99.2193598750976</v>
      </c>
      <c r="AE28" s="63" t="n">
        <f aca="false">AE8*AE23/12/AE19</f>
        <v>89.2974238875878</v>
      </c>
      <c r="AF28" s="63" t="n">
        <f aca="false">AF8*AF23/12/AF19</f>
        <v>109.141295862607</v>
      </c>
    </row>
    <row r="29" customFormat="false" ht="15" hidden="false" customHeight="false" outlineLevel="0" collapsed="false">
      <c r="A29" s="23" t="s">
        <v>2404</v>
      </c>
      <c r="B29" s="5" t="s">
        <v>2405</v>
      </c>
      <c r="C29" s="23" t="s">
        <v>100</v>
      </c>
      <c r="D29" s="63" t="n">
        <f aca="false">Entrées!$C$36*D13*1000</f>
        <v>250</v>
      </c>
      <c r="E29" s="63" t="n">
        <f aca="false">Entrées!$C$36*E13*1000</f>
        <v>250</v>
      </c>
      <c r="F29" s="63" t="n">
        <f aca="false">Entrées!$C$36*F13*1000</f>
        <v>250</v>
      </c>
      <c r="G29" s="63" t="n">
        <f aca="false">Entrées!$C$36*G13*1000</f>
        <v>250</v>
      </c>
      <c r="H29" s="63" t="n">
        <f aca="false">Entrées!$C$36*H13*1000</f>
        <v>250</v>
      </c>
      <c r="I29" s="63" t="n">
        <f aca="false">Entrées!$C$36*I13*1000</f>
        <v>250</v>
      </c>
      <c r="J29" s="63" t="n">
        <f aca="false">Entrées!$C$36*J13*1000</f>
        <v>250</v>
      </c>
      <c r="K29" s="63" t="n">
        <f aca="false">Entrées!$C$36*K13*1000</f>
        <v>250</v>
      </c>
      <c r="L29" s="63" t="n">
        <f aca="false">Entrées!$C$36*L13*1000</f>
        <v>250</v>
      </c>
      <c r="M29" s="63" t="n">
        <f aca="false">Entrées!$C$36*M13*1000</f>
        <v>250</v>
      </c>
      <c r="N29" s="63" t="n">
        <f aca="false">Entrées!$C$36*N13*1000</f>
        <v>250</v>
      </c>
      <c r="O29" s="63" t="n">
        <f aca="false">Entrées!$C$36*O13*1000</f>
        <v>250</v>
      </c>
      <c r="P29" s="63" t="n">
        <f aca="false">Entrées!$C$36*P13*1000</f>
        <v>250</v>
      </c>
      <c r="Q29" s="63" t="n">
        <f aca="false">Entrées!$C$36*Q13*1000</f>
        <v>250</v>
      </c>
      <c r="R29" s="63" t="n">
        <f aca="false">Entrées!$C$36*R13*1000</f>
        <v>250</v>
      </c>
      <c r="S29" s="63" t="n">
        <f aca="false">Entrées!$C$36*S13*1000</f>
        <v>0</v>
      </c>
      <c r="T29" s="63" t="n">
        <f aca="false">Entrées!$C$36*T13*1000</f>
        <v>500</v>
      </c>
      <c r="U29" s="63" t="n">
        <f aca="false">Entrées!$C$36*U13*1000</f>
        <v>250</v>
      </c>
      <c r="V29" s="63" t="n">
        <f aca="false">Entrées!$C$36*V13*1000</f>
        <v>250</v>
      </c>
      <c r="W29" s="63" t="n">
        <f aca="false">Entrées!$C$36*W13*1000</f>
        <v>250</v>
      </c>
      <c r="X29" s="63" t="n">
        <f aca="false">Entrées!$C$36*X13*1000</f>
        <v>250</v>
      </c>
      <c r="Y29" s="63" t="n">
        <f aca="false">Entrées!$C$36*Y13*1000</f>
        <v>250</v>
      </c>
      <c r="Z29" s="63" t="n">
        <f aca="false">Entrées!$C$36*Z13*1000</f>
        <v>250</v>
      </c>
      <c r="AA29" s="63" t="n">
        <f aca="false">Entrées!$C$36*AA13*1000</f>
        <v>250</v>
      </c>
      <c r="AB29" s="63" t="n">
        <f aca="false">Entrées!$C$36*AB13*1000</f>
        <v>250</v>
      </c>
      <c r="AC29" s="63" t="n">
        <f aca="false">Entrées!$C$36*AC13*1000</f>
        <v>250</v>
      </c>
      <c r="AD29" s="63" t="n">
        <f aca="false">Entrées!$C$36*AD13*1000</f>
        <v>250</v>
      </c>
      <c r="AE29" s="63" t="n">
        <f aca="false">Entrées!$C$36*AE13*1000</f>
        <v>500</v>
      </c>
      <c r="AF29" s="63" t="n">
        <f aca="false">Entrées!$C$36*AF13*1000</f>
        <v>0</v>
      </c>
    </row>
    <row r="30" customFormat="false" ht="15" hidden="false" customHeight="false" outlineLevel="0" collapsed="false">
      <c r="A30" s="23" t="s">
        <v>2406</v>
      </c>
      <c r="B30" s="5" t="s">
        <v>2407</v>
      </c>
      <c r="C30" s="23" t="s">
        <v>100</v>
      </c>
      <c r="D30" s="63" t="n">
        <f aca="false">-D29/D15</f>
        <v>-25</v>
      </c>
      <c r="E30" s="63" t="n">
        <f aca="false">-E29/E15</f>
        <v>-25</v>
      </c>
      <c r="F30" s="63" t="n">
        <f aca="false">-F29/F15</f>
        <v>-25</v>
      </c>
      <c r="G30" s="63" t="n">
        <f aca="false">-G29/G15</f>
        <v>-25</v>
      </c>
      <c r="H30" s="63" t="n">
        <f aca="false">-H29/H15</f>
        <v>-25</v>
      </c>
      <c r="I30" s="63" t="n">
        <f aca="false">-I29/I15</f>
        <v>-25</v>
      </c>
      <c r="J30" s="63" t="n">
        <f aca="false">-J29/J15</f>
        <v>-25</v>
      </c>
      <c r="K30" s="63" t="n">
        <f aca="false">-K29/K15</f>
        <v>-25</v>
      </c>
      <c r="L30" s="63" t="n">
        <f aca="false">-L29/L15</f>
        <v>-25</v>
      </c>
      <c r="M30" s="63" t="n">
        <f aca="false">-M29/M15</f>
        <v>-25</v>
      </c>
      <c r="N30" s="63" t="n">
        <f aca="false">-N29/N15</f>
        <v>-25</v>
      </c>
      <c r="O30" s="63" t="n">
        <f aca="false">-O29/O15</f>
        <v>-25</v>
      </c>
      <c r="P30" s="63" t="n">
        <f aca="false">-P29/P15</f>
        <v>-25</v>
      </c>
      <c r="Q30" s="63" t="n">
        <f aca="false">-Q29/Q15</f>
        <v>-25</v>
      </c>
      <c r="R30" s="63" t="n">
        <f aca="false">-R29/R15</f>
        <v>-25</v>
      </c>
      <c r="S30" s="63" t="n">
        <f aca="false">-S29/S15</f>
        <v>-0</v>
      </c>
      <c r="T30" s="63" t="n">
        <f aca="false">-T29/T15</f>
        <v>-50</v>
      </c>
      <c r="U30" s="63" t="n">
        <f aca="false">-U29/U15</f>
        <v>-25</v>
      </c>
      <c r="V30" s="63" t="n">
        <f aca="false">-V29/V15</f>
        <v>-25</v>
      </c>
      <c r="W30" s="63" t="n">
        <f aca="false">-W29/W15</f>
        <v>-31.25</v>
      </c>
      <c r="X30" s="63" t="n">
        <f aca="false">-X29/X15</f>
        <v>-20.8333333333333</v>
      </c>
      <c r="Y30" s="63" t="n">
        <f aca="false">-Y29/Y15</f>
        <v>-25</v>
      </c>
      <c r="Z30" s="63" t="n">
        <f aca="false">-Z29/Z15</f>
        <v>-25</v>
      </c>
      <c r="AA30" s="63" t="n">
        <f aca="false">-AA29/AA15</f>
        <v>-25</v>
      </c>
      <c r="AB30" s="63" t="n">
        <f aca="false">-AB29/AB15</f>
        <v>-25</v>
      </c>
      <c r="AC30" s="63" t="n">
        <f aca="false">-AC29/AC15</f>
        <v>-25</v>
      </c>
      <c r="AD30" s="63" t="n">
        <f aca="false">-AD29/AD15</f>
        <v>-25</v>
      </c>
      <c r="AE30" s="63" t="n">
        <f aca="false">-AE29/AE15</f>
        <v>-62.5</v>
      </c>
      <c r="AF30" s="63" t="n">
        <f aca="false">-AF29/AF15</f>
        <v>-0</v>
      </c>
    </row>
    <row r="31" customFormat="false" ht="15" hidden="false" customHeight="false" outlineLevel="0" collapsed="false">
      <c r="A31" s="23" t="s">
        <v>2408</v>
      </c>
      <c r="B31" s="21" t="s">
        <v>2409</v>
      </c>
      <c r="C31" s="23" t="s">
        <v>100</v>
      </c>
      <c r="D31" s="69" t="n">
        <f aca="false">D27+D28+D30</f>
        <v>7511.9693598751</v>
      </c>
      <c r="E31" s="69" t="n">
        <f aca="false">E27+E28+E30</f>
        <v>7476.7193598751</v>
      </c>
      <c r="F31" s="69" t="n">
        <f aca="false">F27+F28+F30</f>
        <v>7547.2193598751</v>
      </c>
      <c r="G31" s="69" t="n">
        <f aca="false">G27+G28+G30</f>
        <v>7511.9693598751</v>
      </c>
      <c r="H31" s="69" t="n">
        <f aca="false">H27+H28+H30</f>
        <v>7511.9693598751</v>
      </c>
      <c r="I31" s="69" t="n">
        <f aca="false">I27+I28+I30</f>
        <v>7502.04742388759</v>
      </c>
      <c r="J31" s="69" t="n">
        <f aca="false">J27+J28+J30</f>
        <v>7521.89129586261</v>
      </c>
      <c r="K31" s="69" t="n">
        <f aca="false">K27+K28+K30</f>
        <v>7511.9693598751</v>
      </c>
      <c r="L31" s="69" t="n">
        <f aca="false">L27+L28+L30</f>
        <v>7511.9693598751</v>
      </c>
      <c r="M31" s="69" t="n">
        <f aca="false">M27+M28+M30</f>
        <v>7511.9693598751</v>
      </c>
      <c r="N31" s="69" t="n">
        <f aca="false">N27+N28+N30</f>
        <v>7511.9693598751</v>
      </c>
      <c r="O31" s="69" t="n">
        <f aca="false">O27+O28+O30</f>
        <v>7511.9693598751</v>
      </c>
      <c r="P31" s="69" t="n">
        <f aca="false">P27+P28+P30</f>
        <v>7511.9693598751</v>
      </c>
      <c r="Q31" s="69" t="n">
        <f aca="false">Q27+Q28+Q30</f>
        <v>7511.9693598751</v>
      </c>
      <c r="R31" s="69" t="n">
        <f aca="false">R27+R28+R30</f>
        <v>7511.9693598751</v>
      </c>
      <c r="S31" s="69" t="n">
        <f aca="false">S27+S28+S30</f>
        <v>7536.9693598751</v>
      </c>
      <c r="T31" s="69" t="n">
        <f aca="false">T27+T28+T30</f>
        <v>7486.9693598751</v>
      </c>
      <c r="U31" s="69" t="n">
        <f aca="false">U27+U28+U30</f>
        <v>7511.9693598751</v>
      </c>
      <c r="V31" s="69" t="n">
        <f aca="false">V27+V28+V30</f>
        <v>7511.9693598751</v>
      </c>
      <c r="W31" s="69" t="n">
        <f aca="false">W27+W28+W30</f>
        <v>7505.7193598751</v>
      </c>
      <c r="X31" s="69" t="n">
        <f aca="false">X27+X28+X30</f>
        <v>7516.13602654176</v>
      </c>
      <c r="Y31" s="69" t="n">
        <f aca="false">Y27+Y28+Y30</f>
        <v>7511.9693598751</v>
      </c>
      <c r="Z31" s="69" t="n">
        <f aca="false">Z27+Z28+Z30</f>
        <v>7511.9693598751</v>
      </c>
      <c r="AA31" s="69" t="n">
        <f aca="false">AA27+AA28+AA30</f>
        <v>7511.9693598751</v>
      </c>
      <c r="AB31" s="69" t="n">
        <f aca="false">AB27+AB28+AB30</f>
        <v>7511.9693598751</v>
      </c>
      <c r="AC31" s="69" t="n">
        <f aca="false">AC27+AC28+AC30</f>
        <v>7511.9693598751</v>
      </c>
      <c r="AD31" s="69" t="n">
        <f aca="false">AD27+AD28+AD30</f>
        <v>7511.9693598751</v>
      </c>
      <c r="AE31" s="69" t="n">
        <f aca="false">AE27+AE28+AE30</f>
        <v>7429.29742388759</v>
      </c>
      <c r="AF31" s="69" t="n">
        <f aca="false">AF27+AF28+AF30</f>
        <v>7582.14129586261</v>
      </c>
    </row>
    <row r="32" customFormat="false" ht="15" hidden="false" customHeight="false" outlineLevel="0" collapsed="false">
      <c r="A32" s="23" t="s">
        <v>2410</v>
      </c>
      <c r="B32" s="21" t="s">
        <v>2411</v>
      </c>
      <c r="C32" s="23" t="s">
        <v>100</v>
      </c>
      <c r="D32" s="99" t="n">
        <f aca="false">Entrées!$C$16-D10+D21*1000-D29+D22</f>
        <v>22669</v>
      </c>
      <c r="E32" s="99" t="n">
        <f aca="false">Entrées!$C$16-E10+E21*1000-E29+E22</f>
        <v>22669</v>
      </c>
      <c r="F32" s="99" t="n">
        <f aca="false">Entrées!$C$16-F10+F21*1000-F29+F22</f>
        <v>22669</v>
      </c>
      <c r="G32" s="99" t="n">
        <f aca="false">Entrées!$C$16-G10+G21*1000-G29+G22</f>
        <v>22669</v>
      </c>
      <c r="H32" s="99" t="n">
        <f aca="false">Entrées!$C$16-H10+H21*1000-H29+H22</f>
        <v>22669</v>
      </c>
      <c r="I32" s="99" t="n">
        <f aca="false">Entrées!$C$16-I10+I21*1000-I29+I22</f>
        <v>22669</v>
      </c>
      <c r="J32" s="99" t="n">
        <f aca="false">Entrées!$C$16-J10+J21*1000-J29+J22</f>
        <v>22669</v>
      </c>
      <c r="K32" s="99" t="n">
        <f aca="false">Entrées!$C$16-K10+K21*1000-K29+K22</f>
        <v>22669</v>
      </c>
      <c r="L32" s="99" t="n">
        <f aca="false">Entrées!$C$16-L10+L21*1000-L29+L22</f>
        <v>22669</v>
      </c>
      <c r="M32" s="99" t="n">
        <f aca="false">Entrées!$C$16-M10+M21*1000-M29+M22</f>
        <v>22994.8</v>
      </c>
      <c r="N32" s="99" t="n">
        <f aca="false">Entrées!$C$16-N10+N21*1000-N29+N22</f>
        <v>22506.1</v>
      </c>
      <c r="O32" s="99" t="n">
        <f aca="false">Entrées!$C$16-O10+O21*1000-O29+O22</f>
        <v>22669</v>
      </c>
      <c r="P32" s="99" t="n">
        <f aca="false">Entrées!$C$16-P10+P21*1000-P29+P22</f>
        <v>22669</v>
      </c>
      <c r="Q32" s="99" t="n">
        <f aca="false">Entrées!$C$16-Q10+Q21*1000-Q29+Q22</f>
        <v>22669</v>
      </c>
      <c r="R32" s="99" t="n">
        <f aca="false">Entrées!$C$16-R10+R21*1000-R29+R22</f>
        <v>22669</v>
      </c>
      <c r="S32" s="99" t="n">
        <f aca="false">Entrées!$C$16-S10+S21*1000-S29+S22</f>
        <v>22919</v>
      </c>
      <c r="T32" s="99" t="n">
        <f aca="false">Entrées!$C$16-T10+T21*1000-T29+T22</f>
        <v>22419</v>
      </c>
      <c r="U32" s="99" t="n">
        <f aca="false">Entrées!$C$16-U10+U21*1000-U29+U22</f>
        <v>22669</v>
      </c>
      <c r="V32" s="99" t="n">
        <f aca="false">Entrées!$C$16-V10+V21*1000-V29+V22</f>
        <v>22669</v>
      </c>
      <c r="W32" s="99" t="n">
        <f aca="false">Entrées!$C$16-W10+W21*1000-W29+W22</f>
        <v>22669</v>
      </c>
      <c r="X32" s="99" t="n">
        <f aca="false">Entrées!$C$16-X10+X21*1000-X29+X22</f>
        <v>22669</v>
      </c>
      <c r="Y32" s="99" t="n">
        <f aca="false">Entrées!$C$16-Y10+Y21*1000-Y29+Y22</f>
        <v>22669</v>
      </c>
      <c r="Z32" s="99" t="n">
        <f aca="false">Entrées!$C$16-Z10+Z21*1000-Z29+Z22</f>
        <v>22669</v>
      </c>
      <c r="AA32" s="99" t="n">
        <f aca="false">Entrées!$C$16-AA10+AA21*1000-AA29+AA22</f>
        <v>22669</v>
      </c>
      <c r="AB32" s="99" t="n">
        <f aca="false">Entrées!$C$16-AB10+AB21*1000-AB29+AB22</f>
        <v>22669</v>
      </c>
      <c r="AC32" s="99" t="n">
        <f aca="false">Entrées!$C$16-AC10+AC21*1000-AC29+AC22</f>
        <v>22669</v>
      </c>
      <c r="AD32" s="99" t="n">
        <f aca="false">Entrées!$C$16-AD10+AD21*1000-AD29+AD22</f>
        <v>22669</v>
      </c>
      <c r="AE32" s="99" t="n">
        <f aca="false">Entrées!$C$16-AE10+AE21*1000-AE29+AE22</f>
        <v>22744.8</v>
      </c>
      <c r="AF32" s="99" t="n">
        <f aca="false">Entrées!$C$16-AF10+AF21*1000-AF29+AF22</f>
        <v>22756.1</v>
      </c>
    </row>
    <row r="33" customFormat="false" ht="15" hidden="false" customHeight="false" outlineLevel="0" collapsed="false">
      <c r="A33" s="23" t="s">
        <v>2412</v>
      </c>
      <c r="B33" s="21" t="s">
        <v>2413</v>
      </c>
      <c r="C33" s="23" t="s">
        <v>130</v>
      </c>
      <c r="D33" s="100" t="n">
        <f aca="false">D32/D31</f>
        <v>3.01771731406222</v>
      </c>
      <c r="E33" s="100" t="n">
        <f aca="false">E32/E31</f>
        <v>3.03194474860946</v>
      </c>
      <c r="F33" s="100" t="n">
        <f aca="false">F32/F31</f>
        <v>3.00362278066543</v>
      </c>
      <c r="G33" s="100" t="n">
        <f aca="false">G32/G31</f>
        <v>3.01771731406222</v>
      </c>
      <c r="H33" s="100" t="n">
        <f aca="false">H32/H31</f>
        <v>3.01771731406222</v>
      </c>
      <c r="I33" s="100" t="n">
        <f aca="false">I32/I31</f>
        <v>3.02170843759514</v>
      </c>
      <c r="J33" s="100" t="n">
        <f aca="false">J32/J31</f>
        <v>3.01373671970891</v>
      </c>
      <c r="K33" s="100" t="n">
        <f aca="false">K32/K31</f>
        <v>3.01771731406222</v>
      </c>
      <c r="L33" s="100" t="n">
        <f aca="false">L32/L31</f>
        <v>3.01771731406222</v>
      </c>
      <c r="M33" s="100" t="n">
        <f aca="false">M32/M31</f>
        <v>3.06108809799277</v>
      </c>
      <c r="N33" s="100" t="n">
        <f aca="false">N32/N31</f>
        <v>2.99603192209695</v>
      </c>
      <c r="O33" s="100" t="n">
        <f aca="false">O32/O31</f>
        <v>3.01771731406222</v>
      </c>
      <c r="P33" s="100" t="n">
        <f aca="false">P32/P31</f>
        <v>3.01771731406222</v>
      </c>
      <c r="Q33" s="100" t="n">
        <f aca="false">Q32/Q31</f>
        <v>3.01771731406222</v>
      </c>
      <c r="R33" s="100" t="n">
        <f aca="false">R32/R31</f>
        <v>3.01771731406222</v>
      </c>
      <c r="S33" s="100" t="n">
        <f aca="false">S32/S31</f>
        <v>3.04087742773838</v>
      </c>
      <c r="T33" s="100" t="n">
        <f aca="false">T32/T31</f>
        <v>2.99440253090257</v>
      </c>
      <c r="U33" s="100" t="n">
        <f aca="false">U32/U31</f>
        <v>3.01771731406222</v>
      </c>
      <c r="V33" s="100" t="n">
        <f aca="false">V32/V31</f>
        <v>3.01771731406222</v>
      </c>
      <c r="W33" s="100" t="n">
        <f aca="false">W32/W31</f>
        <v>3.02023016223954</v>
      </c>
      <c r="X33" s="100" t="n">
        <f aca="false">X32/X31</f>
        <v>3.01604440366019</v>
      </c>
      <c r="Y33" s="100" t="n">
        <f aca="false">Y32/Y31</f>
        <v>3.01771731406222</v>
      </c>
      <c r="Z33" s="100" t="n">
        <f aca="false">Z32/Z31</f>
        <v>3.01771731406222</v>
      </c>
      <c r="AA33" s="100" t="n">
        <f aca="false">AA32/AA31</f>
        <v>3.01771731406222</v>
      </c>
      <c r="AB33" s="100" t="n">
        <f aca="false">AB32/AB31</f>
        <v>3.01771731406222</v>
      </c>
      <c r="AC33" s="100" t="n">
        <f aca="false">AC32/AC31</f>
        <v>3.01771731406222</v>
      </c>
      <c r="AD33" s="100" t="n">
        <f aca="false">AD32/AD31</f>
        <v>3.01771731406222</v>
      </c>
      <c r="AE33" s="100" t="n">
        <f aca="false">AE32/AE31</f>
        <v>3.06150079910223</v>
      </c>
      <c r="AF33" s="100" t="n">
        <f aca="false">AF32/AF31</f>
        <v>3.00127617147117</v>
      </c>
    </row>
    <row r="34" customFormat="false" ht="15" hidden="false" customHeight="false" outlineLevel="0" collapsed="false">
      <c r="A34" s="23" t="s">
        <v>2414</v>
      </c>
      <c r="B34" s="5" t="s">
        <v>2415</v>
      </c>
      <c r="C34" s="23" t="s">
        <v>130</v>
      </c>
      <c r="D34" s="74" t="n">
        <f aca="false">D32/(D31+D8*(12-D23)/12/D19)</f>
        <v>2.98951303335295</v>
      </c>
      <c r="E34" s="74" t="n">
        <f aca="false">E32/(E31+E8*(12-E23)/12/E19)</f>
        <v>3.00347514971078</v>
      </c>
      <c r="F34" s="74" t="n">
        <f aca="false">F32/(F31+F8*(12-F23)/12/F19)</f>
        <v>2.97568012643743</v>
      </c>
      <c r="G34" s="74" t="n">
        <f aca="false">G32/(G31+G8*(12-G23)/12/G19)</f>
        <v>2.98951303335295</v>
      </c>
      <c r="H34" s="74" t="n">
        <f aca="false">H32/(H31+H8*(12-H23)/12/H19)</f>
        <v>2.98951303335295</v>
      </c>
      <c r="I34" s="74" t="n">
        <f aca="false">I32/(I31+I8*(12-I23)/12/I19)</f>
        <v>2.99623387131481</v>
      </c>
      <c r="J34" s="74" t="n">
        <f aca="false">J32/(J31+J8*(12-J23)/12/J19)</f>
        <v>2.98282227887038</v>
      </c>
      <c r="K34" s="74" t="n">
        <f aca="false">K32/(K31+K8*(12-K23)/12/K19)</f>
        <v>2.98951303335295</v>
      </c>
      <c r="L34" s="74" t="n">
        <f aca="false">L32/(L31+L8*(12-L23)/12/L19)</f>
        <v>2.98951303335295</v>
      </c>
      <c r="M34" s="74" t="n">
        <f aca="false">M32/(M31+M8*(12-M23)/12/M19)</f>
        <v>3.03247846395273</v>
      </c>
      <c r="N34" s="74" t="n">
        <f aca="false">N32/(N31+N8*(12-N23)/12/N19)</f>
        <v>2.96803031805306</v>
      </c>
      <c r="O34" s="74" t="n">
        <f aca="false">O32/(O31+O8*(12-O23)/12/O19)</f>
        <v>2.98951303335295</v>
      </c>
      <c r="P34" s="74" t="n">
        <f aca="false">P32/(P31+P8*(12-P23)/12/P19)</f>
        <v>2.98951303335295</v>
      </c>
      <c r="Q34" s="74" t="n">
        <f aca="false">Q32/(Q31+Q8*(12-Q23)/12/Q19)</f>
        <v>2.98951303335295</v>
      </c>
      <c r="R34" s="74" t="n">
        <f aca="false">R32/(R31+R8*(12-R23)/12/R19)</f>
        <v>2.98951303335295</v>
      </c>
      <c r="S34" s="74" t="n">
        <f aca="false">S32/(S31+S8*(12-S23)/12/S19)</f>
        <v>3.01255008020672</v>
      </c>
      <c r="T34" s="74" t="n">
        <f aca="false">T32/(T31+T8*(12-T23)/12/T19)</f>
        <v>2.96632358154059</v>
      </c>
      <c r="U34" s="74" t="n">
        <f aca="false">U32/(U31+U8*(12-U23)/12/U19)</f>
        <v>2.98951303335295</v>
      </c>
      <c r="V34" s="74" t="n">
        <f aca="false">V32/(V31+V8*(12-V23)/12/V19)</f>
        <v>2.98951303335295</v>
      </c>
      <c r="W34" s="74" t="n">
        <f aca="false">W32/(W31+W8*(12-W23)/12/W19)</f>
        <v>2.99197911052509</v>
      </c>
      <c r="X34" s="74" t="n">
        <f aca="false">X32/(X31+X8*(12-X23)/12/X19)</f>
        <v>2.9878712391238</v>
      </c>
      <c r="Y34" s="74" t="n">
        <f aca="false">Y32/(Y31+Y8*(12-Y23)/12/Y19)</f>
        <v>2.98951303335295</v>
      </c>
      <c r="Z34" s="74" t="n">
        <f aca="false">Z32/(Z31+Z8*(12-Z23)/12/Z19)</f>
        <v>2.98951303335295</v>
      </c>
      <c r="AA34" s="74" t="n">
        <f aca="false">AA32/(AA31+AA8*(12-AA23)/12/AA19)</f>
        <v>2.98951303335295</v>
      </c>
      <c r="AB34" s="74" t="n">
        <f aca="false">AB32/(AB31+AB8*(12-AB23)/12/AB19)</f>
        <v>2.98951303335295</v>
      </c>
      <c r="AC34" s="74" t="n">
        <f aca="false">AC32/(AC31+AC8*(12-AC23)/12/AC19)</f>
        <v>2.98951303335295</v>
      </c>
      <c r="AD34" s="74" t="n">
        <f aca="false">AD32/(AD31+AD8*(12-AD23)/12/AD19)</f>
        <v>2.98951303335295</v>
      </c>
      <c r="AE34" s="74" t="n">
        <f aca="false">AE32/(AE31+AE8*(12-AE23)/12/AE19)</f>
        <v>3.03544017409614</v>
      </c>
      <c r="AF34" s="74"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3" t="s">
        <v>2416</v>
      </c>
      <c r="B36" s="5" t="s">
        <v>2417</v>
      </c>
      <c r="C36" s="23" t="s">
        <v>100</v>
      </c>
      <c r="D36" s="63" t="n">
        <f aca="false">(D27+D30+D8/D19)*(1+D7)</f>
        <v>7999.89654943125</v>
      </c>
      <c r="E36" s="63" t="n">
        <f aca="false">(E27+E30+E8/E19)*(1+E7)</f>
        <v>7962.70779943125</v>
      </c>
      <c r="F36" s="63" t="n">
        <f aca="false">(F27+F30+F8/F19)*(1+F7)</f>
        <v>8037.08529943125</v>
      </c>
      <c r="G36" s="63" t="n">
        <f aca="false">(G27+G30+G8/G19)*(1+G7)</f>
        <v>7886.15394446303</v>
      </c>
      <c r="H36" s="63" t="n">
        <f aca="false">(H27+H30+H8/H19)*(1+H7)</f>
        <v>8113.63915439947</v>
      </c>
      <c r="I36" s="63" t="n">
        <f aca="false">(I27+I30+I8/I19)*(1+I7)</f>
        <v>7981.95201948812</v>
      </c>
      <c r="J36" s="63" t="n">
        <f aca="false">(J27+J30+J8/J19)*(1+J7)</f>
        <v>8017.84107937437</v>
      </c>
      <c r="K36" s="63" t="n">
        <f aca="false">(K27+K30+K8/K19)*(1+K7)</f>
        <v>7999.89654943125</v>
      </c>
      <c r="L36" s="63" t="n">
        <f aca="false">(L27+L30+L8/L19)*(1+L7)</f>
        <v>7999.89654943125</v>
      </c>
      <c r="M36" s="63" t="n">
        <f aca="false">(M27+M30+M8/M19)*(1+M7)</f>
        <v>7999.89654943125</v>
      </c>
      <c r="N36" s="63" t="n">
        <f aca="false">(N27+N30+N8/N19)*(1+N7)</f>
        <v>7999.89654943125</v>
      </c>
      <c r="O36" s="63" t="n">
        <f aca="false">(O27+O30+O8/O19)*(1+O7)</f>
        <v>7999.89654943125</v>
      </c>
      <c r="P36" s="63" t="n">
        <f aca="false">(P27+P30+P8/P19)*(1+P7)</f>
        <v>7999.89654943125</v>
      </c>
      <c r="Q36" s="63" t="n">
        <f aca="false">(Q27+Q30+Q8/Q19)*(1+Q7)</f>
        <v>7999.89654943125</v>
      </c>
      <c r="R36" s="63" t="n">
        <f aca="false">(R27+R30+R8/R19)*(1+R7)</f>
        <v>7999.89654943125</v>
      </c>
      <c r="S36" s="63" t="n">
        <f aca="false">(S27+S30+S8/S19)*(1+S7)</f>
        <v>8026.27154943125</v>
      </c>
      <c r="T36" s="63" t="n">
        <f aca="false">(T27+T30+T8/T19)*(1+T7)</f>
        <v>7973.52154943125</v>
      </c>
      <c r="U36" s="63" t="n">
        <f aca="false">(U27+U30+U8/U19)*(1+U7)</f>
        <v>7999.89654943125</v>
      </c>
      <c r="V36" s="63" t="n">
        <f aca="false">(V27+V30+V8/V19)*(1+V7)</f>
        <v>7999.89654943125</v>
      </c>
      <c r="W36" s="63" t="n">
        <f aca="false">(W27+W30+W8/W19)*(1+W7)</f>
        <v>7993.30279943125</v>
      </c>
      <c r="X36" s="63" t="n">
        <f aca="false">(X27+X30+X8/X19)*(1+X7)</f>
        <v>8004.29238276458</v>
      </c>
      <c r="Y36" s="63" t="n">
        <f aca="false">(Y27+Y30+Y8/Y19)*(1+Y7)</f>
        <v>7999.89654943125</v>
      </c>
      <c r="Z36" s="63" t="n">
        <f aca="false">(Z27+Z30+Z8/Z19)*(1+Z7)</f>
        <v>7999.89654943125</v>
      </c>
      <c r="AA36" s="63" t="n">
        <f aca="false">(AA27+AA30+AA8/AA19)*(1+AA7)</f>
        <v>7999.89654943125</v>
      </c>
      <c r="AB36" s="63" t="n">
        <f aca="false">(AB27+AB30+AB8/AB19)*(1+AB7)</f>
        <v>7999.89654943125</v>
      </c>
      <c r="AC36" s="63" t="n">
        <f aca="false">(AC27+AC30+AC8/AC19)*(1+AC7)</f>
        <v>7999.89654943125</v>
      </c>
      <c r="AD36" s="63" t="n">
        <f aca="false">(AD27+AD30+AD8/AD19)*(1+AD7)</f>
        <v>7999.89654943125</v>
      </c>
      <c r="AE36" s="63" t="n">
        <f aca="false">(AE27+AE30+AE8/AE19)*(1+AE7)</f>
        <v>7792.80455001673</v>
      </c>
      <c r="AF36" s="63" t="n">
        <f aca="false">(AF27+AF30+AF8/AF19)*(1+AF7)</f>
        <v>8196.30631983941</v>
      </c>
    </row>
    <row r="37" customFormat="false" ht="15" hidden="false" customHeight="false" outlineLevel="0" collapsed="false">
      <c r="A37" s="23" t="s">
        <v>2418</v>
      </c>
      <c r="B37" s="5" t="s">
        <v>2419</v>
      </c>
      <c r="C37" s="23" t="s">
        <v>100</v>
      </c>
      <c r="D37" s="63" t="n">
        <f aca="false">Entrées!$C$54*D9/D19</f>
        <v>25.513549682168</v>
      </c>
      <c r="E37" s="63" t="n">
        <f aca="false">Entrées!$C$54*E9/E19</f>
        <v>25.513549682168</v>
      </c>
      <c r="F37" s="63" t="n">
        <f aca="false">Entrées!$C$54*F9/F19</f>
        <v>25.513549682168</v>
      </c>
      <c r="G37" s="63" t="n">
        <f aca="false">Entrées!$C$54*G9/G19</f>
        <v>25.513549682168</v>
      </c>
      <c r="H37" s="63" t="n">
        <f aca="false">Entrées!$C$54*H9/H19</f>
        <v>25.513549682168</v>
      </c>
      <c r="I37" s="63" t="n">
        <f aca="false">Entrées!$C$54*I9/I19</f>
        <v>25.513549682168</v>
      </c>
      <c r="J37" s="63" t="n">
        <f aca="false">Entrées!$C$54*J9/J19</f>
        <v>25.513549682168</v>
      </c>
      <c r="K37" s="63" t="n">
        <f aca="false">Entrées!$C$54*K9/K19</f>
        <v>0</v>
      </c>
      <c r="L37" s="63" t="n">
        <f aca="false">Entrées!$C$54*L9/L19</f>
        <v>51.0270993643359</v>
      </c>
      <c r="M37" s="63" t="n">
        <f aca="false">Entrées!$C$54*M9/M19</f>
        <v>25.513549682168</v>
      </c>
      <c r="N37" s="63" t="n">
        <f aca="false">Entrées!$C$54*N9/N19</f>
        <v>25.513549682168</v>
      </c>
      <c r="O37" s="63" t="n">
        <f aca="false">Entrées!$C$54*O9/O19</f>
        <v>25.513549682168</v>
      </c>
      <c r="P37" s="63" t="n">
        <f aca="false">Entrées!$C$54*P9/P19</f>
        <v>25.513549682168</v>
      </c>
      <c r="Q37" s="63" t="n">
        <f aca="false">Entrées!$C$54*Q9/Q19</f>
        <v>25.513549682168</v>
      </c>
      <c r="R37" s="63" t="n">
        <f aca="false">Entrées!$C$54*R9/R19</f>
        <v>25.513549682168</v>
      </c>
      <c r="S37" s="63" t="n">
        <f aca="false">Entrées!$C$54*S9/S19</f>
        <v>25.513549682168</v>
      </c>
      <c r="T37" s="63" t="n">
        <f aca="false">Entrées!$C$54*T9/T19</f>
        <v>25.513549682168</v>
      </c>
      <c r="U37" s="63" t="n">
        <f aca="false">Entrées!$C$54*U9/U19</f>
        <v>25.513549682168</v>
      </c>
      <c r="V37" s="63" t="n">
        <f aca="false">Entrées!$C$54*V9/V19</f>
        <v>25.513549682168</v>
      </c>
      <c r="W37" s="63" t="n">
        <f aca="false">Entrées!$C$54*W9/W19</f>
        <v>25.513549682168</v>
      </c>
      <c r="X37" s="63" t="n">
        <f aca="false">Entrées!$C$54*X9/X19</f>
        <v>25.513549682168</v>
      </c>
      <c r="Y37" s="63" t="n">
        <f aca="false">Entrées!$C$54*Y9/Y19</f>
        <v>25.513549682168</v>
      </c>
      <c r="Z37" s="63" t="n">
        <f aca="false">Entrées!$C$54*Z9/Z19</f>
        <v>25.513549682168</v>
      </c>
      <c r="AA37" s="63" t="n">
        <f aca="false">Entrées!$C$54*AA9/AA19</f>
        <v>25.513549682168</v>
      </c>
      <c r="AB37" s="63" t="n">
        <f aca="false">Entrées!$C$54*AB9/AB19</f>
        <v>25.513549682168</v>
      </c>
      <c r="AC37" s="63" t="n">
        <f aca="false">Entrées!$C$54*AC9/AC19</f>
        <v>25.513549682168</v>
      </c>
      <c r="AD37" s="63" t="n">
        <f aca="false">Entrées!$C$54*AD9/AD19</f>
        <v>25.513549682168</v>
      </c>
      <c r="AE37" s="63" t="n">
        <f aca="false">Entrées!$C$54*AE9/AE19</f>
        <v>0</v>
      </c>
      <c r="AF37" s="63" t="n">
        <f aca="false">Entrées!$C$54*AF9/AF19</f>
        <v>51.0270993643359</v>
      </c>
    </row>
    <row r="38" customFormat="false" ht="15" hidden="false" customHeight="false" outlineLevel="0" collapsed="false">
      <c r="A38" s="23" t="s">
        <v>2420</v>
      </c>
      <c r="B38" s="5" t="s">
        <v>2421</v>
      </c>
      <c r="C38" s="23" t="s">
        <v>100</v>
      </c>
      <c r="D38" s="63" t="n">
        <f aca="false">D16*1000/D18</f>
        <v>51.0204081632653</v>
      </c>
      <c r="E38" s="63" t="n">
        <f aca="false">E16*1000/E18</f>
        <v>51.0204081632653</v>
      </c>
      <c r="F38" s="63" t="n">
        <f aca="false">F16*1000/F18</f>
        <v>51.0204081632653</v>
      </c>
      <c r="G38" s="63" t="n">
        <f aca="false">G16*1000/G18</f>
        <v>51.0204081632653</v>
      </c>
      <c r="H38" s="63" t="n">
        <f aca="false">H16*1000/H18</f>
        <v>51.0204081632653</v>
      </c>
      <c r="I38" s="63" t="n">
        <f aca="false">I16*1000/I18</f>
        <v>51.0204081632653</v>
      </c>
      <c r="J38" s="63" t="n">
        <f aca="false">J16*1000/J18</f>
        <v>51.0204081632653</v>
      </c>
      <c r="K38" s="63" t="n">
        <f aca="false">K16*1000/K18</f>
        <v>51.0204081632653</v>
      </c>
      <c r="L38" s="63" t="n">
        <f aca="false">L16*1000/L18</f>
        <v>51.0204081632653</v>
      </c>
      <c r="M38" s="63" t="n">
        <f aca="false">M16*1000/M18</f>
        <v>51.0204081632653</v>
      </c>
      <c r="N38" s="63" t="n">
        <f aca="false">N16*1000/N18</f>
        <v>51.0204081632653</v>
      </c>
      <c r="O38" s="63" t="n">
        <f aca="false">O16*1000/O18</f>
        <v>51.0204081632653</v>
      </c>
      <c r="P38" s="63" t="n">
        <f aca="false">P16*1000/P18</f>
        <v>51.0204081632653</v>
      </c>
      <c r="Q38" s="63" t="n">
        <f aca="false">Q16*1000/Q18</f>
        <v>51.0204081632653</v>
      </c>
      <c r="R38" s="63" t="n">
        <f aca="false">R16*1000/R18</f>
        <v>51.0204081632653</v>
      </c>
      <c r="S38" s="63" t="n">
        <f aca="false">S16*1000/S18</f>
        <v>51.0204081632653</v>
      </c>
      <c r="T38" s="63" t="n">
        <f aca="false">T16*1000/T18</f>
        <v>51.0204081632653</v>
      </c>
      <c r="U38" s="63" t="n">
        <f aca="false">U16*1000/U18</f>
        <v>51.0204081632653</v>
      </c>
      <c r="V38" s="63" t="n">
        <f aca="false">V16*1000/V18</f>
        <v>51.0204081632653</v>
      </c>
      <c r="W38" s="63" t="n">
        <f aca="false">W16*1000/W18</f>
        <v>51.0204081632653</v>
      </c>
      <c r="X38" s="63" t="n">
        <f aca="false">X16*1000/X18</f>
        <v>51.0204081632653</v>
      </c>
      <c r="Y38" s="63" t="n">
        <f aca="false">Y16*1000/Y18</f>
        <v>0</v>
      </c>
      <c r="Z38" s="63" t="n">
        <f aca="false">Z16*1000/Z18</f>
        <v>102.040816326531</v>
      </c>
      <c r="AA38" s="63" t="n">
        <f aca="false">AA16*1000/AA18</f>
        <v>51.0204081632653</v>
      </c>
      <c r="AB38" s="63" t="n">
        <f aca="false">AB16*1000/AB18</f>
        <v>51.0204081632653</v>
      </c>
      <c r="AC38" s="63" t="n">
        <f aca="false">AC16*1000/AC18</f>
        <v>67.5675675675676</v>
      </c>
      <c r="AD38" s="63" t="n">
        <f aca="false">AD16*1000/AD18</f>
        <v>45.4545454545455</v>
      </c>
      <c r="AE38" s="63" t="n">
        <f aca="false">AE16*1000/AE18</f>
        <v>90.9090909090909</v>
      </c>
      <c r="AF38" s="63" t="n">
        <f aca="false">AF16*1000/AF18</f>
        <v>0</v>
      </c>
    </row>
    <row r="39" customFormat="false" ht="15" hidden="false" customHeight="false" outlineLevel="0" collapsed="false">
      <c r="A39" s="23" t="s">
        <v>2422</v>
      </c>
      <c r="B39" s="5" t="s">
        <v>2423</v>
      </c>
      <c r="C39" s="23" t="s">
        <v>100</v>
      </c>
      <c r="D39" s="63" t="n">
        <f aca="false">(Entrées!$C$36*(1-D13)+MAX(0,Entrées!$C$30-Entrées!$C$35-Entrées!$C$36)*D14)*1000</f>
        <v>950</v>
      </c>
      <c r="E39" s="63" t="n">
        <f aca="false">(Entrées!$C$36*(1-E13)+MAX(0,Entrées!$C$30-Entrées!$C$35-Entrées!$C$36)*E14)*1000</f>
        <v>950</v>
      </c>
      <c r="F39" s="63" t="n">
        <f aca="false">(Entrées!$C$36*(1-F13)+MAX(0,Entrées!$C$30-Entrées!$C$35-Entrées!$C$36)*F14)*1000</f>
        <v>950</v>
      </c>
      <c r="G39" s="63" t="n">
        <f aca="false">(Entrées!$C$36*(1-G13)+MAX(0,Entrées!$C$30-Entrées!$C$35-Entrées!$C$36)*G14)*1000</f>
        <v>950</v>
      </c>
      <c r="H39" s="63" t="n">
        <f aca="false">(Entrées!$C$36*(1-H13)+MAX(0,Entrées!$C$30-Entrées!$C$35-Entrées!$C$36)*H14)*1000</f>
        <v>950</v>
      </c>
      <c r="I39" s="63" t="n">
        <f aca="false">(Entrées!$C$36*(1-I13)+MAX(0,Entrées!$C$30-Entrées!$C$35-Entrées!$C$36)*I14)*1000</f>
        <v>950</v>
      </c>
      <c r="J39" s="63" t="n">
        <f aca="false">(Entrées!$C$36*(1-J13)+MAX(0,Entrées!$C$30-Entrées!$C$35-Entrées!$C$36)*J14)*1000</f>
        <v>950</v>
      </c>
      <c r="K39" s="63" t="n">
        <f aca="false">(Entrées!$C$36*(1-K13)+MAX(0,Entrées!$C$30-Entrées!$C$35-Entrées!$C$36)*K14)*1000</f>
        <v>950</v>
      </c>
      <c r="L39" s="63" t="n">
        <f aca="false">(Entrées!$C$36*(1-L13)+MAX(0,Entrées!$C$30-Entrées!$C$35-Entrées!$C$36)*L14)*1000</f>
        <v>950</v>
      </c>
      <c r="M39" s="63" t="n">
        <f aca="false">(Entrées!$C$36*(1-M13)+MAX(0,Entrées!$C$30-Entrées!$C$35-Entrées!$C$36)*M14)*1000</f>
        <v>950</v>
      </c>
      <c r="N39" s="63" t="n">
        <f aca="false">(Entrées!$C$36*(1-N13)+MAX(0,Entrées!$C$30-Entrées!$C$35-Entrées!$C$36)*N14)*1000</f>
        <v>950</v>
      </c>
      <c r="O39" s="63" t="n">
        <f aca="false">(Entrées!$C$36*(1-O13)+MAX(0,Entrées!$C$30-Entrées!$C$35-Entrées!$C$36)*O14)*1000</f>
        <v>950</v>
      </c>
      <c r="P39" s="63" t="n">
        <f aca="false">(Entrées!$C$36*(1-P13)+MAX(0,Entrées!$C$30-Entrées!$C$35-Entrées!$C$36)*P14)*1000</f>
        <v>950</v>
      </c>
      <c r="Q39" s="63" t="n">
        <f aca="false">(Entrées!$C$36*(1-Q13)+MAX(0,Entrées!$C$30-Entrées!$C$35-Entrées!$C$36)*Q14)*1000</f>
        <v>950</v>
      </c>
      <c r="R39" s="63" t="n">
        <f aca="false">(Entrées!$C$36*(1-R13)+MAX(0,Entrées!$C$30-Entrées!$C$35-Entrées!$C$36)*R14)*1000</f>
        <v>950</v>
      </c>
      <c r="S39" s="63" t="n">
        <f aca="false">(Entrées!$C$36*(1-S13)+MAX(0,Entrées!$C$30-Entrées!$C$35-Entrées!$C$36)*S14)*1000</f>
        <v>1200</v>
      </c>
      <c r="T39" s="63" t="n">
        <f aca="false">(Entrées!$C$36*(1-T13)+MAX(0,Entrées!$C$30-Entrées!$C$35-Entrées!$C$36)*T14)*1000</f>
        <v>700</v>
      </c>
      <c r="U39" s="63" t="n">
        <f aca="false">(Entrées!$C$36*(1-U13)+MAX(0,Entrées!$C$30-Entrées!$C$35-Entrées!$C$36)*U14)*1000</f>
        <v>250</v>
      </c>
      <c r="V39" s="63" t="n">
        <f aca="false">(Entrées!$C$36*(1-V13)+MAX(0,Entrées!$C$30-Entrées!$C$35-Entrées!$C$36)*V14)*1000</f>
        <v>1650</v>
      </c>
      <c r="W39" s="63" t="n">
        <f aca="false">(Entrées!$C$36*(1-W13)+MAX(0,Entrées!$C$30-Entrées!$C$35-Entrées!$C$36)*W14)*1000</f>
        <v>950</v>
      </c>
      <c r="X39" s="63" t="n">
        <f aca="false">(Entrées!$C$36*(1-X13)+MAX(0,Entrées!$C$30-Entrées!$C$35-Entrées!$C$36)*X14)*1000</f>
        <v>950</v>
      </c>
      <c r="Y39" s="63" t="n">
        <f aca="false">(Entrées!$C$36*(1-Y13)+MAX(0,Entrées!$C$30-Entrées!$C$35-Entrées!$C$36)*Y14)*1000</f>
        <v>950</v>
      </c>
      <c r="Z39" s="63" t="n">
        <f aca="false">(Entrées!$C$36*(1-Z13)+MAX(0,Entrées!$C$30-Entrées!$C$35-Entrées!$C$36)*Z14)*1000</f>
        <v>950</v>
      </c>
      <c r="AA39" s="63" t="n">
        <f aca="false">(Entrées!$C$36*(1-AA13)+MAX(0,Entrées!$C$30-Entrées!$C$35-Entrées!$C$36)*AA14)*1000</f>
        <v>950</v>
      </c>
      <c r="AB39" s="63" t="n">
        <f aca="false">(Entrées!$C$36*(1-AB13)+MAX(0,Entrées!$C$30-Entrées!$C$35-Entrées!$C$36)*AB14)*1000</f>
        <v>950</v>
      </c>
      <c r="AC39" s="63" t="n">
        <f aca="false">(Entrées!$C$36*(1-AC13)+MAX(0,Entrées!$C$30-Entrées!$C$35-Entrées!$C$36)*AC14)*1000</f>
        <v>950</v>
      </c>
      <c r="AD39" s="63" t="n">
        <f aca="false">(Entrées!$C$36*(1-AD13)+MAX(0,Entrées!$C$30-Entrées!$C$35-Entrées!$C$36)*AD14)*1000</f>
        <v>950</v>
      </c>
      <c r="AE39" s="63" t="n">
        <f aca="false">(Entrées!$C$36*(1-AE13)+MAX(0,Entrées!$C$30-Entrées!$C$35-Entrées!$C$36)*AE14)*1000</f>
        <v>0</v>
      </c>
      <c r="AF39" s="63" t="n">
        <f aca="false">(Entrées!$C$36*(1-AF13)+MAX(0,Entrées!$C$30-Entrées!$C$35-Entrées!$C$36)*AF14)*1000</f>
        <v>1900</v>
      </c>
    </row>
    <row r="40" customFormat="false" ht="15" hidden="false" customHeight="false" outlineLevel="0" collapsed="false">
      <c r="A40" s="23" t="s">
        <v>2424</v>
      </c>
      <c r="B40" s="5" t="s">
        <v>2425</v>
      </c>
      <c r="C40" s="23" t="s">
        <v>100</v>
      </c>
      <c r="D40" s="63" t="n">
        <f aca="false">-D39/D15</f>
        <v>-95</v>
      </c>
      <c r="E40" s="63" t="n">
        <f aca="false">-E39/E15</f>
        <v>-95</v>
      </c>
      <c r="F40" s="63" t="n">
        <f aca="false">-F39/F15</f>
        <v>-95</v>
      </c>
      <c r="G40" s="63" t="n">
        <f aca="false">-G39/G15</f>
        <v>-95</v>
      </c>
      <c r="H40" s="63" t="n">
        <f aca="false">-H39/H15</f>
        <v>-95</v>
      </c>
      <c r="I40" s="63" t="n">
        <f aca="false">-I39/I15</f>
        <v>-95</v>
      </c>
      <c r="J40" s="63" t="n">
        <f aca="false">-J39/J15</f>
        <v>-95</v>
      </c>
      <c r="K40" s="63" t="n">
        <f aca="false">-K39/K15</f>
        <v>-95</v>
      </c>
      <c r="L40" s="63" t="n">
        <f aca="false">-L39/L15</f>
        <v>-95</v>
      </c>
      <c r="M40" s="63" t="n">
        <f aca="false">-M39/M15</f>
        <v>-95</v>
      </c>
      <c r="N40" s="63" t="n">
        <f aca="false">-N39/N15</f>
        <v>-95</v>
      </c>
      <c r="O40" s="63" t="n">
        <f aca="false">-O39/O15</f>
        <v>-95</v>
      </c>
      <c r="P40" s="63" t="n">
        <f aca="false">-P39/P15</f>
        <v>-95</v>
      </c>
      <c r="Q40" s="63" t="n">
        <f aca="false">-Q39/Q15</f>
        <v>-95</v>
      </c>
      <c r="R40" s="63" t="n">
        <f aca="false">-R39/R15</f>
        <v>-95</v>
      </c>
      <c r="S40" s="63" t="n">
        <f aca="false">-S39/S15</f>
        <v>-120</v>
      </c>
      <c r="T40" s="63" t="n">
        <f aca="false">-T39/T15</f>
        <v>-70</v>
      </c>
      <c r="U40" s="63" t="n">
        <f aca="false">-U39/U15</f>
        <v>-25</v>
      </c>
      <c r="V40" s="63" t="n">
        <f aca="false">-V39/V15</f>
        <v>-165</v>
      </c>
      <c r="W40" s="63" t="n">
        <f aca="false">-W39/W15</f>
        <v>-118.75</v>
      </c>
      <c r="X40" s="63" t="n">
        <f aca="false">-X39/X15</f>
        <v>-79.1666666666667</v>
      </c>
      <c r="Y40" s="63" t="n">
        <f aca="false">-Y39/Y15</f>
        <v>-95</v>
      </c>
      <c r="Z40" s="63" t="n">
        <f aca="false">-Z39/Z15</f>
        <v>-95</v>
      </c>
      <c r="AA40" s="63" t="n">
        <f aca="false">-AA39/AA15</f>
        <v>-95</v>
      </c>
      <c r="AB40" s="63" t="n">
        <f aca="false">-AB39/AB15</f>
        <v>-95</v>
      </c>
      <c r="AC40" s="63" t="n">
        <f aca="false">-AC39/AC15</f>
        <v>-95</v>
      </c>
      <c r="AD40" s="63" t="n">
        <f aca="false">-AD39/AD15</f>
        <v>-95</v>
      </c>
      <c r="AE40" s="63" t="n">
        <f aca="false">-AE39/AE15</f>
        <v>-0</v>
      </c>
      <c r="AF40" s="63" t="n">
        <f aca="false">-AF39/AF15</f>
        <v>-158.333333333333</v>
      </c>
    </row>
    <row r="41" customFormat="false" ht="15" hidden="false" customHeight="false" outlineLevel="0" collapsed="false">
      <c r="A41" s="23" t="s">
        <v>2426</v>
      </c>
      <c r="B41" s="21" t="s">
        <v>2427</v>
      </c>
      <c r="C41" s="23" t="s">
        <v>100</v>
      </c>
      <c r="D41" s="69" t="n">
        <f aca="false">D36+D37+D38+D40</f>
        <v>7981.43050727668</v>
      </c>
      <c r="E41" s="69" t="n">
        <f aca="false">E36+E37+E38+E40</f>
        <v>7944.24175727668</v>
      </c>
      <c r="F41" s="69" t="n">
        <f aca="false">F36+F37+F38+F40</f>
        <v>8018.61925727668</v>
      </c>
      <c r="G41" s="69" t="n">
        <f aca="false">G36+G37+G38+G40</f>
        <v>7867.68790230847</v>
      </c>
      <c r="H41" s="69" t="n">
        <f aca="false">H36+H37+H38+H40</f>
        <v>8095.1731122449</v>
      </c>
      <c r="I41" s="69" t="n">
        <f aca="false">I36+I37+I38+I40</f>
        <v>7963.48597733356</v>
      </c>
      <c r="J41" s="69" t="n">
        <f aca="false">J36+J37+J38+J40</f>
        <v>7999.37503721981</v>
      </c>
      <c r="K41" s="69" t="n">
        <f aca="false">K36+K37+K38+K40</f>
        <v>7955.91695759451</v>
      </c>
      <c r="L41" s="69" t="n">
        <f aca="false">L36+L37+L38+L40</f>
        <v>8006.94405695885</v>
      </c>
      <c r="M41" s="69" t="n">
        <f aca="false">M36+M37+M38+M40</f>
        <v>7981.43050727668</v>
      </c>
      <c r="N41" s="69" t="n">
        <f aca="false">N36+N37+N38+N40</f>
        <v>7981.43050727668</v>
      </c>
      <c r="O41" s="69" t="n">
        <f aca="false">O36+O37+O38+O40</f>
        <v>7981.43050727668</v>
      </c>
      <c r="P41" s="69" t="n">
        <f aca="false">P36+P37+P38+P40</f>
        <v>7981.43050727668</v>
      </c>
      <c r="Q41" s="69" t="n">
        <f aca="false">Q36+Q37+Q38+Q40</f>
        <v>7981.43050727668</v>
      </c>
      <c r="R41" s="69" t="n">
        <f aca="false">R36+R37+R38+R40</f>
        <v>7981.43050727668</v>
      </c>
      <c r="S41" s="69" t="n">
        <f aca="false">S36+S37+S38+S40</f>
        <v>7982.80550727668</v>
      </c>
      <c r="T41" s="69" t="n">
        <f aca="false">T36+T37+T38+T40</f>
        <v>7980.05550727668</v>
      </c>
      <c r="U41" s="69" t="n">
        <f aca="false">U36+U37+U38+U40</f>
        <v>8051.43050727668</v>
      </c>
      <c r="V41" s="69" t="n">
        <f aca="false">V36+V37+V38+V40</f>
        <v>7911.43050727668</v>
      </c>
      <c r="W41" s="69" t="n">
        <f aca="false">W36+W37+W38+W40</f>
        <v>7951.08675727668</v>
      </c>
      <c r="X41" s="69" t="n">
        <f aca="false">X36+X37+X38+X40</f>
        <v>8001.65967394335</v>
      </c>
      <c r="Y41" s="69" t="n">
        <f aca="false">Y36+Y37+Y38+Y40</f>
        <v>7930.41009911342</v>
      </c>
      <c r="Z41" s="69" t="n">
        <f aca="false">Z36+Z37+Z38+Z40</f>
        <v>8032.45091543995</v>
      </c>
      <c r="AA41" s="69" t="n">
        <f aca="false">AA36+AA37+AA38+AA40</f>
        <v>7981.43050727668</v>
      </c>
      <c r="AB41" s="69" t="n">
        <f aca="false">AB36+AB37+AB38+AB40</f>
        <v>7981.43050727668</v>
      </c>
      <c r="AC41" s="69" t="n">
        <f aca="false">AC36+AC37+AC38+AC40</f>
        <v>7997.97766668098</v>
      </c>
      <c r="AD41" s="69" t="n">
        <f aca="false">AD36+AD37+AD38+AD40</f>
        <v>7975.86464456796</v>
      </c>
      <c r="AE41" s="69" t="n">
        <f aca="false">AE36+AE37+AE38+AE40</f>
        <v>7883.71364092582</v>
      </c>
      <c r="AF41" s="69" t="n">
        <f aca="false">AF36+AF37+AF38+AF40</f>
        <v>8089.00008587041</v>
      </c>
    </row>
    <row r="42" customFormat="false" ht="15" hidden="false" customHeight="false" outlineLevel="0" collapsed="false">
      <c r="A42" s="23" t="s">
        <v>2428</v>
      </c>
      <c r="B42" s="5" t="s">
        <v>2429</v>
      </c>
      <c r="C42" s="23" t="s">
        <v>100</v>
      </c>
      <c r="D42" s="63" t="n">
        <f aca="false">D11*D41-D24/D19</f>
        <v>1327.30314754293</v>
      </c>
      <c r="E42" s="63" t="n">
        <f aca="false">E11*E41-E24/E19</f>
        <v>1321.02954061895</v>
      </c>
      <c r="F42" s="63" t="n">
        <f aca="false">F11*F41-F24/F19</f>
        <v>1333.57675446691</v>
      </c>
      <c r="G42" s="63" t="n">
        <f aca="false">G11*G41-G24/G19</f>
        <v>1308.11518360006</v>
      </c>
      <c r="H42" s="63" t="n">
        <f aca="false">H11*H41-H24/H19</f>
        <v>1346.4911114858</v>
      </c>
      <c r="I42" s="63" t="n">
        <f aca="false">I11*I41-I24/I19</f>
        <v>1324.2759705795</v>
      </c>
      <c r="J42" s="63" t="n">
        <f aca="false">J11*J41-J24/J19</f>
        <v>1330.33032450636</v>
      </c>
      <c r="K42" s="63" t="n">
        <f aca="false">K11*K41-K24/K19</f>
        <v>1322.99910446696</v>
      </c>
      <c r="L42" s="63" t="n">
        <f aca="false">L11*L41-L24/L19</f>
        <v>1331.6071906189</v>
      </c>
      <c r="M42" s="63" t="n">
        <f aca="false">M11*M41-M24/M19</f>
        <v>1327.30314754293</v>
      </c>
      <c r="N42" s="63" t="n">
        <f aca="false">N11*N41-N24/N19</f>
        <v>1327.30314754293</v>
      </c>
      <c r="O42" s="63" t="n">
        <f aca="false">O11*O41-O24/O19</f>
        <v>1098.26510875711</v>
      </c>
      <c r="P42" s="63" t="n">
        <f aca="false">P11*P41-P24/P19</f>
        <v>1497.33663412094</v>
      </c>
      <c r="Q42" s="63" t="n">
        <f aca="false">Q11*Q41-Q24/Q19</f>
        <v>1327.30314754293</v>
      </c>
      <c r="R42" s="63" t="n">
        <f aca="false">R11*R41-R24/R19</f>
        <v>1327.30314754293</v>
      </c>
      <c r="S42" s="63" t="n">
        <f aca="false">S11*S41-S24/S19</f>
        <v>1327.53510504407</v>
      </c>
      <c r="T42" s="63" t="n">
        <f aca="false">T11*T41-T24/T19</f>
        <v>1327.07119004179</v>
      </c>
      <c r="U42" s="63" t="n">
        <f aca="false">U11*U41-U24/U19</f>
        <v>1339.11189305545</v>
      </c>
      <c r="V42" s="63" t="n">
        <f aca="false">V11*V41-V24/V19</f>
        <v>1315.49440203041</v>
      </c>
      <c r="W42" s="63" t="n">
        <f aca="false">W11*W41-W24/W19</f>
        <v>1322.18426723371</v>
      </c>
      <c r="X42" s="63" t="n">
        <f aca="false">X11*X41-X24/X19</f>
        <v>1330.71573441574</v>
      </c>
      <c r="Y42" s="63" t="n">
        <f aca="false">Y11*Y41-Y24/Y19</f>
        <v>1318.69619017228</v>
      </c>
      <c r="Z42" s="63" t="n">
        <f aca="false">Z11*Z41-Z24/Z19</f>
        <v>1335.91010491357</v>
      </c>
      <c r="AA42" s="63" t="n">
        <f aca="false">AA11*AA41-AA24/AA19</f>
        <v>1327.30314754293</v>
      </c>
      <c r="AB42" s="63" t="n">
        <f aca="false">AB11*AB41-AB24/AB19</f>
        <v>1327.30314754293</v>
      </c>
      <c r="AC42" s="63" t="n">
        <f aca="false">AC11*AC41-AC24/AC19</f>
        <v>1330.09459317665</v>
      </c>
      <c r="AD42" s="63" t="n">
        <f aca="false">AD11*AD41-AD24/AD19</f>
        <v>1326.36420673886</v>
      </c>
      <c r="AE42" s="63" t="n">
        <f aca="false">AE11*AE41-AE24/AE19</f>
        <v>1084.58474746799</v>
      </c>
      <c r="AF42" s="63" t="n">
        <f aca="false">AF11*AF41-AF24/AF19</f>
        <v>1517.77485405375</v>
      </c>
    </row>
    <row r="43" customFormat="false" ht="15" hidden="false" customHeight="false" outlineLevel="0" collapsed="false">
      <c r="A43" s="23" t="s">
        <v>2430</v>
      </c>
      <c r="B43" s="5" t="s">
        <v>2431</v>
      </c>
      <c r="C43" s="23" t="s">
        <v>100</v>
      </c>
      <c r="D43" s="63" t="n">
        <f aca="false">Entrées!$C$79*(1+D12)+D20</f>
        <v>1481.92</v>
      </c>
      <c r="E43" s="63" t="n">
        <f aca="false">Entrées!$C$79*(1+E12)+E20</f>
        <v>1481.92</v>
      </c>
      <c r="F43" s="63" t="n">
        <f aca="false">Entrées!$C$79*(1+F12)+F20</f>
        <v>1481.92</v>
      </c>
      <c r="G43" s="63" t="n">
        <f aca="false">Entrées!$C$79*(1+G12)+G20</f>
        <v>1481.92</v>
      </c>
      <c r="H43" s="63" t="n">
        <f aca="false">Entrées!$C$79*(1+H12)+H20</f>
        <v>1481.92</v>
      </c>
      <c r="I43" s="63" t="n">
        <f aca="false">Entrées!$C$79*(1+I12)+I20</f>
        <v>1481.92</v>
      </c>
      <c r="J43" s="63" t="n">
        <f aca="false">Entrées!$C$79*(1+J12)+J20</f>
        <v>1481.92</v>
      </c>
      <c r="K43" s="63" t="n">
        <f aca="false">Entrées!$C$79*(1+K12)+K20</f>
        <v>1481.92</v>
      </c>
      <c r="L43" s="63" t="n">
        <f aca="false">Entrées!$C$79*(1+L12)+L20</f>
        <v>1481.92</v>
      </c>
      <c r="M43" s="63" t="n">
        <f aca="false">Entrées!$C$79*(1+M12)+M20</f>
        <v>1481.92</v>
      </c>
      <c r="N43" s="63" t="n">
        <f aca="false">Entrées!$C$79*(1+N12)+N20</f>
        <v>1481.92</v>
      </c>
      <c r="O43" s="63" t="n">
        <f aca="false">Entrées!$C$79*(1+O12)+O20</f>
        <v>1481.92</v>
      </c>
      <c r="P43" s="63" t="n">
        <f aca="false">Entrées!$C$79*(1+P12)+P20</f>
        <v>1481.92</v>
      </c>
      <c r="Q43" s="63" t="n">
        <f aca="false">Entrées!$C$79*(1+Q12)+Q20</f>
        <v>1437.96</v>
      </c>
      <c r="R43" s="63" t="n">
        <f aca="false">Entrées!$C$79*(1+R12)+R20</f>
        <v>1525.88</v>
      </c>
      <c r="S43" s="63" t="n">
        <f aca="false">Entrées!$C$79*(1+S12)+S20</f>
        <v>1481.92</v>
      </c>
      <c r="T43" s="63" t="n">
        <f aca="false">Entrées!$C$79*(1+T12)+T20</f>
        <v>1481.92</v>
      </c>
      <c r="U43" s="63" t="n">
        <f aca="false">Entrées!$C$79*(1+U12)+U20</f>
        <v>1481.92</v>
      </c>
      <c r="V43" s="63" t="n">
        <f aca="false">Entrées!$C$79*(1+V12)+V20</f>
        <v>1481.92</v>
      </c>
      <c r="W43" s="63" t="n">
        <f aca="false">Entrées!$C$79*(1+W12)+W20</f>
        <v>1481.92</v>
      </c>
      <c r="X43" s="63" t="n">
        <f aca="false">Entrées!$C$79*(1+X12)+X20</f>
        <v>1481.92</v>
      </c>
      <c r="Y43" s="63" t="n">
        <f aca="false">Entrées!$C$79*(1+Y12)+Y20</f>
        <v>1481.92</v>
      </c>
      <c r="Z43" s="63" t="n">
        <f aca="false">Entrées!$C$79*(1+Z12)+Z20</f>
        <v>1481.92</v>
      </c>
      <c r="AA43" s="63" t="n">
        <f aca="false">Entrées!$C$79*(1+AA12)+AA20</f>
        <v>1481.92</v>
      </c>
      <c r="AB43" s="63" t="n">
        <f aca="false">Entrées!$C$79*(1+AB12)+AB20</f>
        <v>1481.92</v>
      </c>
      <c r="AC43" s="63" t="n">
        <f aca="false">Entrées!$C$79*(1+AC12)+AC20</f>
        <v>1481.92</v>
      </c>
      <c r="AD43" s="63" t="n">
        <f aca="false">Entrées!$C$79*(1+AD12)+AD20</f>
        <v>1481.92</v>
      </c>
      <c r="AE43" s="63" t="n">
        <f aca="false">Entrées!$C$79*(1+AE12)+AE20</f>
        <v>1525.88</v>
      </c>
      <c r="AF43" s="63" t="n">
        <f aca="false">Entrées!$C$79*(1+AF12)+AF20</f>
        <v>1437.96</v>
      </c>
    </row>
    <row r="44" customFormat="false" ht="15" hidden="false" customHeight="false" outlineLevel="0" collapsed="false">
      <c r="A44" s="23" t="s">
        <v>2432</v>
      </c>
      <c r="B44" s="21" t="s">
        <v>2433</v>
      </c>
      <c r="C44" s="23" t="s">
        <v>100</v>
      </c>
      <c r="D44" s="69" t="n">
        <f aca="false">D32-D42+D43+D16*1000-D39+D22</f>
        <v>22373.6168524571</v>
      </c>
      <c r="E44" s="69" t="n">
        <f aca="false">E32-E42+E43+E16*1000-E39+E22</f>
        <v>22379.8904593811</v>
      </c>
      <c r="F44" s="69" t="n">
        <f aca="false">F32-F42+F43+F16*1000-F39+F22</f>
        <v>22367.3432455331</v>
      </c>
      <c r="G44" s="69" t="n">
        <f aca="false">G32-G42+G43+G16*1000-G39+G22</f>
        <v>22392.8048163999</v>
      </c>
      <c r="H44" s="69" t="n">
        <f aca="false">H32-H42+H43+H16*1000-H39+H22</f>
        <v>22354.4288885142</v>
      </c>
      <c r="I44" s="69" t="n">
        <f aca="false">I32-I42+I43+I16*1000-I39+I22</f>
        <v>22376.6440294205</v>
      </c>
      <c r="J44" s="69" t="n">
        <f aca="false">J32-J42+J43+J16*1000-J39+J22</f>
        <v>22370.5896754936</v>
      </c>
      <c r="K44" s="69" t="n">
        <f aca="false">K32-K42+K43+K16*1000-K39+K22</f>
        <v>22377.920895533</v>
      </c>
      <c r="L44" s="69" t="n">
        <f aca="false">L32-L42+L43+L16*1000-L39+L22</f>
        <v>22369.3128093811</v>
      </c>
      <c r="M44" s="69" t="n">
        <f aca="false">M32-M42+M43+M16*1000-M39+M22</f>
        <v>22699.4168524571</v>
      </c>
      <c r="N44" s="69" t="n">
        <f aca="false">N32-N42+N43+N16*1000-N39+N22</f>
        <v>22210.7168524571</v>
      </c>
      <c r="O44" s="69" t="n">
        <f aca="false">O32-O42+O43+O16*1000-O39+O22</f>
        <v>22602.6548912429</v>
      </c>
      <c r="P44" s="69" t="n">
        <f aca="false">P32-P42+P43+P16*1000-P39+P22</f>
        <v>22203.5833658791</v>
      </c>
      <c r="Q44" s="69" t="n">
        <f aca="false">Q32-Q42+Q43+Q16*1000-Q39+Q22</f>
        <v>22329.6568524571</v>
      </c>
      <c r="R44" s="69" t="n">
        <f aca="false">R32-R42+R43+R16*1000-R39+R22</f>
        <v>22417.5768524571</v>
      </c>
      <c r="S44" s="69" t="n">
        <f aca="false">S32-S42+S43+S16*1000-S39+S22</f>
        <v>22373.3848949559</v>
      </c>
      <c r="T44" s="69" t="n">
        <f aca="false">T32-T42+T43+T16*1000-T39+T22</f>
        <v>22373.8488099582</v>
      </c>
      <c r="U44" s="69" t="n">
        <f aca="false">U32-U42+U43+U16*1000-U39+U22</f>
        <v>23061.8081069445</v>
      </c>
      <c r="V44" s="69" t="n">
        <f aca="false">V32-V42+V43+V16*1000-V39+V22</f>
        <v>21685.4255979696</v>
      </c>
      <c r="W44" s="69" t="n">
        <f aca="false">W32-W42+W43+W16*1000-W39+W22</f>
        <v>22378.7357327663</v>
      </c>
      <c r="X44" s="69" t="n">
        <f aca="false">X32-X42+X43+X16*1000-X39+X22</f>
        <v>22370.2042655843</v>
      </c>
      <c r="Y44" s="69" t="n">
        <f aca="false">Y32-Y42+Y43+Y16*1000-Y39+Y22</f>
        <v>21882.2238098277</v>
      </c>
      <c r="Z44" s="69" t="n">
        <f aca="false">Z32-Z42+Z43+Z16*1000-Z39+Z22</f>
        <v>22865.0098950864</v>
      </c>
      <c r="AA44" s="69" t="n">
        <f aca="false">AA32-AA42+AA43+AA16*1000-AA39+AA22</f>
        <v>22373.6168524571</v>
      </c>
      <c r="AB44" s="69" t="n">
        <f aca="false">AB32-AB42+AB43+AB16*1000-AB39+AB22</f>
        <v>22373.6168524571</v>
      </c>
      <c r="AC44" s="69" t="n">
        <f aca="false">AC32-AC42+AC43+AC16*1000-AC39+AC22</f>
        <v>22370.8254068234</v>
      </c>
      <c r="AD44" s="69" t="n">
        <f aca="false">AD32-AD42+AD43+AD16*1000-AD39+AD22</f>
        <v>22374.5557932611</v>
      </c>
      <c r="AE44" s="69" t="n">
        <f aca="false">AE32-AE42+AE43+AE16*1000-AE39+AE22</f>
        <v>24186.095252532</v>
      </c>
      <c r="AF44" s="69" t="n">
        <f aca="false">AF32-AF42+AF43+AF16*1000-AF39+AF22</f>
        <v>20776.2851459462</v>
      </c>
    </row>
    <row r="45" customFormat="false" ht="15" hidden="false" customHeight="false" outlineLevel="0" collapsed="false">
      <c r="A45" s="23" t="s">
        <v>2434</v>
      </c>
      <c r="B45" s="21" t="s">
        <v>2435</v>
      </c>
      <c r="C45" s="23" t="s">
        <v>130</v>
      </c>
      <c r="D45" s="100" t="n">
        <f aca="false">D44/D41</f>
        <v>2.80320887741352</v>
      </c>
      <c r="E45" s="100" t="n">
        <f aca="false">E44/E41</f>
        <v>2.81712102213931</v>
      </c>
      <c r="F45" s="100" t="n">
        <f aca="false">F44/F41</f>
        <v>2.78942577616905</v>
      </c>
      <c r="G45" s="100" t="n">
        <f aca="false">G44/G41</f>
        <v>2.8461735003278</v>
      </c>
      <c r="H45" s="100" t="n">
        <f aca="false">H44/H41</f>
        <v>2.76145161796485</v>
      </c>
      <c r="I45" s="100" t="n">
        <f aca="false">I44/I41</f>
        <v>2.8099056233804</v>
      </c>
      <c r="J45" s="100" t="n">
        <f aca="false">J44/J41</f>
        <v>2.79654217628338</v>
      </c>
      <c r="K45" s="100" t="n">
        <f aca="false">K44/K41</f>
        <v>2.81273937558783</v>
      </c>
      <c r="L45" s="100" t="n">
        <f aca="false">L44/L41</f>
        <v>2.79373911572916</v>
      </c>
      <c r="M45" s="100" t="n">
        <f aca="false">M44/M41</f>
        <v>2.84402862767044</v>
      </c>
      <c r="N45" s="100" t="n">
        <f aca="false">N44/N41</f>
        <v>2.78279900228506</v>
      </c>
      <c r="O45" s="100" t="n">
        <f aca="false">O44/O41</f>
        <v>2.83190524187813</v>
      </c>
      <c r="P45" s="100" t="n">
        <f aca="false">P44/P41</f>
        <v>2.78190524187814</v>
      </c>
      <c r="Q45" s="100" t="n">
        <f aca="false">Q44/Q41</f>
        <v>2.79770109281777</v>
      </c>
      <c r="R45" s="100" t="n">
        <f aca="false">R44/R41</f>
        <v>2.80871666200927</v>
      </c>
      <c r="S45" s="100" t="n">
        <f aca="false">S44/S41</f>
        <v>2.80269698097512</v>
      </c>
      <c r="T45" s="100" t="n">
        <f aca="false">T44/T41</f>
        <v>2.8037209502561</v>
      </c>
      <c r="U45" s="100" t="n">
        <f aca="false">U44/U41</f>
        <v>2.86431188670161</v>
      </c>
      <c r="V45" s="100" t="n">
        <f aca="false">V44/V41</f>
        <v>2.74102459448061</v>
      </c>
      <c r="W45" s="100" t="n">
        <f aca="false">W44/W41</f>
        <v>2.81455056596958</v>
      </c>
      <c r="X45" s="100" t="n">
        <f aca="false">X44/X41</f>
        <v>2.79569554031781</v>
      </c>
      <c r="Y45" s="100" t="n">
        <f aca="false">Y44/Y41</f>
        <v>2.75928023095225</v>
      </c>
      <c r="Z45" s="100" t="n">
        <f aca="false">Z44/Z41</f>
        <v>2.84657947316371</v>
      </c>
      <c r="AA45" s="100" t="n">
        <f aca="false">AA44/AA41</f>
        <v>2.80320887741352</v>
      </c>
      <c r="AB45" s="100" t="n">
        <f aca="false">AB44/AB41</f>
        <v>2.80320887741352</v>
      </c>
      <c r="AC45" s="100" t="n">
        <f aca="false">AC44/AC41</f>
        <v>2.79706024937012</v>
      </c>
      <c r="AD45" s="100" t="n">
        <f aca="false">AD44/AD41</f>
        <v>2.80528278629948</v>
      </c>
      <c r="AE45" s="100" t="n">
        <f aca="false">AE44/AE41</f>
        <v>3.06785562669064</v>
      </c>
      <c r="AF45" s="100" t="n">
        <f aca="false">AF44/AF41</f>
        <v>2.56846148169012</v>
      </c>
    </row>
    <row r="46" customFormat="false" ht="15" hidden="false" customHeight="false" outlineLevel="0" collapsed="false">
      <c r="A46" s="23" t="s">
        <v>2436</v>
      </c>
      <c r="B46" s="21" t="s">
        <v>2437</v>
      </c>
      <c r="C46" s="23" t="s">
        <v>100</v>
      </c>
      <c r="D46" s="99" t="n">
        <f aca="false">D25*D41-D44</f>
        <v>1570.67466937297</v>
      </c>
      <c r="E46" s="99" t="n">
        <f aca="false">E25*E41-E44</f>
        <v>1452.83481244899</v>
      </c>
      <c r="F46" s="99" t="n">
        <f aca="false">F25*F41-F44</f>
        <v>1688.51452629695</v>
      </c>
      <c r="G46" s="99" t="n">
        <f aca="false">G25*G41-G44</f>
        <v>1210.25889052545</v>
      </c>
      <c r="H46" s="99" t="n">
        <f aca="false">H25*H41-H44</f>
        <v>1931.09044822049</v>
      </c>
      <c r="I46" s="99" t="n">
        <f aca="false">I25*I41-I44</f>
        <v>1513.81390258016</v>
      </c>
      <c r="J46" s="99" t="n">
        <f aca="false">J25*J41-J44</f>
        <v>1627.53543616577</v>
      </c>
      <c r="K46" s="99" t="n">
        <f aca="false">K25*K41-K44</f>
        <v>1489.8299772505</v>
      </c>
      <c r="L46" s="99" t="n">
        <f aca="false">L25*L41-L44</f>
        <v>1651.51936149544</v>
      </c>
      <c r="M46" s="99" t="n">
        <f aca="false">M25*M41-M44</f>
        <v>1244.87466937297</v>
      </c>
      <c r="N46" s="99" t="n">
        <f aca="false">N25*N41-N44</f>
        <v>1733.57466937297</v>
      </c>
      <c r="O46" s="99" t="n">
        <f aca="false">O25*O41-O44</f>
        <v>1341.63663058715</v>
      </c>
      <c r="P46" s="99" t="n">
        <f aca="false">P25*P41-P44</f>
        <v>1740.70815595098</v>
      </c>
      <c r="Q46" s="99" t="n">
        <f aca="false">Q25*Q41-Q44</f>
        <v>1614.63466937297</v>
      </c>
      <c r="R46" s="99" t="n">
        <f aca="false">R25*R41-R44</f>
        <v>1526.71466937297</v>
      </c>
      <c r="S46" s="99" t="n">
        <f aca="false">S25*S41-S44</f>
        <v>1575.03162687411</v>
      </c>
      <c r="T46" s="99" t="n">
        <f aca="false">T25*T41-T44</f>
        <v>1566.31771187183</v>
      </c>
      <c r="U46" s="99" t="n">
        <f aca="false">U25*U41-U44</f>
        <v>1092.48341488549</v>
      </c>
      <c r="V46" s="99" t="n">
        <f aca="false">V25*V41-V44</f>
        <v>2048.86592386045</v>
      </c>
      <c r="W46" s="99" t="n">
        <f aca="false">W25*W41-W44</f>
        <v>1474.52453906374</v>
      </c>
      <c r="X46" s="99" t="n">
        <f aca="false">X25*X41-X44</f>
        <v>1634.77475624579</v>
      </c>
      <c r="Y46" s="99" t="n">
        <f aca="false">Y25*Y41-Y44</f>
        <v>1909.00648751253</v>
      </c>
      <c r="Z46" s="99" t="n">
        <f aca="false">Z25*Z41-Z44</f>
        <v>1232.34285123341</v>
      </c>
      <c r="AA46" s="99" t="n">
        <f aca="false">AA25*AA41-AA44</f>
        <v>1570.67466937297</v>
      </c>
      <c r="AB46" s="99" t="n">
        <f aca="false">AB25*AB41-AB44</f>
        <v>1570.67466937297</v>
      </c>
      <c r="AC46" s="99" t="n">
        <f aca="false">AC25*AC41-AC44</f>
        <v>1623.1075932196</v>
      </c>
      <c r="AD46" s="99" t="n">
        <f aca="false">AD25*AD41-AD44</f>
        <v>1553.03814044274</v>
      </c>
      <c r="AE46" s="99" t="n">
        <f aca="false">AE25*AE41-AE44</f>
        <v>-534.954329754553</v>
      </c>
      <c r="AF46" s="99" t="n">
        <f aca="false">AF25*AF41-AF44</f>
        <v>3490.715111665</v>
      </c>
    </row>
    <row r="47" customFormat="false" ht="15" hidden="false" customHeight="false" outlineLevel="0" collapsed="false">
      <c r="A47" s="23" t="s">
        <v>2438</v>
      </c>
      <c r="B47" s="21" t="s">
        <v>2439</v>
      </c>
      <c r="C47" s="23" t="s">
        <v>100</v>
      </c>
      <c r="D47" s="99" t="n">
        <f aca="false">IF(D18&gt;D25,MAX(0,D46)/(1-D25/D18),0)</f>
        <v>2263.61937644927</v>
      </c>
      <c r="E47" s="99" t="n">
        <f aca="false">IF(E18&gt;E25,MAX(0,E46)/(1-E25/E18),0)</f>
        <v>2093.79134735295</v>
      </c>
      <c r="F47" s="99" t="n">
        <f aca="false">IF(F18&gt;F25,MAX(0,F46)/(1-F25/F18),0)</f>
        <v>2433.4474055456</v>
      </c>
      <c r="G47" s="99" t="n">
        <f aca="false">IF(G18&gt;G25,MAX(0,G46)/(1-G25/G18),0)</f>
        <v>1744.1966363455</v>
      </c>
      <c r="H47" s="99" t="n">
        <f aca="false">IF(H18&gt;H25,MAX(0,H46)/(1-H25/H18),0)</f>
        <v>2783.04211655306</v>
      </c>
      <c r="I47" s="99" t="n">
        <f aca="false">IF(I18&gt;I25,MAX(0,I46)/(1-I25/I18),0)</f>
        <v>2181.67297724788</v>
      </c>
      <c r="J47" s="99" t="n">
        <f aca="false">IF(J18&gt;J25,MAX(0,J46)/(1-J25/J18),0)</f>
        <v>2345.56577565067</v>
      </c>
      <c r="K47" s="99" t="n">
        <f aca="false">IF(K18&gt;K25,MAX(0,K46)/(1-K25/K18),0)</f>
        <v>2147.10790839042</v>
      </c>
      <c r="L47" s="99" t="n">
        <f aca="false">IF(L18&gt;L25,MAX(0,L46)/(1-L25/L18),0)</f>
        <v>2380.13084450814</v>
      </c>
      <c r="M47" s="99" t="n">
        <f aca="false">IF(M18&gt;M25,MAX(0,M46)/(1-M25/M18),0)</f>
        <v>1794.08408233163</v>
      </c>
      <c r="N47" s="99" t="n">
        <f aca="false">IF(N18&gt;N25,MAX(0,N46)/(1-N25/N18),0)</f>
        <v>2498.3870235081</v>
      </c>
      <c r="O47" s="99" t="n">
        <f aca="false">IF(O18&gt;O25,MAX(0,O46)/(1-O25/O18),0)</f>
        <v>1933.53514408148</v>
      </c>
      <c r="P47" s="99" t="n">
        <f aca="false">IF(P18&gt;P25,MAX(0,P46)/(1-P25/P18),0)</f>
        <v>2508.66763651759</v>
      </c>
      <c r="Q47" s="99" t="n">
        <f aca="false">IF(Q18&gt;Q25,MAX(0,Q46)/(1-Q25/Q18),0)</f>
        <v>2326.97349409634</v>
      </c>
      <c r="R47" s="99" t="n">
        <f aca="false">IF(R18&gt;R25,MAX(0,R46)/(1-R25/R18),0)</f>
        <v>2200.26525880222</v>
      </c>
      <c r="S47" s="99" t="n">
        <f aca="false">IF(S18&gt;S25,MAX(0,S46)/(1-S25/S18),0)</f>
        <v>2269.89852108327</v>
      </c>
      <c r="T47" s="99" t="n">
        <f aca="false">IF(T18&gt;T25,MAX(0,T46)/(1-T25/T18),0)</f>
        <v>2257.34023181529</v>
      </c>
      <c r="U47" s="99" t="n">
        <f aca="false">IF(U18&gt;U25,MAX(0,U46)/(1-U25/U18),0)</f>
        <v>1574.46139204086</v>
      </c>
      <c r="V47" s="99" t="n">
        <f aca="false">IF(V18&gt;V25,MAX(0,V46)/(1-V25/V18),0)</f>
        <v>2952.7773608577</v>
      </c>
      <c r="W47" s="99" t="n">
        <f aca="false">IF(W18&gt;W25,MAX(0,W46)/(1-W25/W18),0)</f>
        <v>2125.05007100363</v>
      </c>
      <c r="X47" s="99" t="n">
        <f aca="false">IF(X18&gt;X25,MAX(0,X46)/(1-X25/X18),0)</f>
        <v>2355.99891341305</v>
      </c>
      <c r="Y47" s="99" t="n">
        <f aca="false">IF(Y18&gt;Y25,MAX(0,Y46)/(1-Y25/Y18),0)</f>
        <v>2751.21523200335</v>
      </c>
      <c r="Z47" s="99" t="n">
        <f aca="false">IF(Z18&gt;Z25,MAX(0,Z46)/(1-Z25/Z18),0)</f>
        <v>1776.02352089521</v>
      </c>
      <c r="AA47" s="99" t="n">
        <f aca="false">IF(AA18&gt;AA25,MAX(0,AA46)/(1-AA25/AA18),0)</f>
        <v>2263.61937644927</v>
      </c>
      <c r="AB47" s="99" t="n">
        <f aca="false">IF(AB18&gt;AB25,MAX(0,AB46)/(1-AB25/AB18),0)</f>
        <v>2263.61937644927</v>
      </c>
      <c r="AC47" s="99" t="n">
        <f aca="false">IF(AC18&gt;AC25,MAX(0,AC46)/(1-AC25/AC18),0)</f>
        <v>2729.77186132387</v>
      </c>
      <c r="AD47" s="99" t="n">
        <f aca="false">IF(AD18&gt;AD25,MAX(0,AD46)/(1-AD25/AD18),0)</f>
        <v>2135.42744310877</v>
      </c>
      <c r="AE47" s="99" t="n">
        <f aca="false">IF(AE18&gt;AE25,MAX(0,AE46)/(1-AE25/AE18),0)</f>
        <v>0</v>
      </c>
      <c r="AF47" s="99" t="n">
        <f aca="false">IF(AF18&gt;AF25,MAX(0,AF46)/(1-AF25/AF18),0)</f>
        <v>5870.74814234568</v>
      </c>
    </row>
    <row r="48" customFormat="false" ht="15" hidden="false" customHeight="false" outlineLevel="0" collapsed="false">
      <c r="A48" s="23" t="s">
        <v>2440</v>
      </c>
      <c r="B48" s="5" t="s">
        <v>2441</v>
      </c>
      <c r="C48" s="23" t="s">
        <v>100</v>
      </c>
      <c r="D48" s="63" t="n">
        <f aca="false">D41-Entrées!$C$17*1000</f>
        <v>-18.5694927233199</v>
      </c>
      <c r="E48" s="63" t="n">
        <f aca="false">E41-Entrées!$C$17*1000</f>
        <v>-55.7582427233192</v>
      </c>
      <c r="F48" s="63" t="n">
        <f aca="false">F41-Entrées!$C$17*1000</f>
        <v>18.6192572766804</v>
      </c>
      <c r="G48" s="63" t="n">
        <f aca="false">G41-Entrées!$C$17*1000</f>
        <v>-132.312097691535</v>
      </c>
      <c r="H48" s="63" t="n">
        <f aca="false">H41-Entrées!$C$17*1000</f>
        <v>95.1731122448982</v>
      </c>
      <c r="I48" s="63" t="n">
        <f aca="false">I41-Entrées!$C$17*1000</f>
        <v>-36.5140226664444</v>
      </c>
      <c r="J48" s="63" t="n">
        <f aca="false">J41-Entrées!$C$17*1000</f>
        <v>-0.624962780195347</v>
      </c>
      <c r="K48" s="63" t="n">
        <f aca="false">K41-Entrées!$C$17*1000</f>
        <v>-44.0830424054875</v>
      </c>
      <c r="L48" s="63" t="n">
        <f aca="false">L41-Entrées!$C$17*1000</f>
        <v>6.94405695884871</v>
      </c>
      <c r="M48" s="63" t="n">
        <f aca="false">M41-Entrées!$C$17*1000</f>
        <v>-18.5694927233199</v>
      </c>
      <c r="N48" s="63" t="n">
        <f aca="false">N41-Entrées!$C$17*1000</f>
        <v>-18.5694927233199</v>
      </c>
      <c r="O48" s="63" t="n">
        <f aca="false">O41-Entrées!$C$17*1000</f>
        <v>-18.5694927233199</v>
      </c>
      <c r="P48" s="63" t="n">
        <f aca="false">P41-Entrées!$C$17*1000</f>
        <v>-18.5694927233199</v>
      </c>
      <c r="Q48" s="63" t="n">
        <f aca="false">Q41-Entrées!$C$17*1000</f>
        <v>-18.5694927233199</v>
      </c>
      <c r="R48" s="63" t="n">
        <f aca="false">R41-Entrées!$C$17*1000</f>
        <v>-18.5694927233199</v>
      </c>
      <c r="S48" s="63" t="n">
        <f aca="false">S41-Entrées!$C$17*1000</f>
        <v>-17.1944927233199</v>
      </c>
      <c r="T48" s="63" t="n">
        <f aca="false">T41-Entrées!$C$17*1000</f>
        <v>-19.9444927233199</v>
      </c>
      <c r="U48" s="63" t="n">
        <f aca="false">U41-Entrées!$C$17*1000</f>
        <v>51.4305072766801</v>
      </c>
      <c r="V48" s="63" t="n">
        <f aca="false">V41-Entrées!$C$17*1000</f>
        <v>-88.5694927233199</v>
      </c>
      <c r="W48" s="63" t="n">
        <f aca="false">W41-Entrées!$C$17*1000</f>
        <v>-48.9132427233199</v>
      </c>
      <c r="X48" s="63" t="n">
        <f aca="false">X41-Entrées!$C$17*1000</f>
        <v>1.65967394334712</v>
      </c>
      <c r="Y48" s="63" t="n">
        <f aca="false">Y41-Entrées!$C$17*1000</f>
        <v>-69.5899008865854</v>
      </c>
      <c r="Z48" s="63" t="n">
        <f aca="false">Z41-Entrées!$C$17*1000</f>
        <v>32.4509154399457</v>
      </c>
      <c r="AA48" s="63" t="n">
        <f aca="false">AA41-Entrées!$C$17*1000</f>
        <v>-18.5694927233199</v>
      </c>
      <c r="AB48" s="63" t="n">
        <f aca="false">AB41-Entrées!$C$17*1000</f>
        <v>-18.5694927233199</v>
      </c>
      <c r="AC48" s="63" t="n">
        <f aca="false">AC41-Entrées!$C$17*1000</f>
        <v>-2.02233331901789</v>
      </c>
      <c r="AD48" s="63" t="n">
        <f aca="false">AD41-Entrées!$C$17*1000</f>
        <v>-24.1353554320403</v>
      </c>
      <c r="AE48" s="63" t="n">
        <f aca="false">AE41-Entrées!$C$17*1000</f>
        <v>-116.286359074181</v>
      </c>
      <c r="AF48" s="63"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3" t="s">
        <v>2442</v>
      </c>
      <c r="B50" s="5" t="s">
        <v>2443</v>
      </c>
      <c r="C50" s="23" t="s">
        <v>100</v>
      </c>
      <c r="D50" s="63" t="n">
        <f aca="false">D32+(Entrées!$C$244-Entrées!$C$13)</f>
        <v>28416</v>
      </c>
      <c r="E50" s="63" t="n">
        <f aca="false">E32+(Entrées!$C$244-Entrées!$C$13)</f>
        <v>28416</v>
      </c>
      <c r="F50" s="63" t="n">
        <f aca="false">F32+(Entrées!$C$244-Entrées!$C$13)</f>
        <v>28416</v>
      </c>
      <c r="G50" s="63" t="n">
        <f aca="false">G32+(Entrées!$C$244-Entrées!$C$13)</f>
        <v>28416</v>
      </c>
      <c r="H50" s="63" t="n">
        <f aca="false">H32+(Entrées!$C$244-Entrées!$C$13)</f>
        <v>28416</v>
      </c>
      <c r="I50" s="63" t="n">
        <f aca="false">I32+(Entrées!$C$244-Entrées!$C$13)</f>
        <v>28416</v>
      </c>
      <c r="J50" s="63" t="n">
        <f aca="false">J32+(Entrées!$C$244-Entrées!$C$13)</f>
        <v>28416</v>
      </c>
      <c r="K50" s="63" t="n">
        <f aca="false">K32+(Entrées!$C$244-Entrées!$C$13)</f>
        <v>28416</v>
      </c>
      <c r="L50" s="63" t="n">
        <f aca="false">L32+(Entrées!$C$244-Entrées!$C$13)</f>
        <v>28416</v>
      </c>
      <c r="M50" s="63" t="n">
        <f aca="false">M32+(Entrées!$C$244-Entrées!$C$13)</f>
        <v>28741.8</v>
      </c>
      <c r="N50" s="63" t="n">
        <f aca="false">N32+(Entrées!$C$244-Entrées!$C$13)</f>
        <v>28253.1</v>
      </c>
      <c r="O50" s="63" t="n">
        <f aca="false">O32+(Entrées!$C$244-Entrées!$C$13)</f>
        <v>28416</v>
      </c>
      <c r="P50" s="63" t="n">
        <f aca="false">P32+(Entrées!$C$244-Entrées!$C$13)</f>
        <v>28416</v>
      </c>
      <c r="Q50" s="63" t="n">
        <f aca="false">Q32+(Entrées!$C$244-Entrées!$C$13)</f>
        <v>28416</v>
      </c>
      <c r="R50" s="63" t="n">
        <f aca="false">R32+(Entrées!$C$244-Entrées!$C$13)</f>
        <v>28416</v>
      </c>
      <c r="S50" s="63" t="n">
        <f aca="false">S32+(Entrées!$C$244-Entrées!$C$13)</f>
        <v>28666</v>
      </c>
      <c r="T50" s="63" t="n">
        <f aca="false">T32+(Entrées!$C$244-Entrées!$C$13)</f>
        <v>28166</v>
      </c>
      <c r="U50" s="63" t="n">
        <f aca="false">U32+(Entrées!$C$244-Entrées!$C$13)</f>
        <v>28416</v>
      </c>
      <c r="V50" s="63" t="n">
        <f aca="false">V32+(Entrées!$C$244-Entrées!$C$13)</f>
        <v>28416</v>
      </c>
      <c r="W50" s="63" t="n">
        <f aca="false">W32+(Entrées!$C$244-Entrées!$C$13)</f>
        <v>28416</v>
      </c>
      <c r="X50" s="63" t="n">
        <f aca="false">X32+(Entrées!$C$244-Entrées!$C$13)</f>
        <v>28416</v>
      </c>
      <c r="Y50" s="63" t="n">
        <f aca="false">Y32+(Entrées!$C$244-Entrées!$C$13)</f>
        <v>28416</v>
      </c>
      <c r="Z50" s="63" t="n">
        <f aca="false">Z32+(Entrées!$C$244-Entrées!$C$13)</f>
        <v>28416</v>
      </c>
      <c r="AA50" s="63" t="n">
        <f aca="false">AA32+(Entrées!$C$244-Entrées!$C$13)</f>
        <v>28416</v>
      </c>
      <c r="AB50" s="63" t="n">
        <f aca="false">AB32+(Entrées!$C$244-Entrées!$C$13)</f>
        <v>28416</v>
      </c>
      <c r="AC50" s="63" t="n">
        <f aca="false">AC32+(Entrées!$C$244-Entrées!$C$13)</f>
        <v>28416</v>
      </c>
      <c r="AD50" s="63" t="n">
        <f aca="false">AD32+(Entrées!$C$244-Entrées!$C$13)</f>
        <v>28416</v>
      </c>
      <c r="AE50" s="63" t="n">
        <f aca="false">AE32+(Entrées!$C$244-Entrées!$C$13)</f>
        <v>28491.8</v>
      </c>
      <c r="AF50" s="63" t="n">
        <f aca="false">AF32+(Entrées!$C$244-Entrées!$C$13)</f>
        <v>28503.1</v>
      </c>
    </row>
    <row r="51" customFormat="false" ht="15" hidden="false" customHeight="false" outlineLevel="0" collapsed="false">
      <c r="A51" s="23" t="s">
        <v>2444</v>
      </c>
      <c r="B51" s="5" t="s">
        <v>2445</v>
      </c>
      <c r="C51" s="23" t="s">
        <v>100</v>
      </c>
      <c r="D51" s="63" t="n">
        <f aca="false">D17*D31</f>
        <v>5498.12225488731</v>
      </c>
      <c r="E51" s="63" t="n">
        <f aca="false">E17*E31</f>
        <v>5472.32225488731</v>
      </c>
      <c r="F51" s="63" t="n">
        <f aca="false">F17*F31</f>
        <v>5523.92225488731</v>
      </c>
      <c r="G51" s="63" t="n">
        <f aca="false">G17*G31</f>
        <v>5498.12225488731</v>
      </c>
      <c r="H51" s="63" t="n">
        <f aca="false">H17*H31</f>
        <v>5498.12225488731</v>
      </c>
      <c r="I51" s="63" t="n">
        <f aca="false">I17*I31</f>
        <v>5490.86024216453</v>
      </c>
      <c r="J51" s="63" t="n">
        <f aca="false">J17*J31</f>
        <v>5505.38426761008</v>
      </c>
      <c r="K51" s="63" t="n">
        <f aca="false">K17*K31</f>
        <v>5498.12225488731</v>
      </c>
      <c r="L51" s="63" t="n">
        <f aca="false">L17*L31</f>
        <v>5498.12225488731</v>
      </c>
      <c r="M51" s="63" t="n">
        <f aca="false">M17*M31</f>
        <v>5498.12225488731</v>
      </c>
      <c r="N51" s="63" t="n">
        <f aca="false">N17*N31</f>
        <v>5498.12225488731</v>
      </c>
      <c r="O51" s="63" t="n">
        <f aca="false">O17*O31</f>
        <v>5498.12225488731</v>
      </c>
      <c r="P51" s="63" t="n">
        <f aca="false">P17*P31</f>
        <v>5498.12225488731</v>
      </c>
      <c r="Q51" s="63" t="n">
        <f aca="false">Q17*Q31</f>
        <v>5498.12225488731</v>
      </c>
      <c r="R51" s="63" t="n">
        <f aca="false">R17*R31</f>
        <v>5498.12225488731</v>
      </c>
      <c r="S51" s="63" t="n">
        <f aca="false">S17*S31</f>
        <v>5516.42012722773</v>
      </c>
      <c r="T51" s="63" t="n">
        <f aca="false">T17*T31</f>
        <v>5479.82438254688</v>
      </c>
      <c r="U51" s="63" t="n">
        <f aca="false">U17*U31</f>
        <v>5498.12225488731</v>
      </c>
      <c r="V51" s="63" t="n">
        <f aca="false">V17*V31</f>
        <v>5498.12225488731</v>
      </c>
      <c r="W51" s="63" t="n">
        <f aca="false">W17*W31</f>
        <v>5493.5477868022</v>
      </c>
      <c r="X51" s="63" t="n">
        <f aca="false">X17*X31</f>
        <v>5501.17190027738</v>
      </c>
      <c r="Y51" s="63" t="n">
        <f aca="false">Y17*Y31</f>
        <v>5498.12225488731</v>
      </c>
      <c r="Z51" s="63" t="n">
        <f aca="false">Z17*Z31</f>
        <v>5498.12225488731</v>
      </c>
      <c r="AA51" s="63" t="n">
        <f aca="false">AA17*AA31</f>
        <v>5223.21614214294</v>
      </c>
      <c r="AB51" s="63" t="n">
        <f aca="false">AB17*AB31</f>
        <v>5663.06592253392</v>
      </c>
      <c r="AC51" s="63" t="n">
        <f aca="false">AC17*AC31</f>
        <v>5498.12225488731</v>
      </c>
      <c r="AD51" s="63" t="n">
        <f aca="false">AD17*AD31</f>
        <v>5498.12225488731</v>
      </c>
      <c r="AE51" s="63" t="n">
        <f aca="false">AE17*AE31</f>
        <v>5165.7327619712</v>
      </c>
      <c r="AF51" s="63" t="n">
        <f aca="false">AF17*AF31</f>
        <v>5715.96660414902</v>
      </c>
    </row>
    <row r="52" customFormat="false" ht="15" hidden="false" customHeight="false" outlineLevel="0" collapsed="false">
      <c r="A52" s="23" t="s">
        <v>2446</v>
      </c>
      <c r="B52" s="21" t="s">
        <v>2447</v>
      </c>
      <c r="C52" s="23" t="s">
        <v>296</v>
      </c>
      <c r="D52" s="101" t="n">
        <f aca="false">D51/D50</f>
        <v>0.193486847370753</v>
      </c>
      <c r="E52" s="101" t="n">
        <f aca="false">E51/E50</f>
        <v>0.192578908181563</v>
      </c>
      <c r="F52" s="101" t="n">
        <f aca="false">F51/F50</f>
        <v>0.194394786559942</v>
      </c>
      <c r="G52" s="101" t="n">
        <f aca="false">G51/G50</f>
        <v>0.193486847370753</v>
      </c>
      <c r="H52" s="101" t="n">
        <f aca="false">H51/H50</f>
        <v>0.193486847370753</v>
      </c>
      <c r="I52" s="101" t="n">
        <f aca="false">I51/I50</f>
        <v>0.193231286675272</v>
      </c>
      <c r="J52" s="101" t="n">
        <f aca="false">J51/J50</f>
        <v>0.193742408066233</v>
      </c>
      <c r="K52" s="101" t="n">
        <f aca="false">K51/K50</f>
        <v>0.193486847370753</v>
      </c>
      <c r="L52" s="101" t="n">
        <f aca="false">L51/L50</f>
        <v>0.193486847370753</v>
      </c>
      <c r="M52" s="101" t="n">
        <f aca="false">M51/M50</f>
        <v>0.191293595212802</v>
      </c>
      <c r="N52" s="101" t="n">
        <f aca="false">N51/N50</f>
        <v>0.194602442028921</v>
      </c>
      <c r="O52" s="101" t="n">
        <f aca="false">O51/O50</f>
        <v>0.193486847370753</v>
      </c>
      <c r="P52" s="101" t="n">
        <f aca="false">P51/P50</f>
        <v>0.193486847370753</v>
      </c>
      <c r="Q52" s="101" t="n">
        <f aca="false">Q51/Q50</f>
        <v>0.193486847370753</v>
      </c>
      <c r="R52" s="101" t="n">
        <f aca="false">R51/R50</f>
        <v>0.193486847370753</v>
      </c>
      <c r="S52" s="101" t="n">
        <f aca="false">S51/S50</f>
        <v>0.192437735548306</v>
      </c>
      <c r="T52" s="101" t="n">
        <f aca="false">T51/T50</f>
        <v>0.194554582920787</v>
      </c>
      <c r="U52" s="101" t="n">
        <f aca="false">U51/U50</f>
        <v>0.193486847370753</v>
      </c>
      <c r="V52" s="101" t="n">
        <f aca="false">V51/V50</f>
        <v>0.193486847370753</v>
      </c>
      <c r="W52" s="101" t="n">
        <f aca="false">W51/W50</f>
        <v>0.19332586524501</v>
      </c>
      <c r="X52" s="101" t="n">
        <f aca="false">X51/X50</f>
        <v>0.193594168787914</v>
      </c>
      <c r="Y52" s="101" t="n">
        <f aca="false">Y51/Y50</f>
        <v>0.193486847370753</v>
      </c>
      <c r="Z52" s="101" t="n">
        <f aca="false">Z51/Z50</f>
        <v>0.193486847370753</v>
      </c>
      <c r="AA52" s="101" t="n">
        <f aca="false">AA51/AA50</f>
        <v>0.183812505002215</v>
      </c>
      <c r="AB52" s="101" t="n">
        <f aca="false">AB51/AB50</f>
        <v>0.199291452791875</v>
      </c>
      <c r="AC52" s="101" t="n">
        <f aca="false">AC51/AC50</f>
        <v>0.193486847370753</v>
      </c>
      <c r="AD52" s="101" t="n">
        <f aca="false">AD51/AD50</f>
        <v>0.193486847370753</v>
      </c>
      <c r="AE52" s="101" t="n">
        <f aca="false">AE51/AE50</f>
        <v>0.181305946341446</v>
      </c>
      <c r="AF52" s="101" t="n">
        <f aca="false">AF51/AF50</f>
        <v>0.200538418773713</v>
      </c>
    </row>
    <row r="53" customFormat="false" ht="15" hidden="false" customHeight="false" outlineLevel="0" collapsed="false">
      <c r="A53" s="23" t="s">
        <v>2448</v>
      </c>
      <c r="B53" s="21" t="s">
        <v>2449</v>
      </c>
      <c r="C53" s="23" t="s">
        <v>100</v>
      </c>
      <c r="D53" s="99" t="n">
        <f aca="false">D51/(Entrées!$C$151/100)-D50</f>
        <v>2129.12363826281</v>
      </c>
      <c r="E53" s="99" t="n">
        <f aca="false">E51/(Entrées!$C$151/100)-E50</f>
        <v>1985.79030492947</v>
      </c>
      <c r="F53" s="99" t="n">
        <f aca="false">F51/(Entrées!$C$151/100)-F50</f>
        <v>2272.45697159614</v>
      </c>
      <c r="G53" s="99" t="n">
        <f aca="false">G51/(Entrées!$C$151/100)-G50</f>
        <v>2129.12363826281</v>
      </c>
      <c r="H53" s="99" t="n">
        <f aca="false">H51/(Entrées!$C$151/100)-H50</f>
        <v>2129.12363826281</v>
      </c>
      <c r="I53" s="99" t="n">
        <f aca="false">I51/(Entrées!$C$151/100)-I50</f>
        <v>2088.77912313629</v>
      </c>
      <c r="J53" s="99" t="n">
        <f aca="false">J51/(Entrées!$C$151/100)-J50</f>
        <v>2169.46815338932</v>
      </c>
      <c r="K53" s="99" t="n">
        <f aca="false">K51/(Entrées!$C$151/100)-K50</f>
        <v>2129.12363826281</v>
      </c>
      <c r="L53" s="99" t="n">
        <f aca="false">L51/(Entrées!$C$151/100)-L50</f>
        <v>2129.12363826281</v>
      </c>
      <c r="M53" s="99" t="n">
        <f aca="false">M51/(Entrées!$C$151/100)-M50</f>
        <v>1803.32363826281</v>
      </c>
      <c r="N53" s="99" t="n">
        <f aca="false">N51/(Entrées!$C$151/100)-N50</f>
        <v>2292.02363826281</v>
      </c>
      <c r="O53" s="99" t="n">
        <f aca="false">O51/(Entrées!$C$151/100)-O50</f>
        <v>2129.12363826281</v>
      </c>
      <c r="P53" s="99" t="n">
        <f aca="false">P51/(Entrées!$C$151/100)-P50</f>
        <v>2129.12363826281</v>
      </c>
      <c r="Q53" s="99" t="n">
        <f aca="false">Q51/(Entrées!$C$151/100)-Q50</f>
        <v>2129.12363826281</v>
      </c>
      <c r="R53" s="99" t="n">
        <f aca="false">R51/(Entrées!$C$151/100)-R50</f>
        <v>2129.12363826281</v>
      </c>
      <c r="S53" s="99" t="n">
        <f aca="false">S51/(Entrées!$C$151/100)-S50</f>
        <v>1980.7784845985</v>
      </c>
      <c r="T53" s="99" t="n">
        <f aca="false">T51/(Entrées!$C$151/100)-T50</f>
        <v>2277.46879192711</v>
      </c>
      <c r="U53" s="99" t="n">
        <f aca="false">U51/(Entrées!$C$151/100)-U50</f>
        <v>2129.12363826281</v>
      </c>
      <c r="V53" s="99" t="n">
        <f aca="false">V51/(Entrées!$C$151/100)-V50</f>
        <v>2129.12363826281</v>
      </c>
      <c r="W53" s="99" t="n">
        <f aca="false">W51/(Entrées!$C$151/100)-W50</f>
        <v>2103.70992667888</v>
      </c>
      <c r="X53" s="99" t="n">
        <f aca="false">X51/(Entrées!$C$151/100)-X50</f>
        <v>2146.06611265209</v>
      </c>
      <c r="Y53" s="99" t="n">
        <f aca="false">Y51/(Entrées!$C$151/100)-Y50</f>
        <v>2129.12363826281</v>
      </c>
      <c r="Z53" s="99" t="n">
        <f aca="false">Z51/(Entrées!$C$151/100)-Z50</f>
        <v>2129.12363826281</v>
      </c>
      <c r="AA53" s="99" t="n">
        <f aca="false">AA51/(Entrées!$C$151/100)-AA50</f>
        <v>601.867456349664</v>
      </c>
      <c r="AB53" s="99" t="n">
        <f aca="false">AB51/(Entrées!$C$151/100)-AB50</f>
        <v>3045.47734741069</v>
      </c>
      <c r="AC53" s="99" t="n">
        <f aca="false">AC51/(Entrées!$C$151/100)-AC50</f>
        <v>2129.12363826281</v>
      </c>
      <c r="AD53" s="99" t="n">
        <f aca="false">AD51/(Entrées!$C$151/100)-AD50</f>
        <v>2129.12363826281</v>
      </c>
      <c r="AE53" s="99" t="n">
        <f aca="false">AE51/(Entrées!$C$151/100)-AE50</f>
        <v>206.715344284439</v>
      </c>
      <c r="AF53" s="99" t="n">
        <f aca="false">AF51/(Entrées!$C$151/100)-AF50</f>
        <v>3252.2700230501</v>
      </c>
    </row>
    <row r="54" customFormat="false" ht="15" hidden="false" customHeight="false" outlineLevel="0" collapsed="false">
      <c r="A54" s="23" t="s">
        <v>2450</v>
      </c>
      <c r="B54" s="5" t="s">
        <v>2451</v>
      </c>
      <c r="C54" s="23" t="s">
        <v>100</v>
      </c>
      <c r="D54" s="63" t="n">
        <f aca="false">D44+(Entrées!$C$244-Entrées!$C$13)</f>
        <v>28120.6168524571</v>
      </c>
      <c r="E54" s="63" t="n">
        <f aca="false">E44+(Entrées!$C$244-Entrées!$C$13)</f>
        <v>28126.8904593811</v>
      </c>
      <c r="F54" s="63" t="n">
        <f aca="false">F44+(Entrées!$C$244-Entrées!$C$13)</f>
        <v>28114.3432455331</v>
      </c>
      <c r="G54" s="63" t="n">
        <f aca="false">G44+(Entrées!$C$244-Entrées!$C$13)</f>
        <v>28139.8048163999</v>
      </c>
      <c r="H54" s="63" t="n">
        <f aca="false">H44+(Entrées!$C$244-Entrées!$C$13)</f>
        <v>28101.4288885142</v>
      </c>
      <c r="I54" s="63" t="n">
        <f aca="false">I44+(Entrées!$C$244-Entrées!$C$13)</f>
        <v>28123.6440294205</v>
      </c>
      <c r="J54" s="63" t="n">
        <f aca="false">J44+(Entrées!$C$244-Entrées!$C$13)</f>
        <v>28117.5896754936</v>
      </c>
      <c r="K54" s="63" t="n">
        <f aca="false">K44+(Entrées!$C$244-Entrées!$C$13)</f>
        <v>28124.920895533</v>
      </c>
      <c r="L54" s="63" t="n">
        <f aca="false">L44+(Entrées!$C$244-Entrées!$C$13)</f>
        <v>28116.3128093811</v>
      </c>
      <c r="M54" s="63" t="n">
        <f aca="false">M44+(Entrées!$C$244-Entrées!$C$13)</f>
        <v>28446.4168524571</v>
      </c>
      <c r="N54" s="63" t="n">
        <f aca="false">N44+(Entrées!$C$244-Entrées!$C$13)</f>
        <v>27957.7168524571</v>
      </c>
      <c r="O54" s="63" t="n">
        <f aca="false">O44+(Entrées!$C$244-Entrées!$C$13)</f>
        <v>28349.6548912429</v>
      </c>
      <c r="P54" s="63" t="n">
        <f aca="false">P44+(Entrées!$C$244-Entrées!$C$13)</f>
        <v>27950.5833658791</v>
      </c>
      <c r="Q54" s="63" t="n">
        <f aca="false">Q44+(Entrées!$C$244-Entrées!$C$13)</f>
        <v>28076.6568524571</v>
      </c>
      <c r="R54" s="63" t="n">
        <f aca="false">R44+(Entrées!$C$244-Entrées!$C$13)</f>
        <v>28164.5768524571</v>
      </c>
      <c r="S54" s="63" t="n">
        <f aca="false">S44+(Entrées!$C$244-Entrées!$C$13)</f>
        <v>28120.3848949559</v>
      </c>
      <c r="T54" s="63" t="n">
        <f aca="false">T44+(Entrées!$C$244-Entrées!$C$13)</f>
        <v>28120.8488099582</v>
      </c>
      <c r="U54" s="63" t="n">
        <f aca="false">U44+(Entrées!$C$244-Entrées!$C$13)</f>
        <v>28808.8081069445</v>
      </c>
      <c r="V54" s="63" t="n">
        <f aca="false">V44+(Entrées!$C$244-Entrées!$C$13)</f>
        <v>27432.4255979696</v>
      </c>
      <c r="W54" s="63" t="n">
        <f aca="false">W44+(Entrées!$C$244-Entrées!$C$13)</f>
        <v>28125.7357327663</v>
      </c>
      <c r="X54" s="63" t="n">
        <f aca="false">X44+(Entrées!$C$244-Entrées!$C$13)</f>
        <v>28117.2042655843</v>
      </c>
      <c r="Y54" s="63" t="n">
        <f aca="false">Y44+(Entrées!$C$244-Entrées!$C$13)</f>
        <v>27629.2238098277</v>
      </c>
      <c r="Z54" s="63" t="n">
        <f aca="false">Z44+(Entrées!$C$244-Entrées!$C$13)</f>
        <v>28612.0098950864</v>
      </c>
      <c r="AA54" s="63" t="n">
        <f aca="false">AA44+(Entrées!$C$244-Entrées!$C$13)</f>
        <v>28120.6168524571</v>
      </c>
      <c r="AB54" s="63" t="n">
        <f aca="false">AB44+(Entrées!$C$244-Entrées!$C$13)</f>
        <v>28120.6168524571</v>
      </c>
      <c r="AC54" s="63" t="n">
        <f aca="false">AC44+(Entrées!$C$244-Entrées!$C$13)</f>
        <v>28117.8254068234</v>
      </c>
      <c r="AD54" s="63" t="n">
        <f aca="false">AD44+(Entrées!$C$244-Entrées!$C$13)</f>
        <v>28121.5557932611</v>
      </c>
      <c r="AE54" s="63" t="n">
        <f aca="false">AE44+(Entrées!$C$244-Entrées!$C$13)</f>
        <v>29933.095252532</v>
      </c>
      <c r="AF54" s="63" t="n">
        <f aca="false">AF44+(Entrées!$C$244-Entrées!$C$13)</f>
        <v>26523.2851459462</v>
      </c>
    </row>
    <row r="55" customFormat="false" ht="15" hidden="false" customHeight="false" outlineLevel="0" collapsed="false">
      <c r="A55" s="23" t="s">
        <v>2452</v>
      </c>
      <c r="B55" s="5" t="s">
        <v>2453</v>
      </c>
      <c r="C55" s="23" t="s">
        <v>100</v>
      </c>
      <c r="D55" s="63" t="n">
        <f aca="false">D17*D41</f>
        <v>5841.72786064506</v>
      </c>
      <c r="E55" s="63" t="n">
        <f aca="false">E17*E41</f>
        <v>5814.50886064506</v>
      </c>
      <c r="F55" s="63" t="n">
        <f aca="false">F17*F41</f>
        <v>5868.94686064506</v>
      </c>
      <c r="G55" s="63" t="n">
        <f aca="false">G17*G41</f>
        <v>5758.47795403003</v>
      </c>
      <c r="H55" s="63" t="n">
        <f aca="false">H17*H41</f>
        <v>5924.9777672601</v>
      </c>
      <c r="I55" s="63" t="n">
        <f aca="false">I17*I41</f>
        <v>5828.59399192073</v>
      </c>
      <c r="J55" s="63" t="n">
        <f aca="false">J17*J41</f>
        <v>5854.86172936939</v>
      </c>
      <c r="K55" s="63" t="n">
        <f aca="false">K17*K41</f>
        <v>5823.05411364364</v>
      </c>
      <c r="L55" s="63" t="n">
        <f aca="false">L17*L41</f>
        <v>5860.40160764648</v>
      </c>
      <c r="M55" s="63" t="n">
        <f aca="false">M17*M41</f>
        <v>5841.72786064506</v>
      </c>
      <c r="N55" s="63" t="n">
        <f aca="false">N17*N41</f>
        <v>5841.72786064506</v>
      </c>
      <c r="O55" s="63" t="n">
        <f aca="false">O17*O41</f>
        <v>5841.72786064506</v>
      </c>
      <c r="P55" s="63" t="n">
        <f aca="false">P17*P41</f>
        <v>5841.72786064506</v>
      </c>
      <c r="Q55" s="63" t="n">
        <f aca="false">Q17*Q41</f>
        <v>5841.72786064506</v>
      </c>
      <c r="R55" s="63" t="n">
        <f aca="false">R17*R41</f>
        <v>5841.72786064506</v>
      </c>
      <c r="S55" s="63" t="n">
        <f aca="false">S17*S41</f>
        <v>5842.73424362378</v>
      </c>
      <c r="T55" s="63" t="n">
        <f aca="false">T17*T41</f>
        <v>5840.72147766634</v>
      </c>
      <c r="U55" s="63" t="n">
        <f aca="false">U17*U41</f>
        <v>5892.96190319825</v>
      </c>
      <c r="V55" s="63" t="n">
        <f aca="false">V17*V41</f>
        <v>5790.49381809187</v>
      </c>
      <c r="W55" s="63" t="n">
        <f aca="false">W17*W41</f>
        <v>5819.51881809187</v>
      </c>
      <c r="X55" s="63" t="n">
        <f aca="false">X17*X41</f>
        <v>5856.53388901385</v>
      </c>
      <c r="Y55" s="63" t="n">
        <f aca="false">Y17*Y41</f>
        <v>5804.38526403195</v>
      </c>
      <c r="Z55" s="63" t="n">
        <f aca="false">Z17*Z41</f>
        <v>5879.07045725817</v>
      </c>
      <c r="AA55" s="63" t="n">
        <f aca="false">AA17*AA41</f>
        <v>5549.64146761281</v>
      </c>
      <c r="AB55" s="63" t="n">
        <f aca="false">AB17*AB41</f>
        <v>6016.97969646441</v>
      </c>
      <c r="AC55" s="63" t="n">
        <f aca="false">AC17*AC41</f>
        <v>5853.83897306012</v>
      </c>
      <c r="AD55" s="63" t="n">
        <f aca="false">AD17*AD41</f>
        <v>5837.65412283272</v>
      </c>
      <c r="AE55" s="63" t="n">
        <f aca="false">AE17*AE41</f>
        <v>5481.69705926502</v>
      </c>
      <c r="AF55" s="63" t="n">
        <f aca="false">AF17*AF41</f>
        <v>6098.07342643746</v>
      </c>
    </row>
    <row r="56" customFormat="false" ht="15" hidden="false" customHeight="false" outlineLevel="0" collapsed="false">
      <c r="A56" s="23" t="s">
        <v>2454</v>
      </c>
      <c r="B56" s="21" t="s">
        <v>2455</v>
      </c>
      <c r="C56" s="23" t="s">
        <v>296</v>
      </c>
      <c r="D56" s="101" t="n">
        <f aca="false">D55/D54</f>
        <v>0.207738254508974</v>
      </c>
      <c r="E56" s="101" t="n">
        <f aca="false">E55/E54</f>
        <v>0.206724197580318</v>
      </c>
      <c r="F56" s="101" t="n">
        <f aca="false">F55/F54</f>
        <v>0.20875276400339</v>
      </c>
      <c r="G56" s="101" t="n">
        <f aca="false">G55/G54</f>
        <v>0.204638162617033</v>
      </c>
      <c r="H56" s="101" t="n">
        <f aca="false">H55/H54</f>
        <v>0.210842579954423</v>
      </c>
      <c r="I56" s="101" t="n">
        <f aca="false">I55/I54</f>
        <v>0.207248889433509</v>
      </c>
      <c r="J56" s="101" t="n">
        <f aca="false">J55/J54</f>
        <v>0.208227724955823</v>
      </c>
      <c r="K56" s="101" t="n">
        <f aca="false">K55/K54</f>
        <v>0.207042506369093</v>
      </c>
      <c r="L56" s="101" t="n">
        <f aca="false">L55/L54</f>
        <v>0.208434215659001</v>
      </c>
      <c r="M56" s="101" t="n">
        <f aca="false">M55/M54</f>
        <v>0.205359005000325</v>
      </c>
      <c r="N56" s="101" t="n">
        <f aca="false">N55/N54</f>
        <v>0.208948673866109</v>
      </c>
      <c r="O56" s="101" t="n">
        <f aca="false">O55/O54</f>
        <v>0.206059928526663</v>
      </c>
      <c r="P56" s="101" t="n">
        <f aca="false">P55/P54</f>
        <v>0.209002001288331</v>
      </c>
      <c r="Q56" s="101" t="n">
        <f aca="false">Q55/Q54</f>
        <v>0.208063513093577</v>
      </c>
      <c r="R56" s="101" t="n">
        <f aca="false">R55/R54</f>
        <v>0.207414011268393</v>
      </c>
      <c r="S56" s="101" t="n">
        <f aca="false">S55/S54</f>
        <v>0.20777575646455</v>
      </c>
      <c r="T56" s="101" t="n">
        <f aca="false">T55/T54</f>
        <v>0.207700753172074</v>
      </c>
      <c r="U56" s="101" t="n">
        <f aca="false">U55/U54</f>
        <v>0.204554172505933</v>
      </c>
      <c r="V56" s="101" t="n">
        <f aca="false">V55/V54</f>
        <v>0.211082093248089</v>
      </c>
      <c r="W56" s="101" t="n">
        <f aca="false">W55/W54</f>
        <v>0.20691081198321</v>
      </c>
      <c r="X56" s="101" t="n">
        <f aca="false">X55/X54</f>
        <v>0.208290050237403</v>
      </c>
      <c r="Y56" s="101" t="n">
        <f aca="false">Y55/Y54</f>
        <v>0.210081372679291</v>
      </c>
      <c r="Z56" s="101" t="n">
        <f aca="false">Z55/Z54</f>
        <v>0.205475619462434</v>
      </c>
      <c r="AA56" s="101" t="n">
        <f aca="false">AA55/AA54</f>
        <v>0.197351341783525</v>
      </c>
      <c r="AB56" s="101" t="n">
        <f aca="false">AB55/AB54</f>
        <v>0.213970402144243</v>
      </c>
      <c r="AC56" s="101" t="n">
        <f aca="false">AC55/AC54</f>
        <v>0.208189605290016</v>
      </c>
      <c r="AD56" s="101" t="n">
        <f aca="false">AD55/AD54</f>
        <v>0.207586456657978</v>
      </c>
      <c r="AE56" s="101" t="n">
        <f aca="false">AE55/AE54</f>
        <v>0.183131647863958</v>
      </c>
      <c r="AF56" s="101" t="n">
        <f aca="false">AF55/AF54</f>
        <v>0.229913956468152</v>
      </c>
    </row>
    <row r="57" customFormat="false" ht="15" hidden="false" customHeight="false" outlineLevel="0" collapsed="false">
      <c r="A57" s="23" t="s">
        <v>2456</v>
      </c>
      <c r="B57" s="21" t="s">
        <v>2457</v>
      </c>
      <c r="C57" s="23" t="s">
        <v>100</v>
      </c>
      <c r="D57" s="99" t="n">
        <f aca="false">D55/(Entrées!$C$151/100)-D54</f>
        <v>4333.42681779325</v>
      </c>
      <c r="E57" s="99" t="n">
        <f aca="false">E55/(Entrées!$C$151/100)-E54</f>
        <v>4175.93654420261</v>
      </c>
      <c r="F57" s="99" t="n">
        <f aca="false">F55/(Entrées!$C$151/100)-F54</f>
        <v>4490.9170913839</v>
      </c>
      <c r="G57" s="99" t="n">
        <f aca="false">G55/(Entrées!$C$151/100)-G54</f>
        <v>3851.73937265576</v>
      </c>
      <c r="H57" s="99" t="n">
        <f aca="false">H55/(Entrées!$C$151/100)-H54</f>
        <v>4815.11426293077</v>
      </c>
      <c r="I57" s="99" t="n">
        <f aca="false">I55/(Entrées!$C$151/100)-I54</f>
        <v>4257.43370347244</v>
      </c>
      <c r="J57" s="99" t="n">
        <f aca="false">J55/(Entrées!$C$151/100)-J54</f>
        <v>4409.41993211408</v>
      </c>
      <c r="K57" s="99" t="n">
        <f aca="false">K55/(Entrées!$C$151/100)-K54</f>
        <v>4225.37973582053</v>
      </c>
      <c r="L57" s="99" t="n">
        <f aca="false">L55/(Entrées!$C$151/100)-L54</f>
        <v>4441.47389976599</v>
      </c>
      <c r="M57" s="99" t="n">
        <f aca="false">M55/(Entrées!$C$151/100)-M54</f>
        <v>4007.62681779326</v>
      </c>
      <c r="N57" s="99" t="n">
        <f aca="false">N55/(Entrées!$C$151/100)-N54</f>
        <v>4496.32681779326</v>
      </c>
      <c r="O57" s="99" t="n">
        <f aca="false">O55/(Entrées!$C$151/100)-O54</f>
        <v>4104.38877900744</v>
      </c>
      <c r="P57" s="99" t="n">
        <f aca="false">P55/(Entrées!$C$151/100)-P54</f>
        <v>4503.46030437127</v>
      </c>
      <c r="Q57" s="99" t="n">
        <f aca="false">Q55/(Entrées!$C$151/100)-Q54</f>
        <v>4377.38681779326</v>
      </c>
      <c r="R57" s="99" t="n">
        <f aca="false">R55/(Entrées!$C$151/100)-R54</f>
        <v>4289.46681779325</v>
      </c>
      <c r="S57" s="99" t="n">
        <f aca="false">S55/(Entrées!$C$151/100)-S54</f>
        <v>4339.24979184286</v>
      </c>
      <c r="T57" s="99" t="n">
        <f aca="false">T55/(Entrées!$C$151/100)-T54</f>
        <v>4327.60384374366</v>
      </c>
      <c r="U57" s="99" t="n">
        <f aca="false">U55/(Entrées!$C$151/100)-U54</f>
        <v>3929.86913304573</v>
      </c>
      <c r="V57" s="99" t="n">
        <f aca="false">V55/(Entrées!$C$151/100)-V54</f>
        <v>4736.98450254079</v>
      </c>
      <c r="W57" s="99" t="n">
        <f aca="false">W55/(Entrées!$C$151/100)-W54</f>
        <v>4204.92436774408</v>
      </c>
      <c r="X57" s="99" t="n">
        <f aca="false">X55/(Entrées!$C$151/100)-X54</f>
        <v>4419.09511782605</v>
      </c>
      <c r="Y57" s="99" t="n">
        <f aca="false">Y55/(Entrées!$C$151/100)-Y54</f>
        <v>4617.36099034976</v>
      </c>
      <c r="Z57" s="99" t="n">
        <f aca="false">Z55/(Entrées!$C$151/100)-Z54</f>
        <v>4049.49264523675</v>
      </c>
      <c r="AA57" s="99" t="n">
        <f aca="false">AA55/(Entrées!$C$151/100)-AA54</f>
        <v>2710.72463428073</v>
      </c>
      <c r="AB57" s="99" t="n">
        <f aca="false">AB55/(Entrées!$C$151/100)-AB54</f>
        <v>5307.04812790077</v>
      </c>
      <c r="AC57" s="99" t="n">
        <f aca="false">AC55/(Entrées!$C$151/100)-AC54</f>
        <v>4403.50222128844</v>
      </c>
      <c r="AD57" s="99" t="n">
        <f aca="false">AD55/(Entrées!$C$151/100)-AD54</f>
        <v>4309.85600025396</v>
      </c>
      <c r="AE57" s="99" t="n">
        <f aca="false">AE55/(Entrées!$C$151/100)-AE54</f>
        <v>520.777298940298</v>
      </c>
      <c r="AF57" s="99" t="n">
        <f aca="false">AF55/(Entrées!$C$151/100)-AF54</f>
        <v>7354.90055648408</v>
      </c>
    </row>
    <row r="58" customFormat="false" ht="15" hidden="false" customHeight="false" outlineLevel="0" collapsed="false">
      <c r="A58" s="23" t="s">
        <v>2458</v>
      </c>
      <c r="B58" s="21" t="s">
        <v>2459</v>
      </c>
      <c r="C58" s="23" t="s">
        <v>100</v>
      </c>
      <c r="D58" s="99" t="n">
        <f aca="false">MIN(D46,D57)</f>
        <v>1570.67466937297</v>
      </c>
      <c r="E58" s="99" t="n">
        <f aca="false">MIN(E46,E57)</f>
        <v>1452.83481244899</v>
      </c>
      <c r="F58" s="99" t="n">
        <f aca="false">MIN(F46,F57)</f>
        <v>1688.51452629695</v>
      </c>
      <c r="G58" s="99" t="n">
        <f aca="false">MIN(G46,G57)</f>
        <v>1210.25889052545</v>
      </c>
      <c r="H58" s="99" t="n">
        <f aca="false">MIN(H46,H57)</f>
        <v>1931.09044822049</v>
      </c>
      <c r="I58" s="99" t="n">
        <f aca="false">MIN(I46,I57)</f>
        <v>1513.81390258016</v>
      </c>
      <c r="J58" s="99" t="n">
        <f aca="false">MIN(J46,J57)</f>
        <v>1627.53543616577</v>
      </c>
      <c r="K58" s="99" t="n">
        <f aca="false">MIN(K46,K57)</f>
        <v>1489.8299772505</v>
      </c>
      <c r="L58" s="99" t="n">
        <f aca="false">MIN(L46,L57)</f>
        <v>1651.51936149544</v>
      </c>
      <c r="M58" s="99" t="n">
        <f aca="false">MIN(M46,M57)</f>
        <v>1244.87466937297</v>
      </c>
      <c r="N58" s="99" t="n">
        <f aca="false">MIN(N46,N57)</f>
        <v>1733.57466937297</v>
      </c>
      <c r="O58" s="99" t="n">
        <f aca="false">MIN(O46,O57)</f>
        <v>1341.63663058715</v>
      </c>
      <c r="P58" s="99" t="n">
        <f aca="false">MIN(P46,P57)</f>
        <v>1740.70815595098</v>
      </c>
      <c r="Q58" s="99" t="n">
        <f aca="false">MIN(Q46,Q57)</f>
        <v>1614.63466937297</v>
      </c>
      <c r="R58" s="99" t="n">
        <f aca="false">MIN(R46,R57)</f>
        <v>1526.71466937297</v>
      </c>
      <c r="S58" s="99" t="n">
        <f aca="false">MIN(S46,S57)</f>
        <v>1575.03162687411</v>
      </c>
      <c r="T58" s="99" t="n">
        <f aca="false">MIN(T46,T57)</f>
        <v>1566.31771187183</v>
      </c>
      <c r="U58" s="99" t="n">
        <f aca="false">MIN(U46,U57)</f>
        <v>1092.48341488549</v>
      </c>
      <c r="V58" s="99" t="n">
        <f aca="false">MIN(V46,V57)</f>
        <v>2048.86592386045</v>
      </c>
      <c r="W58" s="99" t="n">
        <f aca="false">MIN(W46,W57)</f>
        <v>1474.52453906374</v>
      </c>
      <c r="X58" s="99" t="n">
        <f aca="false">MIN(X46,X57)</f>
        <v>1634.77475624579</v>
      </c>
      <c r="Y58" s="99" t="n">
        <f aca="false">MIN(Y46,Y57)</f>
        <v>1909.00648751253</v>
      </c>
      <c r="Z58" s="99" t="n">
        <f aca="false">MIN(Z46,Z57)</f>
        <v>1232.34285123341</v>
      </c>
      <c r="AA58" s="99" t="n">
        <f aca="false">MIN(AA46,AA57)</f>
        <v>1570.67466937297</v>
      </c>
      <c r="AB58" s="99" t="n">
        <f aca="false">MIN(AB46,AB57)</f>
        <v>1570.67466937297</v>
      </c>
      <c r="AC58" s="99" t="n">
        <f aca="false">MIN(AC46,AC57)</f>
        <v>1623.1075932196</v>
      </c>
      <c r="AD58" s="99" t="n">
        <f aca="false">MIN(AD46,AD57)</f>
        <v>1553.03814044274</v>
      </c>
      <c r="AE58" s="99" t="n">
        <f aca="false">MIN(AE46,AE57)</f>
        <v>-534.954329754553</v>
      </c>
      <c r="AF58" s="99" t="n">
        <f aca="false">MIN(AF46,AF57)</f>
        <v>3490.715111665</v>
      </c>
    </row>
    <row r="59" customFormat="false" ht="15" hidden="false" customHeight="false" outlineLevel="0" collapsed="false">
      <c r="A59" s="23" t="s">
        <v>2460</v>
      </c>
      <c r="B59" s="21" t="s">
        <v>2461</v>
      </c>
      <c r="C59" s="23"/>
      <c r="D59" s="102" t="str">
        <f aca="false">IF(D57&lt;D46,"agences : FFO / dette ≥ 18 %","Veolia : levier ≤ 3x")</f>
        <v>Veolia : levier ≤ 3x</v>
      </c>
      <c r="E59" s="102" t="str">
        <f aca="false">IF(E57&lt;E46,"agences : FFO / dette ≥ 18 %","Veolia : levier ≤ 3x")</f>
        <v>Veolia : levier ≤ 3x</v>
      </c>
      <c r="F59" s="102" t="str">
        <f aca="false">IF(F57&lt;F46,"agences : FFO / dette ≥ 18 %","Veolia : levier ≤ 3x")</f>
        <v>Veolia : levier ≤ 3x</v>
      </c>
      <c r="G59" s="102" t="str">
        <f aca="false">IF(G57&lt;G46,"agences : FFO / dette ≥ 18 %","Veolia : levier ≤ 3x")</f>
        <v>Veolia : levier ≤ 3x</v>
      </c>
      <c r="H59" s="102" t="str">
        <f aca="false">IF(H57&lt;H46,"agences : FFO / dette ≥ 18 %","Veolia : levier ≤ 3x")</f>
        <v>Veolia : levier ≤ 3x</v>
      </c>
      <c r="I59" s="102" t="str">
        <f aca="false">IF(I57&lt;I46,"agences : FFO / dette ≥ 18 %","Veolia : levier ≤ 3x")</f>
        <v>Veolia : levier ≤ 3x</v>
      </c>
      <c r="J59" s="102" t="str">
        <f aca="false">IF(J57&lt;J46,"agences : FFO / dette ≥ 18 %","Veolia : levier ≤ 3x")</f>
        <v>Veolia : levier ≤ 3x</v>
      </c>
      <c r="K59" s="102" t="str">
        <f aca="false">IF(K57&lt;K46,"agences : FFO / dette ≥ 18 %","Veolia : levier ≤ 3x")</f>
        <v>Veolia : levier ≤ 3x</v>
      </c>
      <c r="L59" s="102" t="str">
        <f aca="false">IF(L57&lt;L46,"agences : FFO / dette ≥ 18 %","Veolia : levier ≤ 3x")</f>
        <v>Veolia : levier ≤ 3x</v>
      </c>
      <c r="M59" s="102" t="str">
        <f aca="false">IF(M57&lt;M46,"agences : FFO / dette ≥ 18 %","Veolia : levier ≤ 3x")</f>
        <v>Veolia : levier ≤ 3x</v>
      </c>
      <c r="N59" s="102" t="str">
        <f aca="false">IF(N57&lt;N46,"agences : FFO / dette ≥ 18 %","Veolia : levier ≤ 3x")</f>
        <v>Veolia : levier ≤ 3x</v>
      </c>
      <c r="O59" s="102" t="str">
        <f aca="false">IF(O57&lt;O46,"agences : FFO / dette ≥ 18 %","Veolia : levier ≤ 3x")</f>
        <v>Veolia : levier ≤ 3x</v>
      </c>
      <c r="P59" s="102" t="str">
        <f aca="false">IF(P57&lt;P46,"agences : FFO / dette ≥ 18 %","Veolia : levier ≤ 3x")</f>
        <v>Veolia : levier ≤ 3x</v>
      </c>
      <c r="Q59" s="102" t="str">
        <f aca="false">IF(Q57&lt;Q46,"agences : FFO / dette ≥ 18 %","Veolia : levier ≤ 3x")</f>
        <v>Veolia : levier ≤ 3x</v>
      </c>
      <c r="R59" s="102" t="str">
        <f aca="false">IF(R57&lt;R46,"agences : FFO / dette ≥ 18 %","Veolia : levier ≤ 3x")</f>
        <v>Veolia : levier ≤ 3x</v>
      </c>
      <c r="S59" s="102" t="str">
        <f aca="false">IF(S57&lt;S46,"agences : FFO / dette ≥ 18 %","Veolia : levier ≤ 3x")</f>
        <v>Veolia : levier ≤ 3x</v>
      </c>
      <c r="T59" s="102" t="str">
        <f aca="false">IF(T57&lt;T46,"agences : FFO / dette ≥ 18 %","Veolia : levier ≤ 3x")</f>
        <v>Veolia : levier ≤ 3x</v>
      </c>
      <c r="U59" s="102" t="str">
        <f aca="false">IF(U57&lt;U46,"agences : FFO / dette ≥ 18 %","Veolia : levier ≤ 3x")</f>
        <v>Veolia : levier ≤ 3x</v>
      </c>
      <c r="V59" s="102" t="str">
        <f aca="false">IF(V57&lt;V46,"agences : FFO / dette ≥ 18 %","Veolia : levier ≤ 3x")</f>
        <v>Veolia : levier ≤ 3x</v>
      </c>
      <c r="W59" s="102" t="str">
        <f aca="false">IF(W57&lt;W46,"agences : FFO / dette ≥ 18 %","Veolia : levier ≤ 3x")</f>
        <v>Veolia : levier ≤ 3x</v>
      </c>
      <c r="X59" s="102" t="str">
        <f aca="false">IF(X57&lt;X46,"agences : FFO / dette ≥ 18 %","Veolia : levier ≤ 3x")</f>
        <v>Veolia : levier ≤ 3x</v>
      </c>
      <c r="Y59" s="102" t="str">
        <f aca="false">IF(Y57&lt;Y46,"agences : FFO / dette ≥ 18 %","Veolia : levier ≤ 3x")</f>
        <v>Veolia : levier ≤ 3x</v>
      </c>
      <c r="Z59" s="102" t="str">
        <f aca="false">IF(Z57&lt;Z46,"agences : FFO / dette ≥ 18 %","Veolia : levier ≤ 3x")</f>
        <v>Veolia : levier ≤ 3x</v>
      </c>
      <c r="AA59" s="102" t="str">
        <f aca="false">IF(AA57&lt;AA46,"agences : FFO / dette ≥ 18 %","Veolia : levier ≤ 3x")</f>
        <v>Veolia : levier ≤ 3x</v>
      </c>
      <c r="AB59" s="102" t="str">
        <f aca="false">IF(AB57&lt;AB46,"agences : FFO / dette ≥ 18 %","Veolia : levier ≤ 3x")</f>
        <v>Veolia : levier ≤ 3x</v>
      </c>
      <c r="AC59" s="102" t="str">
        <f aca="false">IF(AC57&lt;AC46,"agences : FFO / dette ≥ 18 %","Veolia : levier ≤ 3x")</f>
        <v>Veolia : levier ≤ 3x</v>
      </c>
      <c r="AD59" s="102" t="str">
        <f aca="false">IF(AD57&lt;AD46,"agences : FFO / dette ≥ 18 %","Veolia : levier ≤ 3x")</f>
        <v>Veolia : levier ≤ 3x</v>
      </c>
      <c r="AE59" s="102" t="str">
        <f aca="false">IF(AE57&lt;AE46,"agences : FFO / dette ≥ 18 %","Veolia : levier ≤ 3x")</f>
        <v>Veolia : levier ≤ 3x</v>
      </c>
      <c r="AF59" s="102" t="str">
        <f aca="false">IF(AF57&lt;AF46,"agences : FFO / dette ≥ 18 %","Veolia : levier ≤ 3x")</f>
        <v>Veolia : levier ≤ 3x</v>
      </c>
    </row>
    <row r="60" customFormat="false" ht="15" hidden="false" customHeight="false" outlineLevel="0" collapsed="false">
      <c r="A60" s="23" t="s">
        <v>2462</v>
      </c>
      <c r="B60" s="21" t="s">
        <v>2463</v>
      </c>
      <c r="C60" s="23" t="s">
        <v>100</v>
      </c>
      <c r="D60" s="99" t="n">
        <f aca="false">IF(D18&gt;D25,MAX(0,D58)/(1-D25/D18),0)</f>
        <v>2263.61937644927</v>
      </c>
      <c r="E60" s="99" t="n">
        <f aca="false">IF(E18&gt;E25,MAX(0,E58)/(1-E25/E18),0)</f>
        <v>2093.79134735295</v>
      </c>
      <c r="F60" s="99" t="n">
        <f aca="false">IF(F18&gt;F25,MAX(0,F58)/(1-F25/F18),0)</f>
        <v>2433.4474055456</v>
      </c>
      <c r="G60" s="99" t="n">
        <f aca="false">IF(G18&gt;G25,MAX(0,G58)/(1-G25/G18),0)</f>
        <v>1744.1966363455</v>
      </c>
      <c r="H60" s="99" t="n">
        <f aca="false">IF(H18&gt;H25,MAX(0,H58)/(1-H25/H18),0)</f>
        <v>2783.04211655306</v>
      </c>
      <c r="I60" s="99" t="n">
        <f aca="false">IF(I18&gt;I25,MAX(0,I58)/(1-I25/I18),0)</f>
        <v>2181.67297724788</v>
      </c>
      <c r="J60" s="99" t="n">
        <f aca="false">IF(J18&gt;J25,MAX(0,J58)/(1-J25/J18),0)</f>
        <v>2345.56577565067</v>
      </c>
      <c r="K60" s="99" t="n">
        <f aca="false">IF(K18&gt;K25,MAX(0,K58)/(1-K25/K18),0)</f>
        <v>2147.10790839042</v>
      </c>
      <c r="L60" s="99" t="n">
        <f aca="false">IF(L18&gt;L25,MAX(0,L58)/(1-L25/L18),0)</f>
        <v>2380.13084450814</v>
      </c>
      <c r="M60" s="99" t="n">
        <f aca="false">IF(M18&gt;M25,MAX(0,M58)/(1-M25/M18),0)</f>
        <v>1794.08408233163</v>
      </c>
      <c r="N60" s="99" t="n">
        <f aca="false">IF(N18&gt;N25,MAX(0,N58)/(1-N25/N18),0)</f>
        <v>2498.3870235081</v>
      </c>
      <c r="O60" s="99" t="n">
        <f aca="false">IF(O18&gt;O25,MAX(0,O58)/(1-O25/O18),0)</f>
        <v>1933.53514408148</v>
      </c>
      <c r="P60" s="99" t="n">
        <f aca="false">IF(P18&gt;P25,MAX(0,P58)/(1-P25/P18),0)</f>
        <v>2508.66763651759</v>
      </c>
      <c r="Q60" s="99" t="n">
        <f aca="false">IF(Q18&gt;Q25,MAX(0,Q58)/(1-Q25/Q18),0)</f>
        <v>2326.97349409634</v>
      </c>
      <c r="R60" s="99" t="n">
        <f aca="false">IF(R18&gt;R25,MAX(0,R58)/(1-R25/R18),0)</f>
        <v>2200.26525880222</v>
      </c>
      <c r="S60" s="99" t="n">
        <f aca="false">IF(S18&gt;S25,MAX(0,S58)/(1-S25/S18),0)</f>
        <v>2269.89852108327</v>
      </c>
      <c r="T60" s="99" t="n">
        <f aca="false">IF(T18&gt;T25,MAX(0,T58)/(1-T25/T18),0)</f>
        <v>2257.34023181529</v>
      </c>
      <c r="U60" s="99" t="n">
        <f aca="false">IF(U18&gt;U25,MAX(0,U58)/(1-U25/U18),0)</f>
        <v>1574.46139204086</v>
      </c>
      <c r="V60" s="99" t="n">
        <f aca="false">IF(V18&gt;V25,MAX(0,V58)/(1-V25/V18),0)</f>
        <v>2952.7773608577</v>
      </c>
      <c r="W60" s="99" t="n">
        <f aca="false">IF(W18&gt;W25,MAX(0,W58)/(1-W25/W18),0)</f>
        <v>2125.05007100363</v>
      </c>
      <c r="X60" s="99" t="n">
        <f aca="false">IF(X18&gt;X25,MAX(0,X58)/(1-X25/X18),0)</f>
        <v>2355.99891341305</v>
      </c>
      <c r="Y60" s="99" t="n">
        <f aca="false">IF(Y18&gt;Y25,MAX(0,Y58)/(1-Y25/Y18),0)</f>
        <v>2751.21523200335</v>
      </c>
      <c r="Z60" s="99" t="n">
        <f aca="false">IF(Z18&gt;Z25,MAX(0,Z58)/(1-Z25/Z18),0)</f>
        <v>1776.02352089521</v>
      </c>
      <c r="AA60" s="99" t="n">
        <f aca="false">IF(AA18&gt;AA25,MAX(0,AA58)/(1-AA25/AA18),0)</f>
        <v>2263.61937644927</v>
      </c>
      <c r="AB60" s="99" t="n">
        <f aca="false">IF(AB18&gt;AB25,MAX(0,AB58)/(1-AB25/AB18),0)</f>
        <v>2263.61937644927</v>
      </c>
      <c r="AC60" s="99" t="n">
        <f aca="false">IF(AC18&gt;AC25,MAX(0,AC58)/(1-AC25/AC18),0)</f>
        <v>2729.77186132387</v>
      </c>
      <c r="AD60" s="99" t="n">
        <f aca="false">IF(AD18&gt;AD25,MAX(0,AD58)/(1-AD25/AD18),0)</f>
        <v>2135.42744310877</v>
      </c>
      <c r="AE60" s="99" t="n">
        <f aca="false">IF(AE18&gt;AE25,MAX(0,AE58)/(1-AE25/AE18),0)</f>
        <v>0</v>
      </c>
      <c r="AF60" s="99"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1" t="s">
        <v>2464</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0"/>
      <c r="B63" s="20" t="s">
        <v>2183</v>
      </c>
      <c r="C63" s="20" t="s">
        <v>2369</v>
      </c>
      <c r="D63" s="20" t="s">
        <v>2396</v>
      </c>
      <c r="E63" s="20" t="s">
        <v>2397</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4" t="s">
        <v>222</v>
      </c>
      <c r="C64" s="62" t="n">
        <f aca="false">Entrées!$C$25</f>
        <v>2.63</v>
      </c>
      <c r="D64" s="62" t="n">
        <f aca="false">Entrées!$C$25</f>
        <v>2.63</v>
      </c>
      <c r="E64" s="62"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4" t="s">
        <v>167</v>
      </c>
      <c r="C65" s="62" t="n">
        <f aca="false">Entrées!$C$21</f>
        <v>2.79</v>
      </c>
      <c r="D65" s="62" t="n">
        <f aca="false">Entrées!$C$21</f>
        <v>2.79</v>
      </c>
      <c r="E65" s="62"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4" t="s">
        <v>188</v>
      </c>
      <c r="C66" s="74" t="n">
        <f aca="false">$D$33</f>
        <v>3.01771731406222</v>
      </c>
      <c r="D66" s="74" t="n">
        <f aca="false">$AE$33</f>
        <v>3.06150079910223</v>
      </c>
      <c r="E66" s="74"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4" t="s">
        <v>153</v>
      </c>
      <c r="C67" s="74" t="n">
        <f aca="false">$D$45</f>
        <v>2.80320887741352</v>
      </c>
      <c r="D67" s="74" t="n">
        <f aca="false">$AE$45</f>
        <v>3.06785562669064</v>
      </c>
      <c r="E67" s="74"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2465</v>
      </c>
      <c r="B1" s="2"/>
      <c r="C1" s="2"/>
      <c r="D1" s="2"/>
      <c r="E1" s="2"/>
      <c r="F1" s="2"/>
      <c r="G1" s="2"/>
      <c r="H1" s="2"/>
      <c r="I1" s="2"/>
      <c r="J1" s="2"/>
      <c r="K1" s="2"/>
      <c r="L1" s="2"/>
      <c r="M1" s="2"/>
      <c r="N1" s="2"/>
      <c r="O1" s="2"/>
    </row>
    <row r="2" customFormat="false" ht="15" hidden="false" customHeight="false" outlineLevel="0" collapsed="false">
      <c r="A2" s="3" t="s">
        <v>2466</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0" t="s">
        <v>1833</v>
      </c>
      <c r="B4" s="20" t="s">
        <v>1834</v>
      </c>
      <c r="C4" s="20" t="s">
        <v>2467</v>
      </c>
      <c r="D4" s="20" t="s">
        <v>2468</v>
      </c>
      <c r="E4" s="20" t="s">
        <v>2469</v>
      </c>
      <c r="F4" s="20" t="s">
        <v>2470</v>
      </c>
      <c r="G4" s="20" t="s">
        <v>2471</v>
      </c>
      <c r="H4" s="20" t="s">
        <v>2472</v>
      </c>
      <c r="I4" s="20" t="s">
        <v>2473</v>
      </c>
      <c r="J4" s="20" t="s">
        <v>2474</v>
      </c>
      <c r="K4" s="20" t="s">
        <v>2475</v>
      </c>
      <c r="L4" s="20" t="s">
        <v>2476</v>
      </c>
      <c r="M4" s="20" t="s">
        <v>2477</v>
      </c>
      <c r="N4" s="20" t="s">
        <v>2478</v>
      </c>
      <c r="O4" s="20" t="s">
        <v>2479</v>
      </c>
    </row>
    <row r="5" customFormat="false" ht="15" hidden="false" customHeight="false" outlineLevel="0" collapsed="false">
      <c r="A5" s="23" t="s">
        <v>1841</v>
      </c>
      <c r="B5" s="103" t="str">
        <f aca="false">Hypothèses!$B$5</f>
        <v>Croissance organique de l'EBITDA en 2026</v>
      </c>
      <c r="C5" s="71" t="n">
        <f aca="false">Hypothèses!$D$5</f>
        <v>0.05</v>
      </c>
      <c r="D5" s="71" t="n">
        <f aca="false">Hypothèses!$E$5</f>
        <v>0.06</v>
      </c>
      <c r="E5" s="60" t="n">
        <f aca="false">Trajectoire!$E$46</f>
        <v>1452.83481244899</v>
      </c>
      <c r="F5" s="60" t="n">
        <f aca="false">Trajectoire!$F$46</f>
        <v>1688.51452629695</v>
      </c>
      <c r="G5" s="63" t="n">
        <f aca="false">E5-Trajectoire!$D$46</f>
        <v>-117.83985692398</v>
      </c>
      <c r="H5" s="63" t="n">
        <f aca="false">F5-Trajectoire!$D$46</f>
        <v>117.839856923983</v>
      </c>
      <c r="I5" s="44" t="n">
        <f aca="false">ABS(F5-E5)</f>
        <v>235.679713847963</v>
      </c>
      <c r="J5" s="62" t="n">
        <f aca="false">Trajectoire!$E$33</f>
        <v>3.03194474860946</v>
      </c>
      <c r="K5" s="62" t="n">
        <f aca="false">Trajectoire!$F$33</f>
        <v>3.00362278066543</v>
      </c>
      <c r="L5" s="104" t="n">
        <f aca="false">I5+ROW()/1000000</f>
        <v>235.679718847963</v>
      </c>
      <c r="M5" s="60" t="n">
        <f aca="false">Trajectoire!$E$57</f>
        <v>4175.93654420261</v>
      </c>
      <c r="N5" s="60" t="n">
        <f aca="false">Trajectoire!$F$57</f>
        <v>4490.9170913839</v>
      </c>
      <c r="O5" s="44" t="n">
        <f aca="false">ABS(N5-M5)</f>
        <v>314.980547181294</v>
      </c>
    </row>
    <row r="6" customFormat="false" ht="15" hidden="false" customHeight="false" outlineLevel="0" collapsed="false">
      <c r="A6" s="23" t="s">
        <v>1845</v>
      </c>
      <c r="B6" s="103" t="str">
        <f aca="false">Hypothèses!$B$6</f>
        <v>Croissance organique de l'EBITDA en 2027</v>
      </c>
      <c r="C6" s="71" t="n">
        <f aca="false">Hypothèses!$D$6</f>
        <v>0.04</v>
      </c>
      <c r="D6" s="71" t="n">
        <f aca="false">Hypothèses!$E$6</f>
        <v>0.07</v>
      </c>
      <c r="E6" s="60" t="n">
        <f aca="false">Trajectoire!$G$46</f>
        <v>1210.25889052545</v>
      </c>
      <c r="F6" s="60" t="n">
        <f aca="false">Trajectoire!$H$46</f>
        <v>1931.09044822049</v>
      </c>
      <c r="G6" s="63" t="n">
        <f aca="false">E6-Trajectoire!$D$46</f>
        <v>-360.415778847513</v>
      </c>
      <c r="H6" s="63" t="n">
        <f aca="false">F6-Trajectoire!$D$46</f>
        <v>360.415778847528</v>
      </c>
      <c r="I6" s="44" t="n">
        <f aca="false">ABS(F6-E6)</f>
        <v>720.831557695041</v>
      </c>
      <c r="J6" s="62" t="n">
        <f aca="false">Trajectoire!$G$33</f>
        <v>3.01771731406222</v>
      </c>
      <c r="K6" s="62" t="n">
        <f aca="false">Trajectoire!$H$33</f>
        <v>3.01771731406222</v>
      </c>
      <c r="L6" s="104" t="n">
        <f aca="false">I6+ROW()/1000000</f>
        <v>720.831563695041</v>
      </c>
      <c r="M6" s="60" t="n">
        <f aca="false">Trajectoire!$G$57</f>
        <v>3851.73937265576</v>
      </c>
      <c r="N6" s="60" t="n">
        <f aca="false">Trajectoire!$H$57</f>
        <v>4815.11426293077</v>
      </c>
      <c r="O6" s="44" t="n">
        <f aca="false">ABS(N6-M6)</f>
        <v>963.374890275016</v>
      </c>
    </row>
    <row r="7" customFormat="false" ht="15" hidden="false" customHeight="false" outlineLevel="0" collapsed="false">
      <c r="A7" s="23" t="s">
        <v>1849</v>
      </c>
      <c r="B7" s="103" t="str">
        <f aca="false">Hypothèses!$B$7</f>
        <v>EBITDA de Clean Earth en année pleine</v>
      </c>
      <c r="C7" s="60" t="n">
        <f aca="false">Hypothèses!$D$7</f>
        <v>180</v>
      </c>
      <c r="D7" s="60" t="n">
        <f aca="false">Hypothèses!$E$7</f>
        <v>220</v>
      </c>
      <c r="E7" s="60" t="n">
        <f aca="false">Trajectoire!$I$46</f>
        <v>1513.81390258016</v>
      </c>
      <c r="F7" s="60" t="n">
        <f aca="false">Trajectoire!$J$46</f>
        <v>1627.53543616577</v>
      </c>
      <c r="G7" s="63" t="n">
        <f aca="false">E7-Trajectoire!$D$46</f>
        <v>-56.8607667928009</v>
      </c>
      <c r="H7" s="63" t="n">
        <f aca="false">F7-Trajectoire!$D$46</f>
        <v>56.8607667928081</v>
      </c>
      <c r="I7" s="44" t="n">
        <f aca="false">ABS(F7-E7)</f>
        <v>113.721533585609</v>
      </c>
      <c r="J7" s="62" t="n">
        <f aca="false">Trajectoire!$I$33</f>
        <v>3.02170843759514</v>
      </c>
      <c r="K7" s="62" t="n">
        <f aca="false">Trajectoire!$J$33</f>
        <v>3.01373671970891</v>
      </c>
      <c r="L7" s="104" t="n">
        <f aca="false">I7+ROW()/1000000</f>
        <v>113.721540585609</v>
      </c>
      <c r="M7" s="60" t="n">
        <f aca="false">Trajectoire!$I$57</f>
        <v>4257.43370347244</v>
      </c>
      <c r="N7" s="60" t="n">
        <f aca="false">Trajectoire!$J$57</f>
        <v>4409.41993211408</v>
      </c>
      <c r="O7" s="44" t="n">
        <f aca="false">ABS(N7-M7)</f>
        <v>151.986228641636</v>
      </c>
    </row>
    <row r="8" customFormat="false" ht="15" hidden="false" customHeight="false" outlineLevel="0" collapsed="false">
      <c r="A8" s="23" t="s">
        <v>1852</v>
      </c>
      <c r="B8" s="103" t="str">
        <f aca="false">Hypothèses!$B$8</f>
        <v>Part des synergies réalisée en 2027</v>
      </c>
      <c r="C8" s="71" t="n">
        <f aca="false">Hypothèses!$D$8</f>
        <v>0</v>
      </c>
      <c r="D8" s="71" t="n">
        <f aca="false">Hypothèses!$E$8</f>
        <v>0.5</v>
      </c>
      <c r="E8" s="60" t="n">
        <f aca="false">Trajectoire!$K$46</f>
        <v>1489.8299772505</v>
      </c>
      <c r="F8" s="60" t="n">
        <f aca="false">Trajectoire!$L$46</f>
        <v>1651.51936149544</v>
      </c>
      <c r="G8" s="63" t="n">
        <f aca="false">E8-Trajectoire!$D$46</f>
        <v>-80.8446921224677</v>
      </c>
      <c r="H8" s="63" t="n">
        <f aca="false">F8-Trajectoire!$D$46</f>
        <v>80.8446921224786</v>
      </c>
      <c r="I8" s="44" t="n">
        <f aca="false">ABS(F8-E8)</f>
        <v>161.689384244946</v>
      </c>
      <c r="J8" s="62" t="n">
        <f aca="false">Trajectoire!$K$33</f>
        <v>3.01771731406222</v>
      </c>
      <c r="K8" s="62" t="n">
        <f aca="false">Trajectoire!$L$33</f>
        <v>3.01771731406222</v>
      </c>
      <c r="L8" s="104" t="n">
        <f aca="false">I8+ROW()/1000000</f>
        <v>161.689392244946</v>
      </c>
      <c r="M8" s="60" t="n">
        <f aca="false">Trajectoire!$K$57</f>
        <v>4225.37973582053</v>
      </c>
      <c r="N8" s="60" t="n">
        <f aca="false">Trajectoire!$L$57</f>
        <v>4441.47389976599</v>
      </c>
      <c r="O8" s="44" t="n">
        <f aca="false">ABS(N8-M8)</f>
        <v>216.094163945454</v>
      </c>
    </row>
    <row r="9" customFormat="false" ht="15" hidden="false" customHeight="false" outlineLevel="0" collapsed="false">
      <c r="A9" s="23" t="s">
        <v>1855</v>
      </c>
      <c r="B9" s="103" t="str">
        <f aca="false">Hypothèses!$B$9</f>
        <v>Cash-flow libre net du S2 2026</v>
      </c>
      <c r="C9" s="60" t="n">
        <f aca="false">Hypothèses!$D$9</f>
        <v>1303.2</v>
      </c>
      <c r="D9" s="60" t="n">
        <f aca="false">Hypothèses!$E$9</f>
        <v>1791.9</v>
      </c>
      <c r="E9" s="60" t="n">
        <f aca="false">Trajectoire!$M$46</f>
        <v>1244.87466937297</v>
      </c>
      <c r="F9" s="60" t="n">
        <f aca="false">Trajectoire!$N$46</f>
        <v>1733.57466937297</v>
      </c>
      <c r="G9" s="63" t="n">
        <f aca="false">E9-Trajectoire!$D$46</f>
        <v>-325.799999999996</v>
      </c>
      <c r="H9" s="63" t="n">
        <f aca="false">F9-Trajectoire!$D$46</f>
        <v>162.900000000001</v>
      </c>
      <c r="I9" s="44" t="n">
        <f aca="false">ABS(F9-E9)</f>
        <v>488.699999999997</v>
      </c>
      <c r="J9" s="62" t="n">
        <f aca="false">Trajectoire!$M$33</f>
        <v>3.06108809799277</v>
      </c>
      <c r="K9" s="62" t="n">
        <f aca="false">Trajectoire!$N$33</f>
        <v>2.99603192209695</v>
      </c>
      <c r="L9" s="104" t="n">
        <f aca="false">I9+ROW()/1000000</f>
        <v>488.700008999997</v>
      </c>
      <c r="M9" s="60" t="n">
        <f aca="false">Trajectoire!$M$57</f>
        <v>4007.62681779326</v>
      </c>
      <c r="N9" s="60" t="n">
        <f aca="false">Trajectoire!$N$57</f>
        <v>4496.32681779326</v>
      </c>
      <c r="O9" s="44" t="n">
        <f aca="false">ABS(N9-M9)</f>
        <v>488.699999999997</v>
      </c>
    </row>
    <row r="10" customFormat="false" ht="15" hidden="false" customHeight="false" outlineLevel="0" collapsed="false">
      <c r="A10" s="23" t="s">
        <v>1859</v>
      </c>
      <c r="B10" s="103" t="str">
        <f aca="false">Hypothèses!$B$10</f>
        <v>Conversion cash-flow libre net / EBITDA en 2027</v>
      </c>
      <c r="C10" s="71" t="n">
        <f aca="false">Hypothèses!$D$10</f>
        <v>0.14</v>
      </c>
      <c r="D10" s="71" t="n">
        <f aca="false">Hypothèses!$E$10</f>
        <v>0.19</v>
      </c>
      <c r="E10" s="60" t="n">
        <f aca="false">Trajectoire!$O$46</f>
        <v>1341.63663058715</v>
      </c>
      <c r="F10" s="60" t="n">
        <f aca="false">Trajectoire!$P$46</f>
        <v>1740.70815595098</v>
      </c>
      <c r="G10" s="63" t="n">
        <f aca="false">E10-Trajectoire!$D$46</f>
        <v>-229.038038785817</v>
      </c>
      <c r="H10" s="63" t="n">
        <f aca="false">F10-Trajectoire!$D$46</f>
        <v>170.033486578017</v>
      </c>
      <c r="I10" s="44" t="n">
        <f aca="false">ABS(F10-E10)</f>
        <v>399.071525363834</v>
      </c>
      <c r="J10" s="62" t="n">
        <f aca="false">Trajectoire!$O$33</f>
        <v>3.01771731406222</v>
      </c>
      <c r="K10" s="62" t="n">
        <f aca="false">Trajectoire!$P$33</f>
        <v>3.01771731406222</v>
      </c>
      <c r="L10" s="104" t="n">
        <f aca="false">I10+ROW()/1000000</f>
        <v>399.071535363834</v>
      </c>
      <c r="M10" s="60" t="n">
        <f aca="false">Trajectoire!$O$57</f>
        <v>4104.38877900744</v>
      </c>
      <c r="N10" s="60" t="n">
        <f aca="false">Trajectoire!$P$57</f>
        <v>4503.46030437127</v>
      </c>
      <c r="O10" s="44" t="n">
        <f aca="false">ABS(N10-M10)</f>
        <v>399.071525363834</v>
      </c>
    </row>
    <row r="11" customFormat="false" ht="15" hidden="false" customHeight="false" outlineLevel="0" collapsed="false">
      <c r="A11" s="23" t="s">
        <v>1863</v>
      </c>
      <c r="B11" s="103" t="str">
        <f aca="false">Hypothèses!$B$11</f>
        <v>Croissance du dividende versé en 2027</v>
      </c>
      <c r="C11" s="71" t="n">
        <f aca="false">Hypothèses!$D$11</f>
        <v>0.04</v>
      </c>
      <c r="D11" s="71" t="n">
        <f aca="false">Hypothèses!$E$11</f>
        <v>0.12</v>
      </c>
      <c r="E11" s="60" t="n">
        <f aca="false">Trajectoire!$Q$46</f>
        <v>1614.63466937297</v>
      </c>
      <c r="F11" s="60" t="n">
        <f aca="false">Trajectoire!$R$46</f>
        <v>1526.71466937297</v>
      </c>
      <c r="G11" s="63" t="n">
        <f aca="false">E11-Trajectoire!$D$46</f>
        <v>43.9600000000028</v>
      </c>
      <c r="H11" s="63" t="n">
        <f aca="false">F11-Trajectoire!$D$46</f>
        <v>-43.9599999999991</v>
      </c>
      <c r="I11" s="44" t="n">
        <f aca="false">ABS(F11-E11)</f>
        <v>87.9200000000019</v>
      </c>
      <c r="J11" s="62" t="n">
        <f aca="false">Trajectoire!$Q$33</f>
        <v>3.01771731406222</v>
      </c>
      <c r="K11" s="62" t="n">
        <f aca="false">Trajectoire!$R$33</f>
        <v>3.01771731406222</v>
      </c>
      <c r="L11" s="104" t="n">
        <f aca="false">I11+ROW()/1000000</f>
        <v>87.9200110000019</v>
      </c>
      <c r="M11" s="60" t="n">
        <f aca="false">Trajectoire!$Q$57</f>
        <v>4377.38681779326</v>
      </c>
      <c r="N11" s="60" t="n">
        <f aca="false">Trajectoire!$R$57</f>
        <v>4289.46681779325</v>
      </c>
      <c r="O11" s="44" t="n">
        <f aca="false">ABS(N11-M11)</f>
        <v>87.9200000000019</v>
      </c>
    </row>
    <row r="12" customFormat="false" ht="15" hidden="false" customHeight="false" outlineLevel="0" collapsed="false">
      <c r="A12" s="23" t="s">
        <v>1866</v>
      </c>
      <c r="B12" s="103" t="str">
        <f aca="false">Hypothèses!$B$12</f>
        <v>Part des signatures 2026 encaissée avant le 31/12/2026</v>
      </c>
      <c r="C12" s="71" t="n">
        <f aca="false">Hypothèses!$D$12</f>
        <v>0</v>
      </c>
      <c r="D12" s="71" t="n">
        <f aca="false">Hypothèses!$E$12</f>
        <v>1</v>
      </c>
      <c r="E12" s="60" t="n">
        <f aca="false">Trajectoire!$S$46</f>
        <v>1575.03162687411</v>
      </c>
      <c r="F12" s="60" t="n">
        <f aca="false">Trajectoire!$T$46</f>
        <v>1566.31771187183</v>
      </c>
      <c r="G12" s="63" t="n">
        <f aca="false">E12-Trajectoire!$D$46</f>
        <v>4.35695750114246</v>
      </c>
      <c r="H12" s="63" t="n">
        <f aca="false">F12-Trajectoire!$D$46</f>
        <v>-4.35695750113518</v>
      </c>
      <c r="I12" s="44" t="n">
        <f aca="false">ABS(F12-E12)</f>
        <v>8.71391500227765</v>
      </c>
      <c r="J12" s="62" t="n">
        <f aca="false">Trajectoire!$S$33</f>
        <v>3.04087742773838</v>
      </c>
      <c r="K12" s="62" t="n">
        <f aca="false">Trajectoire!$T$33</f>
        <v>2.99440253090257</v>
      </c>
      <c r="L12" s="104" t="n">
        <f aca="false">I12+ROW()/1000000</f>
        <v>8.71392700227765</v>
      </c>
      <c r="M12" s="60" t="n">
        <f aca="false">Trajectoire!$S$57</f>
        <v>4339.24979184286</v>
      </c>
      <c r="N12" s="60" t="n">
        <f aca="false">Trajectoire!$T$57</f>
        <v>4327.60384374366</v>
      </c>
      <c r="O12" s="44" t="n">
        <f aca="false">ABS(N12-M12)</f>
        <v>11.6459480992016</v>
      </c>
    </row>
    <row r="13" customFormat="false" ht="15" hidden="false" customHeight="false" outlineLevel="0" collapsed="false">
      <c r="A13" s="23" t="s">
        <v>1869</v>
      </c>
      <c r="B13" s="103" t="str">
        <f aca="false">Hypothèses!$B$13</f>
        <v>Part du reste du programme encaissée en 2027</v>
      </c>
      <c r="C13" s="71" t="n">
        <f aca="false">Hypothèses!$D$13</f>
        <v>0</v>
      </c>
      <c r="D13" s="71" t="n">
        <f aca="false">Hypothèses!$E$13</f>
        <v>1</v>
      </c>
      <c r="E13" s="60" t="n">
        <f aca="false">Trajectoire!$U$46</f>
        <v>1092.48341488549</v>
      </c>
      <c r="F13" s="60" t="n">
        <f aca="false">Trajectoire!$V$46</f>
        <v>2048.86592386045</v>
      </c>
      <c r="G13" s="63" t="n">
        <f aca="false">E13-Trajectoire!$D$46</f>
        <v>-478.191254487472</v>
      </c>
      <c r="H13" s="63" t="n">
        <f aca="false">F13-Trajectoire!$D$46</f>
        <v>478.191254487479</v>
      </c>
      <c r="I13" s="44" t="n">
        <f aca="false">ABS(F13-E13)</f>
        <v>956.382508974952</v>
      </c>
      <c r="J13" s="62" t="n">
        <f aca="false">Trajectoire!$U$33</f>
        <v>3.01771731406222</v>
      </c>
      <c r="K13" s="62" t="n">
        <f aca="false">Trajectoire!$V$33</f>
        <v>3.01771731406222</v>
      </c>
      <c r="L13" s="104" t="n">
        <f aca="false">I13+ROW()/1000000</f>
        <v>956.382521974952</v>
      </c>
      <c r="M13" s="60" t="n">
        <f aca="false">Trajectoire!$U$57</f>
        <v>3929.86913304573</v>
      </c>
      <c r="N13" s="60" t="n">
        <f aca="false">Trajectoire!$V$57</f>
        <v>4736.98450254079</v>
      </c>
      <c r="O13" s="44" t="n">
        <f aca="false">ABS(N13-M13)</f>
        <v>807.115369495052</v>
      </c>
    </row>
    <row r="14" customFormat="false" ht="15" hidden="false" customHeight="false" outlineLevel="0" collapsed="false">
      <c r="A14" s="23" t="s">
        <v>1872</v>
      </c>
      <c r="B14" s="103" t="str">
        <f aca="false">Hypothèses!$B$14</f>
        <v>Multiple VE / EBITDA des actifs cédés</v>
      </c>
      <c r="C14" s="88" t="n">
        <f aca="false">Hypothèses!$D$14</f>
        <v>8</v>
      </c>
      <c r="D14" s="88" t="n">
        <f aca="false">Hypothèses!$E$14</f>
        <v>12</v>
      </c>
      <c r="E14" s="60" t="n">
        <f aca="false">Trajectoire!$W$46</f>
        <v>1474.52453906374</v>
      </c>
      <c r="F14" s="60" t="n">
        <f aca="false">Trajectoire!$X$46</f>
        <v>1634.77475624579</v>
      </c>
      <c r="G14" s="63" t="n">
        <f aca="false">E14-Trajectoire!$D$46</f>
        <v>-96.1501303092227</v>
      </c>
      <c r="H14" s="63" t="n">
        <f aca="false">F14-Trajectoire!$D$46</f>
        <v>64.1000868728224</v>
      </c>
      <c r="I14" s="44" t="n">
        <f aca="false">ABS(F14-E14)</f>
        <v>160.250217182045</v>
      </c>
      <c r="J14" s="62" t="n">
        <f aca="false">Trajectoire!$W$33</f>
        <v>3.02023016223954</v>
      </c>
      <c r="K14" s="62" t="n">
        <f aca="false">Trajectoire!$X$33</f>
        <v>3.01604440366019</v>
      </c>
      <c r="L14" s="104" t="n">
        <f aca="false">I14+ROW()/1000000</f>
        <v>160.250231182045</v>
      </c>
      <c r="M14" s="60" t="n">
        <f aca="false">Trajectoire!$W$57</f>
        <v>4204.92436774408</v>
      </c>
      <c r="N14" s="60" t="n">
        <f aca="false">Trajectoire!$X$57</f>
        <v>4419.09511782605</v>
      </c>
      <c r="O14" s="44" t="n">
        <f aca="false">ABS(N14-M14)</f>
        <v>214.170750081968</v>
      </c>
    </row>
    <row r="15" customFormat="false" ht="15" hidden="false" customHeight="false" outlineLevel="0" collapsed="false">
      <c r="A15" s="23" t="s">
        <v>1875</v>
      </c>
      <c r="B15" s="103" t="str">
        <f aca="false">Hypothèses!$B$15</f>
        <v>Tuck-ins payés en 2027</v>
      </c>
      <c r="C15" s="77" t="n">
        <f aca="false">Hypothèses!$D$15</f>
        <v>0</v>
      </c>
      <c r="D15" s="77" t="n">
        <f aca="false">Hypothèses!$E$15</f>
        <v>1</v>
      </c>
      <c r="E15" s="60" t="n">
        <f aca="false">Trajectoire!$Y$46</f>
        <v>1909.00648751253</v>
      </c>
      <c r="F15" s="60" t="n">
        <f aca="false">Trajectoire!$Z$46</f>
        <v>1232.34285123341</v>
      </c>
      <c r="G15" s="63" t="n">
        <f aca="false">E15-Trajectoire!$D$46</f>
        <v>338.331818139563</v>
      </c>
      <c r="H15" s="63" t="n">
        <f aca="false">F15-Trajectoire!$D$46</f>
        <v>-338.331818139555</v>
      </c>
      <c r="I15" s="44" t="n">
        <f aca="false">ABS(F15-E15)</f>
        <v>676.663636279118</v>
      </c>
      <c r="J15" s="62" t="n">
        <f aca="false">Trajectoire!$Y$33</f>
        <v>3.01771731406222</v>
      </c>
      <c r="K15" s="62" t="n">
        <f aca="false">Trajectoire!$Z$33</f>
        <v>3.01771731406222</v>
      </c>
      <c r="L15" s="104" t="n">
        <f aca="false">I15+ROW()/1000000</f>
        <v>676.663651279118</v>
      </c>
      <c r="M15" s="60" t="n">
        <f aca="false">Trajectoire!$Y$57</f>
        <v>4617.36099034976</v>
      </c>
      <c r="N15" s="60" t="n">
        <f aca="false">Trajectoire!$Z$57</f>
        <v>4049.49264523675</v>
      </c>
      <c r="O15" s="44" t="n">
        <f aca="false">ABS(N15-M15)</f>
        <v>567.868345113006</v>
      </c>
    </row>
    <row r="16" customFormat="false" ht="15" hidden="false" customHeight="false" outlineLevel="0" collapsed="false">
      <c r="A16" s="23" t="s">
        <v>1879</v>
      </c>
      <c r="B16" s="103" t="str">
        <f aca="false">Hypothèses!$B$16</f>
        <v>FFO (mesure des agences) en % de l'EBITDA</v>
      </c>
      <c r="C16" s="71" t="n">
        <f aca="false">Hypothèses!$D$16</f>
        <v>0.69531914893617</v>
      </c>
      <c r="D16" s="71" t="n">
        <f aca="false">Hypothèses!$E$16</f>
        <v>0.753872340425532</v>
      </c>
      <c r="E16" s="60" t="n">
        <f aca="false">Trajectoire!$AA$46</f>
        <v>1570.67466937297</v>
      </c>
      <c r="F16" s="60" t="n">
        <f aca="false">Trajectoire!$AB$46</f>
        <v>1570.67466937297</v>
      </c>
      <c r="G16" s="63" t="n">
        <f aca="false">E16-Trajectoire!$D$46</f>
        <v>0</v>
      </c>
      <c r="H16" s="63" t="n">
        <f aca="false">F16-Trajectoire!$D$46</f>
        <v>0</v>
      </c>
      <c r="I16" s="44" t="n">
        <f aca="false">ABS(F16-E16)</f>
        <v>0</v>
      </c>
      <c r="J16" s="62" t="n">
        <f aca="false">Trajectoire!$AA$33</f>
        <v>3.01771731406222</v>
      </c>
      <c r="K16" s="62" t="n">
        <f aca="false">Trajectoire!$AB$33</f>
        <v>3.01771731406222</v>
      </c>
      <c r="L16" s="104" t="n">
        <f aca="false">I16+ROW()/1000000</f>
        <v>1.6E-005</v>
      </c>
      <c r="M16" s="60" t="n">
        <f aca="false">Trajectoire!$AA$57</f>
        <v>2710.72463428073</v>
      </c>
      <c r="N16" s="60" t="n">
        <f aca="false">Trajectoire!$AB$57</f>
        <v>5307.04812790077</v>
      </c>
      <c r="O16" s="44" t="n">
        <f aca="false">ABS(N16-M16)</f>
        <v>2596.32349362003</v>
      </c>
    </row>
    <row r="17" customFormat="false" ht="15" hidden="false" customHeight="false" outlineLevel="0" collapsed="false">
      <c r="A17" s="23" t="s">
        <v>1893</v>
      </c>
      <c r="B17" s="103" t="str">
        <f aca="false">Hypothèses!$B$21</f>
        <v>Multiple VE / EBITDA des tuck-ins</v>
      </c>
      <c r="C17" s="88" t="n">
        <f aca="false">Hypothèses!$D$21</f>
        <v>7.4</v>
      </c>
      <c r="D17" s="88" t="n">
        <f aca="false">Hypothèses!$E$21</f>
        <v>11</v>
      </c>
      <c r="E17" s="60" t="n">
        <f aca="false">Trajectoire!$AC$46</f>
        <v>1623.1075932196</v>
      </c>
      <c r="F17" s="60" t="n">
        <f aca="false">Trajectoire!$AD$46</f>
        <v>1553.03814044274</v>
      </c>
      <c r="G17" s="63" t="n">
        <f aca="false">E17-Trajectoire!$D$46</f>
        <v>52.4329238466307</v>
      </c>
      <c r="H17" s="63" t="n">
        <f aca="false">F17-Trajectoire!$D$46</f>
        <v>-17.6365289302266</v>
      </c>
      <c r="I17" s="44" t="n">
        <f aca="false">ABS(F17-E17)</f>
        <v>70.0694527768574</v>
      </c>
      <c r="J17" s="62" t="n">
        <f aca="false">Trajectoire!$AC$33</f>
        <v>3.01771731406222</v>
      </c>
      <c r="K17" s="62" t="n">
        <f aca="false">Trajectoire!$AD$33</f>
        <v>3.01771731406222</v>
      </c>
      <c r="L17" s="104" t="n">
        <f aca="false">I17+ROW()/1000000</f>
        <v>70.0694697768574</v>
      </c>
      <c r="M17" s="60" t="n">
        <f aca="false">Trajectoire!$AC$57</f>
        <v>4403.50222128844</v>
      </c>
      <c r="N17" s="60" t="n">
        <f aca="false">Trajectoire!$AD$57</f>
        <v>4309.85600025396</v>
      </c>
      <c r="O17" s="44"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1" t="s">
        <v>2480</v>
      </c>
      <c r="C19" s="2"/>
      <c r="D19" s="2"/>
      <c r="E19" s="67" t="n">
        <f aca="false">Trajectoire!$D$46</f>
        <v>1570.67466937297</v>
      </c>
      <c r="F19" s="2"/>
      <c r="G19" s="2"/>
      <c r="H19" s="2"/>
      <c r="I19" s="2"/>
      <c r="J19" s="2"/>
      <c r="K19" s="2"/>
      <c r="L19" s="2"/>
      <c r="M19" s="67"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1" t="s">
        <v>2481</v>
      </c>
      <c r="B21" s="2"/>
      <c r="C21" s="2"/>
      <c r="D21" s="2"/>
      <c r="E21" s="2"/>
      <c r="F21" s="2"/>
      <c r="G21" s="2"/>
      <c r="H21" s="2"/>
      <c r="I21" s="2"/>
      <c r="J21" s="2"/>
      <c r="K21" s="2"/>
      <c r="L21" s="2"/>
      <c r="M21" s="2"/>
      <c r="N21" s="2"/>
      <c r="O21" s="2"/>
    </row>
    <row r="22" customFormat="false" ht="15" hidden="false" customHeight="false" outlineLevel="0" collapsed="false">
      <c r="A22" s="20" t="s">
        <v>2482</v>
      </c>
      <c r="B22" s="20" t="s">
        <v>1834</v>
      </c>
      <c r="C22" s="20" t="s">
        <v>2471</v>
      </c>
      <c r="D22" s="20" t="s">
        <v>2472</v>
      </c>
      <c r="E22" s="20" t="s">
        <v>2473</v>
      </c>
      <c r="F22" s="2"/>
      <c r="G22" s="2"/>
      <c r="H22" s="2"/>
      <c r="I22" s="2"/>
      <c r="J22" s="2"/>
      <c r="K22" s="2"/>
      <c r="L22" s="2"/>
      <c r="M22" s="2"/>
      <c r="N22" s="2"/>
      <c r="O22" s="2"/>
    </row>
    <row r="23" customFormat="false" ht="15" hidden="false" customHeight="false" outlineLevel="0" collapsed="false">
      <c r="A23" s="24" t="n">
        <v>1</v>
      </c>
      <c r="B23" s="5" t="str">
        <f aca="false">INDEX($B$5:$B$17,MATCH(LARGE($L$5:$L$17,A23),$L$5:$L$17,0))</f>
        <v>Part du reste du programme encaissée en 2027</v>
      </c>
      <c r="C23" s="63" t="n">
        <f aca="false">INDEX($G$5:$G$17,MATCH(LARGE($L$5:$L$17,A23),$L$5:$L$17,0))</f>
        <v>-478.191254487472</v>
      </c>
      <c r="D23" s="63" t="n">
        <f aca="false">INDEX($H$5:$H$17,MATCH(LARGE($L$5:$L$17,A23),$L$5:$L$17,0))</f>
        <v>478.191254487479</v>
      </c>
      <c r="E23" s="44" t="n">
        <f aca="false">INDEX($I$5:$I$17,MATCH(LARGE($L$5:$L$17,A23),$L$5:$L$17,0))</f>
        <v>956.382508974952</v>
      </c>
      <c r="F23" s="2"/>
      <c r="G23" s="2"/>
      <c r="H23" s="2"/>
      <c r="I23" s="2"/>
      <c r="J23" s="2"/>
      <c r="K23" s="2"/>
      <c r="L23" s="2"/>
      <c r="M23" s="2"/>
      <c r="N23" s="2"/>
      <c r="O23" s="2"/>
    </row>
    <row r="24" customFormat="false" ht="15" hidden="false" customHeight="false" outlineLevel="0" collapsed="false">
      <c r="A24" s="24" t="n">
        <v>2</v>
      </c>
      <c r="B24" s="5" t="str">
        <f aca="false">INDEX($B$5:$B$17,MATCH(LARGE($L$5:$L$17,A24),$L$5:$L$17,0))</f>
        <v>Croissance organique de l'EBITDA en 2027</v>
      </c>
      <c r="C24" s="63" t="n">
        <f aca="false">INDEX($G$5:$G$17,MATCH(LARGE($L$5:$L$17,A24),$L$5:$L$17,0))</f>
        <v>-360.415778847513</v>
      </c>
      <c r="D24" s="63" t="n">
        <f aca="false">INDEX($H$5:$H$17,MATCH(LARGE($L$5:$L$17,A24),$L$5:$L$17,0))</f>
        <v>360.415778847528</v>
      </c>
      <c r="E24" s="44" t="n">
        <f aca="false">INDEX($I$5:$I$17,MATCH(LARGE($L$5:$L$17,A24),$L$5:$L$17,0))</f>
        <v>720.831557695041</v>
      </c>
      <c r="F24" s="2"/>
      <c r="G24" s="2"/>
      <c r="H24" s="2"/>
      <c r="I24" s="2"/>
      <c r="J24" s="2"/>
      <c r="K24" s="2"/>
      <c r="L24" s="2"/>
      <c r="M24" s="2"/>
      <c r="N24" s="2"/>
      <c r="O24" s="2"/>
    </row>
    <row r="25" customFormat="false" ht="15" hidden="false" customHeight="false" outlineLevel="0" collapsed="false">
      <c r="A25" s="24" t="n">
        <v>3</v>
      </c>
      <c r="B25" s="5" t="str">
        <f aca="false">INDEX($B$5:$B$17,MATCH(LARGE($L$5:$L$17,A25),$L$5:$L$17,0))</f>
        <v>Tuck-ins payés en 2027</v>
      </c>
      <c r="C25" s="63" t="n">
        <f aca="false">INDEX($G$5:$G$17,MATCH(LARGE($L$5:$L$17,A25),$L$5:$L$17,0))</f>
        <v>338.331818139563</v>
      </c>
      <c r="D25" s="63" t="n">
        <f aca="false">INDEX($H$5:$H$17,MATCH(LARGE($L$5:$L$17,A25),$L$5:$L$17,0))</f>
        <v>-338.331818139555</v>
      </c>
      <c r="E25" s="44" t="n">
        <f aca="false">INDEX($I$5:$I$17,MATCH(LARGE($L$5:$L$17,A25),$L$5:$L$17,0))</f>
        <v>676.663636279118</v>
      </c>
      <c r="F25" s="2"/>
      <c r="G25" s="2"/>
      <c r="H25" s="2"/>
      <c r="I25" s="2"/>
      <c r="J25" s="2"/>
      <c r="K25" s="2"/>
      <c r="L25" s="2"/>
      <c r="M25" s="2"/>
      <c r="N25" s="2"/>
      <c r="O25" s="2"/>
    </row>
    <row r="26" customFormat="false" ht="15" hidden="false" customHeight="false" outlineLevel="0" collapsed="false">
      <c r="A26" s="24" t="n">
        <v>4</v>
      </c>
      <c r="B26" s="5" t="str">
        <f aca="false">INDEX($B$5:$B$17,MATCH(LARGE($L$5:$L$17,A26),$L$5:$L$17,0))</f>
        <v>Cash-flow libre net du S2 2026</v>
      </c>
      <c r="C26" s="63" t="n">
        <f aca="false">INDEX($G$5:$G$17,MATCH(LARGE($L$5:$L$17,A26),$L$5:$L$17,0))</f>
        <v>-325.799999999996</v>
      </c>
      <c r="D26" s="63" t="n">
        <f aca="false">INDEX($H$5:$H$17,MATCH(LARGE($L$5:$L$17,A26),$L$5:$L$17,0))</f>
        <v>162.900000000001</v>
      </c>
      <c r="E26" s="44" t="n">
        <f aca="false">INDEX($I$5:$I$17,MATCH(LARGE($L$5:$L$17,A26),$L$5:$L$17,0))</f>
        <v>488.699999999997</v>
      </c>
      <c r="F26" s="2"/>
      <c r="G26" s="2"/>
      <c r="H26" s="2"/>
      <c r="I26" s="2"/>
      <c r="J26" s="2"/>
      <c r="K26" s="2"/>
      <c r="L26" s="2"/>
      <c r="M26" s="2"/>
      <c r="N26" s="2"/>
      <c r="O26" s="2"/>
    </row>
    <row r="27" customFormat="false" ht="15" hidden="false" customHeight="false" outlineLevel="0" collapsed="false">
      <c r="A27" s="24" t="n">
        <v>5</v>
      </c>
      <c r="B27" s="5" t="str">
        <f aca="false">INDEX($B$5:$B$17,MATCH(LARGE($L$5:$L$17,A27),$L$5:$L$17,0))</f>
        <v>Conversion cash-flow libre net / EBITDA en 2027</v>
      </c>
      <c r="C27" s="63" t="n">
        <f aca="false">INDEX($G$5:$G$17,MATCH(LARGE($L$5:$L$17,A27),$L$5:$L$17,0))</f>
        <v>-229.038038785817</v>
      </c>
      <c r="D27" s="63" t="n">
        <f aca="false">INDEX($H$5:$H$17,MATCH(LARGE($L$5:$L$17,A27),$L$5:$L$17,0))</f>
        <v>170.033486578017</v>
      </c>
      <c r="E27" s="44" t="n">
        <f aca="false">INDEX($I$5:$I$17,MATCH(LARGE($L$5:$L$17,A27),$L$5:$L$17,0))</f>
        <v>399.071525363834</v>
      </c>
      <c r="F27" s="2"/>
      <c r="G27" s="2"/>
      <c r="H27" s="2"/>
      <c r="I27" s="2"/>
      <c r="J27" s="2"/>
      <c r="K27" s="2"/>
      <c r="L27" s="2"/>
      <c r="M27" s="2"/>
      <c r="N27" s="2"/>
      <c r="O27" s="2"/>
    </row>
    <row r="28" customFormat="false" ht="15" hidden="false" customHeight="false" outlineLevel="0" collapsed="false">
      <c r="A28" s="24" t="n">
        <v>6</v>
      </c>
      <c r="B28" s="5" t="str">
        <f aca="false">INDEX($B$5:$B$17,MATCH(LARGE($L$5:$L$17,A28),$L$5:$L$17,0))</f>
        <v>Croissance organique de l'EBITDA en 2026</v>
      </c>
      <c r="C28" s="63" t="n">
        <f aca="false">INDEX($G$5:$G$17,MATCH(LARGE($L$5:$L$17,A28),$L$5:$L$17,0))</f>
        <v>-117.83985692398</v>
      </c>
      <c r="D28" s="63" t="n">
        <f aca="false">INDEX($H$5:$H$17,MATCH(LARGE($L$5:$L$17,A28),$L$5:$L$17,0))</f>
        <v>117.839856923983</v>
      </c>
      <c r="E28" s="44" t="n">
        <f aca="false">INDEX($I$5:$I$17,MATCH(LARGE($L$5:$L$17,A28),$L$5:$L$17,0))</f>
        <v>235.679713847963</v>
      </c>
      <c r="F28" s="2"/>
      <c r="G28" s="2"/>
      <c r="H28" s="2"/>
      <c r="I28" s="2"/>
      <c r="J28" s="2"/>
      <c r="K28" s="2"/>
      <c r="L28" s="2"/>
      <c r="M28" s="2"/>
      <c r="N28" s="2"/>
      <c r="O28" s="2"/>
    </row>
    <row r="29" customFormat="false" ht="15" hidden="false" customHeight="false" outlineLevel="0" collapsed="false">
      <c r="A29" s="24" t="n">
        <v>7</v>
      </c>
      <c r="B29" s="5" t="str">
        <f aca="false">INDEX($B$5:$B$17,MATCH(LARGE($L$5:$L$17,A29),$L$5:$L$17,0))</f>
        <v>Part des synergies réalisée en 2027</v>
      </c>
      <c r="C29" s="63" t="n">
        <f aca="false">INDEX($G$5:$G$17,MATCH(LARGE($L$5:$L$17,A29),$L$5:$L$17,0))</f>
        <v>-80.8446921224677</v>
      </c>
      <c r="D29" s="63" t="n">
        <f aca="false">INDEX($H$5:$H$17,MATCH(LARGE($L$5:$L$17,A29),$L$5:$L$17,0))</f>
        <v>80.8446921224786</v>
      </c>
      <c r="E29" s="44" t="n">
        <f aca="false">INDEX($I$5:$I$17,MATCH(LARGE($L$5:$L$17,A29),$L$5:$L$17,0))</f>
        <v>161.689384244946</v>
      </c>
      <c r="F29" s="2"/>
      <c r="G29" s="2"/>
      <c r="H29" s="2"/>
      <c r="I29" s="2"/>
      <c r="J29" s="2"/>
      <c r="K29" s="2"/>
      <c r="L29" s="2"/>
      <c r="M29" s="2"/>
      <c r="N29" s="2"/>
      <c r="O29" s="2"/>
    </row>
    <row r="30" customFormat="false" ht="15" hidden="false" customHeight="false" outlineLevel="0" collapsed="false">
      <c r="A30" s="24" t="n">
        <v>8</v>
      </c>
      <c r="B30" s="5" t="str">
        <f aca="false">INDEX($B$5:$B$17,MATCH(LARGE($L$5:$L$17,A30),$L$5:$L$17,0))</f>
        <v>Multiple VE / EBITDA des actifs cédés</v>
      </c>
      <c r="C30" s="63" t="n">
        <f aca="false">INDEX($G$5:$G$17,MATCH(LARGE($L$5:$L$17,A30),$L$5:$L$17,0))</f>
        <v>-96.1501303092227</v>
      </c>
      <c r="D30" s="63" t="n">
        <f aca="false">INDEX($H$5:$H$17,MATCH(LARGE($L$5:$L$17,A30),$L$5:$L$17,0))</f>
        <v>64.1000868728224</v>
      </c>
      <c r="E30" s="44" t="n">
        <f aca="false">INDEX($I$5:$I$17,MATCH(LARGE($L$5:$L$17,A30),$L$5:$L$17,0))</f>
        <v>160.250217182045</v>
      </c>
      <c r="F30" s="2"/>
      <c r="G30" s="2"/>
      <c r="H30" s="2"/>
      <c r="I30" s="2"/>
      <c r="J30" s="2"/>
      <c r="K30" s="2"/>
      <c r="L30" s="2"/>
      <c r="M30" s="2"/>
      <c r="N30" s="2"/>
      <c r="O30" s="2"/>
    </row>
    <row r="31" customFormat="false" ht="15" hidden="false" customHeight="false" outlineLevel="0" collapsed="false">
      <c r="A31" s="24" t="n">
        <v>9</v>
      </c>
      <c r="B31" s="5" t="str">
        <f aca="false">INDEX($B$5:$B$17,MATCH(LARGE($L$5:$L$17,A31),$L$5:$L$17,0))</f>
        <v>EBITDA de Clean Earth en année pleine</v>
      </c>
      <c r="C31" s="63" t="n">
        <f aca="false">INDEX($G$5:$G$17,MATCH(LARGE($L$5:$L$17,A31),$L$5:$L$17,0))</f>
        <v>-56.8607667928009</v>
      </c>
      <c r="D31" s="63" t="n">
        <f aca="false">INDEX($H$5:$H$17,MATCH(LARGE($L$5:$L$17,A31),$L$5:$L$17,0))</f>
        <v>56.8607667928081</v>
      </c>
      <c r="E31" s="44" t="n">
        <f aca="false">INDEX($I$5:$I$17,MATCH(LARGE($L$5:$L$17,A31),$L$5:$L$17,0))</f>
        <v>113.721533585609</v>
      </c>
      <c r="F31" s="2"/>
      <c r="G31" s="2"/>
      <c r="H31" s="2"/>
      <c r="I31" s="2"/>
      <c r="J31" s="2"/>
      <c r="K31" s="2"/>
      <c r="L31" s="2"/>
      <c r="M31" s="2"/>
      <c r="N31" s="2"/>
      <c r="O31" s="2"/>
    </row>
    <row r="32" customFormat="false" ht="15" hidden="false" customHeight="false" outlineLevel="0" collapsed="false">
      <c r="A32" s="24" t="n">
        <v>10</v>
      </c>
      <c r="B32" s="5" t="str">
        <f aca="false">INDEX($B$5:$B$17,MATCH(LARGE($L$5:$L$17,A32),$L$5:$L$17,0))</f>
        <v>Croissance du dividende versé en 2027</v>
      </c>
      <c r="C32" s="63" t="n">
        <f aca="false">INDEX($G$5:$G$17,MATCH(LARGE($L$5:$L$17,A32),$L$5:$L$17,0))</f>
        <v>43.9600000000028</v>
      </c>
      <c r="D32" s="63" t="n">
        <f aca="false">INDEX($H$5:$H$17,MATCH(LARGE($L$5:$L$17,A32),$L$5:$L$17,0))</f>
        <v>-43.9599999999991</v>
      </c>
      <c r="E32" s="44" t="n">
        <f aca="false">INDEX($I$5:$I$17,MATCH(LARGE($L$5:$L$17,A32),$L$5:$L$17,0))</f>
        <v>87.9200000000019</v>
      </c>
      <c r="F32" s="2"/>
      <c r="G32" s="2"/>
      <c r="H32" s="2"/>
      <c r="I32" s="2"/>
      <c r="J32" s="2"/>
      <c r="K32" s="2"/>
      <c r="L32" s="2"/>
      <c r="M32" s="2"/>
      <c r="N32" s="2"/>
      <c r="O32" s="2"/>
    </row>
    <row r="33" customFormat="false" ht="15" hidden="false" customHeight="false" outlineLevel="0" collapsed="false">
      <c r="A33" s="24" t="n">
        <v>11</v>
      </c>
      <c r="B33" s="5" t="str">
        <f aca="false">INDEX($B$5:$B$17,MATCH(LARGE($L$5:$L$17,A33),$L$5:$L$17,0))</f>
        <v>Multiple VE / EBITDA des tuck-ins</v>
      </c>
      <c r="C33" s="63" t="n">
        <f aca="false">INDEX($G$5:$G$17,MATCH(LARGE($L$5:$L$17,A33),$L$5:$L$17,0))</f>
        <v>52.4329238466307</v>
      </c>
      <c r="D33" s="63" t="n">
        <f aca="false">INDEX($H$5:$H$17,MATCH(LARGE($L$5:$L$17,A33),$L$5:$L$17,0))</f>
        <v>-17.6365289302266</v>
      </c>
      <c r="E33" s="44" t="n">
        <f aca="false">INDEX($I$5:$I$17,MATCH(LARGE($L$5:$L$17,A33),$L$5:$L$17,0))</f>
        <v>70.0694527768574</v>
      </c>
      <c r="F33" s="2"/>
      <c r="G33" s="2"/>
      <c r="H33" s="2"/>
      <c r="I33" s="2"/>
      <c r="J33" s="2"/>
      <c r="K33" s="2"/>
      <c r="L33" s="2"/>
      <c r="M33" s="2"/>
      <c r="N33" s="2"/>
      <c r="O33" s="2"/>
    </row>
    <row r="34" customFormat="false" ht="15" hidden="false" customHeight="false" outlineLevel="0" collapsed="false">
      <c r="A34" s="24" t="n">
        <v>12</v>
      </c>
      <c r="B34" s="5" t="str">
        <f aca="false">INDEX($B$5:$B$17,MATCH(LARGE($L$5:$L$17,A34),$L$5:$L$17,0))</f>
        <v>Part des signatures 2026 encaissée avant le 31/12/2026</v>
      </c>
      <c r="C34" s="63" t="n">
        <f aca="false">INDEX($G$5:$G$17,MATCH(LARGE($L$5:$L$17,A34),$L$5:$L$17,0))</f>
        <v>4.35695750114246</v>
      </c>
      <c r="D34" s="63" t="n">
        <f aca="false">INDEX($H$5:$H$17,MATCH(LARGE($L$5:$L$17,A34),$L$5:$L$17,0))</f>
        <v>-4.35695750113518</v>
      </c>
      <c r="E34" s="44" t="n">
        <f aca="false">INDEX($I$5:$I$17,MATCH(LARGE($L$5:$L$17,A34),$L$5:$L$17,0))</f>
        <v>8.71391500227765</v>
      </c>
      <c r="F34" s="2"/>
      <c r="G34" s="2"/>
      <c r="H34" s="2"/>
      <c r="I34" s="2"/>
      <c r="J34" s="2"/>
      <c r="K34" s="2"/>
      <c r="L34" s="2"/>
      <c r="M34" s="2"/>
      <c r="N34" s="2"/>
      <c r="O34" s="2"/>
    </row>
    <row r="35" customFormat="false" ht="15" hidden="false" customHeight="false" outlineLevel="0" collapsed="false">
      <c r="A35" s="24" t="n">
        <v>13</v>
      </c>
      <c r="B35" s="5" t="str">
        <f aca="false">INDEX($B$5:$B$17,MATCH(LARGE($L$5:$L$17,A35),$L$5:$L$17,0))</f>
        <v>FFO (mesure des agences) en % de l'EBITDA</v>
      </c>
      <c r="C35" s="63" t="n">
        <f aca="false">INDEX($G$5:$G$17,MATCH(LARGE($L$5:$L$17,A35),$L$5:$L$17,0))</f>
        <v>0</v>
      </c>
      <c r="D35" s="63" t="n">
        <f aca="false">INDEX($H$5:$H$17,MATCH(LARGE($L$5:$L$17,A35),$L$5:$L$17,0))</f>
        <v>0</v>
      </c>
      <c r="E35" s="44"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1" t="s">
        <v>2483</v>
      </c>
      <c r="B37" s="2"/>
      <c r="C37" s="2"/>
      <c r="D37" s="2"/>
      <c r="E37" s="2"/>
      <c r="F37" s="2"/>
      <c r="G37" s="2"/>
      <c r="H37" s="2"/>
      <c r="I37" s="2"/>
      <c r="J37" s="2"/>
      <c r="K37" s="2"/>
      <c r="L37" s="2"/>
      <c r="M37" s="2"/>
      <c r="N37" s="2"/>
      <c r="O37" s="2"/>
    </row>
    <row r="38" customFormat="false" ht="15" hidden="false" customHeight="false" outlineLevel="0" collapsed="false">
      <c r="A38" s="20"/>
      <c r="B38" s="20" t="s">
        <v>2484</v>
      </c>
      <c r="C38" s="20" t="s">
        <v>2485</v>
      </c>
      <c r="D38" s="20"/>
      <c r="E38" s="20" t="s">
        <v>2486</v>
      </c>
      <c r="F38" s="2"/>
      <c r="G38" s="2"/>
      <c r="H38" s="2"/>
      <c r="I38" s="2"/>
      <c r="J38" s="2"/>
      <c r="K38" s="2"/>
      <c r="L38" s="2"/>
      <c r="M38" s="2"/>
      <c r="N38" s="2"/>
      <c r="O38" s="2"/>
    </row>
    <row r="39" customFormat="false" ht="15" hidden="false" customHeight="false" outlineLevel="0" collapsed="false">
      <c r="A39" s="2"/>
      <c r="B39" s="5" t="s">
        <v>2427</v>
      </c>
      <c r="C39" s="63" t="n">
        <f aca="false">100*(Hypothèses!$J$26+Hypothèses!$J$10)</f>
        <v>316.869636446462</v>
      </c>
      <c r="D39" s="2"/>
      <c r="E39" s="23" t="s">
        <v>2487</v>
      </c>
      <c r="F39" s="2"/>
      <c r="G39" s="2"/>
      <c r="H39" s="2"/>
      <c r="I39" s="2"/>
      <c r="J39" s="2"/>
      <c r="K39" s="2"/>
      <c r="L39" s="2"/>
      <c r="M39" s="2"/>
      <c r="N39" s="2"/>
      <c r="O39" s="2"/>
    </row>
    <row r="40" customFormat="false" ht="15" hidden="false" customHeight="false" outlineLevel="0" collapsed="false">
      <c r="A40" s="2"/>
      <c r="B40" s="5" t="s">
        <v>2488</v>
      </c>
      <c r="C40" s="63" t="n">
        <f aca="false">100</f>
        <v>100</v>
      </c>
      <c r="D40" s="2"/>
      <c r="E40" s="23" t="s">
        <v>2489</v>
      </c>
      <c r="F40" s="2"/>
      <c r="G40" s="2"/>
      <c r="H40" s="2"/>
      <c r="I40" s="2"/>
      <c r="J40" s="2"/>
      <c r="K40" s="2"/>
      <c r="L40" s="2"/>
      <c r="M40" s="2"/>
      <c r="N40" s="2"/>
      <c r="O40" s="2"/>
    </row>
    <row r="41" customFormat="false" ht="15" hidden="false" customHeight="false" outlineLevel="0" collapsed="false">
      <c r="A41" s="2"/>
      <c r="B41" s="5" t="s">
        <v>2490</v>
      </c>
      <c r="C41" s="63" t="n">
        <f aca="false">100*(1-Hypothèses!$J$26/Hypothèses!$J$14)</f>
        <v>70</v>
      </c>
      <c r="D41" s="2"/>
      <c r="E41" s="23" t="s">
        <v>2491</v>
      </c>
      <c r="F41" s="2"/>
      <c r="G41" s="2"/>
      <c r="H41" s="2"/>
      <c r="I41" s="2"/>
      <c r="J41" s="2"/>
      <c r="K41" s="2"/>
      <c r="L41" s="2"/>
      <c r="M41" s="2"/>
      <c r="N41" s="2"/>
      <c r="O41" s="2"/>
    </row>
    <row r="42" customFormat="false" ht="15" hidden="false" customHeight="false" outlineLevel="0" collapsed="false">
      <c r="A42" s="2"/>
      <c r="B42" s="5" t="s">
        <v>2492</v>
      </c>
      <c r="C42" s="63" t="n">
        <f aca="false">-100*(1-Hypothèses!$J$26/Hypothèses!$J$21)</f>
        <v>-69.3877551020408</v>
      </c>
      <c r="D42" s="2"/>
      <c r="E42" s="23" t="s">
        <v>2493</v>
      </c>
      <c r="F42" s="2"/>
      <c r="G42" s="2"/>
      <c r="H42" s="2"/>
      <c r="I42" s="2"/>
      <c r="J42" s="2"/>
      <c r="K42" s="2"/>
      <c r="L42" s="2"/>
      <c r="M42" s="2"/>
      <c r="N42" s="2"/>
      <c r="O42" s="2"/>
    </row>
    <row r="43" customFormat="false" ht="15" hidden="false" customHeight="false" outlineLevel="0" collapsed="false">
      <c r="A43" s="2"/>
      <c r="B43" s="5" t="s">
        <v>2494</v>
      </c>
      <c r="C43" s="63" t="n">
        <f aca="false">-100</f>
        <v>-100</v>
      </c>
      <c r="D43" s="2"/>
      <c r="E43" s="23" t="s">
        <v>2489</v>
      </c>
      <c r="F43" s="2"/>
      <c r="G43" s="2"/>
      <c r="H43" s="2"/>
      <c r="I43" s="2"/>
      <c r="J43" s="2"/>
      <c r="K43" s="2"/>
      <c r="L43" s="2"/>
      <c r="M43" s="2"/>
      <c r="N43" s="2"/>
      <c r="O43" s="2"/>
    </row>
    <row r="44" customFormat="false" ht="15" hidden="false" customHeight="false" outlineLevel="0" collapsed="false">
      <c r="A44" s="2"/>
      <c r="B44" s="5" t="s">
        <v>2495</v>
      </c>
      <c r="C44" s="63" t="n">
        <f aca="false">-100</f>
        <v>-100</v>
      </c>
      <c r="D44" s="2"/>
      <c r="E44" s="23" t="s">
        <v>2496</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1" t="s">
        <v>2497</v>
      </c>
      <c r="B46" s="2"/>
      <c r="C46" s="2"/>
      <c r="D46" s="2"/>
      <c r="E46" s="2"/>
      <c r="F46" s="2"/>
      <c r="G46" s="2"/>
      <c r="H46" s="2"/>
      <c r="I46" s="2"/>
      <c r="J46" s="2"/>
      <c r="K46" s="2"/>
      <c r="L46" s="2"/>
      <c r="M46" s="2"/>
      <c r="N46" s="2"/>
      <c r="O46" s="2"/>
    </row>
    <row r="47" customFormat="false" ht="35.05" hidden="false" customHeight="false" outlineLevel="0" collapsed="false">
      <c r="A47" s="20"/>
      <c r="B47" s="20" t="s">
        <v>2498</v>
      </c>
      <c r="C47" s="20" t="s">
        <v>2499</v>
      </c>
      <c r="D47" s="20" t="s">
        <v>90</v>
      </c>
      <c r="E47" s="20" t="s">
        <v>2500</v>
      </c>
      <c r="F47" s="20" t="s">
        <v>2501</v>
      </c>
      <c r="G47" s="2"/>
      <c r="H47" s="2"/>
      <c r="I47" s="2"/>
      <c r="J47" s="2"/>
      <c r="K47" s="2"/>
      <c r="L47" s="2"/>
      <c r="M47" s="2"/>
      <c r="N47" s="2"/>
      <c r="O47" s="2"/>
    </row>
    <row r="48" customFormat="false" ht="15" hidden="false" customHeight="false" outlineLevel="0" collapsed="false">
      <c r="A48" s="23" t="s">
        <v>2502</v>
      </c>
      <c r="B48" s="5" t="s">
        <v>2503</v>
      </c>
      <c r="C48" s="60" t="n">
        <f aca="false">Entrées!$C$565</f>
        <v>-30</v>
      </c>
      <c r="D48" s="23" t="s">
        <v>100</v>
      </c>
      <c r="E48" s="44" t="n">
        <f aca="false">C48*Hypothèses!$J$26</f>
        <v>-90</v>
      </c>
      <c r="F48" s="23" t="s">
        <v>2504</v>
      </c>
      <c r="G48" s="2"/>
      <c r="H48" s="2"/>
      <c r="I48" s="2"/>
      <c r="J48" s="2"/>
      <c r="K48" s="2"/>
      <c r="L48" s="2"/>
      <c r="M48" s="2"/>
      <c r="N48" s="2"/>
      <c r="O48" s="2"/>
    </row>
    <row r="49" customFormat="false" ht="15" hidden="false" customHeight="false" outlineLevel="0" collapsed="false">
      <c r="A49" s="23" t="s">
        <v>2505</v>
      </c>
      <c r="B49" s="5" t="s">
        <v>2506</v>
      </c>
      <c r="C49" s="60" t="n">
        <f aca="false">Entrées!$C$566</f>
        <v>-60</v>
      </c>
      <c r="D49" s="23" t="s">
        <v>100</v>
      </c>
      <c r="E49" s="44" t="n">
        <f aca="false">C49*2*Hypothèses!$J$26</f>
        <v>-360</v>
      </c>
      <c r="F49" s="23" t="s">
        <v>2507</v>
      </c>
      <c r="G49" s="2"/>
      <c r="H49" s="2"/>
      <c r="I49" s="2"/>
      <c r="J49" s="2"/>
      <c r="K49" s="2"/>
      <c r="L49" s="2"/>
      <c r="M49" s="2"/>
      <c r="N49" s="2"/>
      <c r="O49" s="2"/>
    </row>
    <row r="50" customFormat="false" ht="15" hidden="false" customHeight="false" outlineLevel="0" collapsed="false">
      <c r="A50" s="23" t="s">
        <v>2508</v>
      </c>
      <c r="B50" s="5" t="s">
        <v>2509</v>
      </c>
      <c r="C50" s="60" t="n">
        <f aca="false">Entrées!$C$562</f>
        <v>2455</v>
      </c>
      <c r="D50" s="23" t="s">
        <v>2510</v>
      </c>
      <c r="E50" s="44" t="n">
        <f aca="false">-C50*0.1</f>
        <v>-245.5</v>
      </c>
      <c r="F50" s="23" t="s">
        <v>2511</v>
      </c>
      <c r="G50" s="2"/>
      <c r="H50" s="2"/>
      <c r="I50" s="2"/>
      <c r="J50" s="2"/>
      <c r="K50" s="2"/>
      <c r="L50" s="2"/>
      <c r="M50" s="2"/>
      <c r="N50" s="2"/>
      <c r="O50" s="2"/>
    </row>
    <row r="51" customFormat="false" ht="15" hidden="false" customHeight="false" outlineLevel="0" collapsed="false">
      <c r="A51" s="23" t="s">
        <v>2512</v>
      </c>
      <c r="B51" s="5" t="s">
        <v>2513</v>
      </c>
      <c r="C51" s="60" t="n">
        <f aca="false">Entrées!$C$564</f>
        <v>-190</v>
      </c>
      <c r="D51" s="23" t="s">
        <v>100</v>
      </c>
      <c r="E51" s="44" t="n">
        <f aca="false">-C51</f>
        <v>190</v>
      </c>
      <c r="F51" s="23" t="s">
        <v>2514</v>
      </c>
      <c r="G51" s="2"/>
      <c r="H51" s="2"/>
      <c r="I51" s="2"/>
      <c r="J51" s="2"/>
      <c r="K51" s="2"/>
      <c r="L51" s="2"/>
      <c r="M51" s="2"/>
      <c r="N51" s="2"/>
      <c r="O51" s="2"/>
    </row>
    <row r="52" customFormat="false" ht="15" hidden="false" customHeight="false" outlineLevel="0" collapsed="false">
      <c r="A52" s="23" t="s">
        <v>2515</v>
      </c>
      <c r="B52" s="5" t="s">
        <v>2516</v>
      </c>
      <c r="C52" s="60" t="n">
        <f aca="false">Entrées!$C$554</f>
        <v>-223</v>
      </c>
      <c r="D52" s="23" t="s">
        <v>100</v>
      </c>
      <c r="E52" s="44" t="n">
        <f aca="false">C52*Hypothèses!$J$26</f>
        <v>-669</v>
      </c>
      <c r="F52" s="23" t="s">
        <v>2517</v>
      </c>
      <c r="G52" s="2"/>
      <c r="H52" s="2"/>
      <c r="I52" s="2"/>
      <c r="J52" s="2"/>
      <c r="K52" s="2"/>
      <c r="L52" s="2"/>
      <c r="M52" s="2"/>
      <c r="N52" s="2"/>
      <c r="O52" s="2"/>
    </row>
    <row r="53" customFormat="false" ht="15" hidden="false" customHeight="false" outlineLevel="0" collapsed="false">
      <c r="A53" s="23" t="s">
        <v>2518</v>
      </c>
      <c r="B53" s="5" t="s">
        <v>2519</v>
      </c>
      <c r="C53" s="60" t="n">
        <f aca="false">Entrées!$C$561</f>
        <v>-2992</v>
      </c>
      <c r="D53" s="23" t="s">
        <v>100</v>
      </c>
      <c r="E53" s="44" t="n">
        <f aca="false">C53*0.01</f>
        <v>-29.92</v>
      </c>
      <c r="F53" s="23" t="s">
        <v>2520</v>
      </c>
      <c r="G53" s="2"/>
      <c r="H53" s="2"/>
      <c r="I53" s="2"/>
      <c r="J53" s="2"/>
      <c r="K53" s="2"/>
      <c r="L53" s="2"/>
      <c r="M53" s="2"/>
      <c r="N53" s="2"/>
      <c r="O53" s="2"/>
    </row>
    <row r="54" customFormat="false" ht="15" hidden="false" customHeight="false" outlineLevel="0" collapsed="false">
      <c r="A54" s="23" t="s">
        <v>2521</v>
      </c>
      <c r="B54" s="5" t="s">
        <v>2522</v>
      </c>
      <c r="C54" s="71" t="n">
        <f aca="false">Entrées!$C$559/100</f>
        <v>0.561</v>
      </c>
      <c r="D54" s="23" t="s">
        <v>296</v>
      </c>
      <c r="E54" s="2"/>
      <c r="F54" s="23" t="s">
        <v>2523</v>
      </c>
      <c r="G54" s="2"/>
      <c r="H54" s="2"/>
      <c r="I54" s="2"/>
      <c r="J54" s="2"/>
      <c r="K54" s="2"/>
      <c r="L54" s="2"/>
      <c r="M54" s="2"/>
      <c r="N54" s="2"/>
      <c r="O54" s="2"/>
    </row>
    <row r="55" customFormat="false" ht="43.5" hidden="false" customHeight="true" outlineLevel="0" collapsed="false">
      <c r="A55" s="2"/>
      <c r="B55" s="68" t="s">
        <v>2524</v>
      </c>
      <c r="C55" s="68"/>
      <c r="D55" s="68"/>
      <c r="E55" s="68"/>
      <c r="F55" s="68"/>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2525</v>
      </c>
      <c r="B1" s="2"/>
      <c r="C1" s="2"/>
      <c r="D1" s="2"/>
      <c r="E1" s="2"/>
      <c r="F1" s="2"/>
      <c r="G1" s="2"/>
      <c r="H1" s="2"/>
      <c r="I1" s="2"/>
      <c r="J1" s="2"/>
    </row>
    <row r="2" customFormat="false" ht="15" hidden="false" customHeight="false" outlineLevel="0" collapsed="false">
      <c r="A2" s="3" t="s">
        <v>2526</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1" t="s">
        <v>1921</v>
      </c>
      <c r="B4" s="21" t="s">
        <v>2527</v>
      </c>
      <c r="C4" s="2"/>
      <c r="D4" s="2"/>
      <c r="E4" s="2"/>
      <c r="F4" s="2"/>
      <c r="G4" s="2"/>
      <c r="H4" s="2"/>
      <c r="I4" s="2"/>
      <c r="J4" s="2"/>
    </row>
    <row r="5" customFormat="false" ht="15" hidden="false" customHeight="false" outlineLevel="0" collapsed="false">
      <c r="A5" s="20"/>
      <c r="B5" s="20" t="s">
        <v>2528</v>
      </c>
      <c r="C5" s="20" t="s">
        <v>2529</v>
      </c>
      <c r="D5" s="20" t="s">
        <v>2530</v>
      </c>
      <c r="E5" s="20" t="s">
        <v>2531</v>
      </c>
      <c r="F5" s="20" t="s">
        <v>2532</v>
      </c>
      <c r="G5" s="20" t="s">
        <v>2533</v>
      </c>
      <c r="H5" s="20" t="s">
        <v>2534</v>
      </c>
      <c r="I5" s="20" t="s">
        <v>2535</v>
      </c>
      <c r="J5" s="20" t="s">
        <v>2536</v>
      </c>
    </row>
    <row r="6" customFormat="false" ht="15" hidden="false" customHeight="false" outlineLevel="0" collapsed="false">
      <c r="A6" s="23" t="s">
        <v>2412</v>
      </c>
      <c r="B6" s="5" t="s">
        <v>2413</v>
      </c>
      <c r="C6" s="74" t="n">
        <f aca="false">AVERAGE(Simulation!$AJ$16:$AJ$1015)</f>
        <v>3.02541486954606</v>
      </c>
      <c r="D6" s="74" t="n">
        <f aca="false">PERCENTILE(Simulation!$AJ$16:$AJ$1015,0.05)</f>
        <v>2.98560605300501</v>
      </c>
      <c r="E6" s="74" t="n">
        <f aca="false">PERCENTILE(Simulation!$AJ$16:$AJ$1015,0.1)</f>
        <v>2.99350186301195</v>
      </c>
      <c r="F6" s="61" t="n">
        <f aca="false">PERCENTILE(Simulation!$AJ$16:$AJ$1015,0.5)</f>
        <v>3.02389474701088</v>
      </c>
      <c r="G6" s="74" t="n">
        <f aca="false">PERCENTILE(Simulation!$AJ$16:$AJ$1015,0.9)</f>
        <v>3.05847171369862</v>
      </c>
      <c r="H6" s="74" t="n">
        <f aca="false">PERCENTILE(Simulation!$AJ$16:$AJ$1015,0.95)</f>
        <v>3.06618297455357</v>
      </c>
      <c r="I6" s="62" t="n">
        <f aca="false">Simulation!$AJ$15</f>
        <v>3.01771731406222</v>
      </c>
      <c r="J6" s="62" t="n">
        <f aca="false">Trajectoire!$D$33</f>
        <v>3.01771731406222</v>
      </c>
    </row>
    <row r="7" customFormat="false" ht="15" hidden="false" customHeight="false" outlineLevel="0" collapsed="false">
      <c r="A7" s="23" t="s">
        <v>2434</v>
      </c>
      <c r="B7" s="5" t="s">
        <v>2435</v>
      </c>
      <c r="C7" s="74" t="n">
        <f aca="false">AVERAGE(Simulation!$AU$16:$AU$1015)</f>
        <v>2.81400217517686</v>
      </c>
      <c r="D7" s="74" t="n">
        <f aca="false">PERCENTILE(Simulation!$AU$16:$AU$1015,0.05)</f>
        <v>2.71227428414364</v>
      </c>
      <c r="E7" s="74" t="n">
        <f aca="false">PERCENTILE(Simulation!$AU$16:$AU$1015,0.1)</f>
        <v>2.73249996306606</v>
      </c>
      <c r="F7" s="61" t="n">
        <f aca="false">PERCENTILE(Simulation!$AU$16:$AU$1015,0.5)</f>
        <v>2.81664604153481</v>
      </c>
      <c r="G7" s="74" t="n">
        <f aca="false">PERCENTILE(Simulation!$AU$16:$AU$1015,0.9)</f>
        <v>2.88806102363927</v>
      </c>
      <c r="H7" s="74" t="n">
        <f aca="false">PERCENTILE(Simulation!$AU$16:$AU$1015,0.95)</f>
        <v>2.90735147721393</v>
      </c>
      <c r="I7" s="62" t="n">
        <f aca="false">Simulation!$AU$15</f>
        <v>2.80320887741352</v>
      </c>
      <c r="J7" s="62" t="n">
        <f aca="false">Trajectoire!$D$45</f>
        <v>2.80320887741352</v>
      </c>
    </row>
    <row r="8" customFormat="false" ht="15" hidden="false" customHeight="false" outlineLevel="0" collapsed="false">
      <c r="A8" s="23" t="s">
        <v>2436</v>
      </c>
      <c r="B8" s="5" t="s">
        <v>2537</v>
      </c>
      <c r="C8" s="63" t="n">
        <f aca="false">AVERAGE(Simulation!$AV$16:$AV$1015)</f>
        <v>1486.92015693278</v>
      </c>
      <c r="D8" s="63" t="n">
        <f aca="false">PERCENTILE(Simulation!$AV$16:$AV$1015,0.05)</f>
        <v>730.158771623523</v>
      </c>
      <c r="E8" s="63" t="n">
        <f aca="false">PERCENTILE(Simulation!$AV$16:$AV$1015,0.1)</f>
        <v>887.566969869381</v>
      </c>
      <c r="F8" s="44" t="n">
        <f aca="false">PERCENTILE(Simulation!$AV$16:$AV$1015,0.5)</f>
        <v>1459.91587062942</v>
      </c>
      <c r="G8" s="63" t="n">
        <f aca="false">PERCENTILE(Simulation!$AV$16:$AV$1015,0.9)</f>
        <v>2150.3269074649</v>
      </c>
      <c r="H8" s="63" t="n">
        <f aca="false">PERCENTILE(Simulation!$AV$16:$AV$1015,0.95)</f>
        <v>2306.90093117418</v>
      </c>
      <c r="I8" s="60" t="n">
        <f aca="false">Simulation!$AV$15</f>
        <v>1570.67466937297</v>
      </c>
      <c r="J8" s="60" t="n">
        <f aca="false">Trajectoire!$D$46</f>
        <v>1570.67466937297</v>
      </c>
    </row>
    <row r="9" customFormat="false" ht="15" hidden="false" customHeight="false" outlineLevel="0" collapsed="false">
      <c r="A9" s="23" t="s">
        <v>2446</v>
      </c>
      <c r="B9" s="5" t="s">
        <v>2447</v>
      </c>
      <c r="C9" s="65" t="n">
        <f aca="false">AVERAGE(Simulation!$BA$16:$BA$1015)</f>
        <v>0.19187297410579</v>
      </c>
      <c r="D9" s="65" t="n">
        <f aca="false">PERCENTILE(Simulation!$BA$16:$BA$1015,0.05)</f>
        <v>0.184929151532796</v>
      </c>
      <c r="E9" s="65" t="n">
        <f aca="false">PERCENTILE(Simulation!$BA$16:$BA$1015,0.1)</f>
        <v>0.1863103734174</v>
      </c>
      <c r="F9" s="40" t="n">
        <f aca="false">PERCENTILE(Simulation!$BA$16:$BA$1015,0.5)</f>
        <v>0.192026607078716</v>
      </c>
      <c r="G9" s="65" t="n">
        <f aca="false">PERCENTILE(Simulation!$BA$16:$BA$1015,0.9)</f>
        <v>0.196964931399211</v>
      </c>
      <c r="H9" s="65" t="n">
        <f aca="false">PERCENTILE(Simulation!$BA$16:$BA$1015,0.95)</f>
        <v>0.198272091948085</v>
      </c>
      <c r="I9" s="71" t="n">
        <f aca="false">Simulation!$BA$15</f>
        <v>0.193486847370753</v>
      </c>
      <c r="J9" s="71" t="n">
        <f aca="false">Trajectoire!$D$52</f>
        <v>0.193486847370753</v>
      </c>
    </row>
    <row r="10" customFormat="false" ht="15" hidden="false" customHeight="false" outlineLevel="0" collapsed="false">
      <c r="A10" s="23" t="s">
        <v>2448</v>
      </c>
      <c r="B10" s="5" t="s">
        <v>2538</v>
      </c>
      <c r="C10" s="63" t="n">
        <f aca="false">AVERAGE(Simulation!$BB$16:$BB$1015)</f>
        <v>1875.42396384048</v>
      </c>
      <c r="D10" s="63" t="n">
        <f aca="false">PERCENTILE(Simulation!$BB$16:$BB$1015,0.05)</f>
        <v>783.283684697727</v>
      </c>
      <c r="E10" s="63" t="n">
        <f aca="false">PERCENTILE(Simulation!$BB$16:$BB$1015,0.1)</f>
        <v>1003.26230949171</v>
      </c>
      <c r="F10" s="44" t="n">
        <f aca="false">PERCENTILE(Simulation!$BB$16:$BB$1015,0.5)</f>
        <v>1904.05194857165</v>
      </c>
      <c r="G10" s="63" t="n">
        <f aca="false">PERCENTILE(Simulation!$BB$16:$BB$1015,0.9)</f>
        <v>2674.68576836058</v>
      </c>
      <c r="H10" s="63" t="n">
        <f aca="false">PERCENTILE(Simulation!$BB$16:$BB$1015,0.95)</f>
        <v>2874.93037813253</v>
      </c>
      <c r="I10" s="60" t="n">
        <f aca="false">Simulation!$BB$15</f>
        <v>2129.12363826281</v>
      </c>
      <c r="J10" s="60" t="n">
        <f aca="false">Trajectoire!$D$53</f>
        <v>2129.12363826281</v>
      </c>
    </row>
    <row r="11" customFormat="false" ht="15" hidden="false" customHeight="false" outlineLevel="0" collapsed="false">
      <c r="A11" s="23" t="s">
        <v>2456</v>
      </c>
      <c r="B11" s="5" t="s">
        <v>2539</v>
      </c>
      <c r="C11" s="63" t="n">
        <f aca="false">AVERAGE(Simulation!$BF$16:$BF$1015)</f>
        <v>4047.28420670654</v>
      </c>
      <c r="D11" s="63" t="n">
        <f aca="false">PERCENTILE(Simulation!$BF$16:$BF$1015,0.05)</f>
        <v>2502.8540527832</v>
      </c>
      <c r="E11" s="63" t="n">
        <f aca="false">PERCENTILE(Simulation!$BF$16:$BF$1015,0.1)</f>
        <v>2851.0034358683</v>
      </c>
      <c r="F11" s="44" t="n">
        <f aca="false">PERCENTILE(Simulation!$BF$16:$BF$1015,0.5)</f>
        <v>4033.53867277265</v>
      </c>
      <c r="G11" s="63" t="n">
        <f aca="false">PERCENTILE(Simulation!$BF$16:$BF$1015,0.9)</f>
        <v>5293.46603438696</v>
      </c>
      <c r="H11" s="63" t="n">
        <f aca="false">PERCENTILE(Simulation!$BF$16:$BF$1015,0.95)</f>
        <v>5537.91842928113</v>
      </c>
      <c r="I11" s="60" t="n">
        <f aca="false">Simulation!$BF$15</f>
        <v>4333.42681779325</v>
      </c>
      <c r="J11" s="60" t="n">
        <f aca="false">Trajectoire!$D$57</f>
        <v>4333.42681779325</v>
      </c>
    </row>
    <row r="12" customFormat="false" ht="15" hidden="false" customHeight="false" outlineLevel="0" collapsed="false">
      <c r="A12" s="23" t="s">
        <v>2458</v>
      </c>
      <c r="B12" s="5" t="s">
        <v>2540</v>
      </c>
      <c r="C12" s="63" t="n">
        <f aca="false">AVERAGE(Simulation!$BG$16:$BG$1015)</f>
        <v>1486.92015693278</v>
      </c>
      <c r="D12" s="63" t="n">
        <f aca="false">PERCENTILE(Simulation!$BG$16:$BG$1015,0.05)</f>
        <v>730.158771623523</v>
      </c>
      <c r="E12" s="63" t="n">
        <f aca="false">PERCENTILE(Simulation!$BG$16:$BG$1015,0.1)</f>
        <v>887.566969869381</v>
      </c>
      <c r="F12" s="44" t="n">
        <f aca="false">PERCENTILE(Simulation!$BG$16:$BG$1015,0.5)</f>
        <v>1459.91587062942</v>
      </c>
      <c r="G12" s="63" t="n">
        <f aca="false">PERCENTILE(Simulation!$BG$16:$BG$1015,0.9)</f>
        <v>2150.3269074649</v>
      </c>
      <c r="H12" s="63" t="n">
        <f aca="false">PERCENTILE(Simulation!$BG$16:$BG$1015,0.95)</f>
        <v>2306.90093117418</v>
      </c>
      <c r="I12" s="60" t="n">
        <f aca="false">Simulation!$BG$15</f>
        <v>1570.67466937297</v>
      </c>
      <c r="J12" s="60" t="n">
        <f aca="false">Trajectoire!$D$58</f>
        <v>1570.67466937297</v>
      </c>
    </row>
    <row r="13" customFormat="false" ht="15" hidden="false" customHeight="false" outlineLevel="0" collapsed="false">
      <c r="A13" s="23" t="s">
        <v>2462</v>
      </c>
      <c r="B13" s="5" t="s">
        <v>2541</v>
      </c>
      <c r="C13" s="63" t="n">
        <f aca="false">AVERAGE(Simulation!$BH$16:$BH$1015)</f>
        <v>2178.80756955295</v>
      </c>
      <c r="D13" s="63" t="n">
        <f aca="false">PERCENTILE(Simulation!$BH$16:$BH$1015,0.05)</f>
        <v>1125.48416801359</v>
      </c>
      <c r="E13" s="63" t="n">
        <f aca="false">PERCENTILE(Simulation!$BH$16:$BH$1015,0.1)</f>
        <v>1332.54834465473</v>
      </c>
      <c r="F13" s="44" t="n">
        <f aca="false">PERCENTILE(Simulation!$BH$16:$BH$1015,0.5)</f>
        <v>2145.19975866013</v>
      </c>
      <c r="G13" s="63" t="n">
        <f aca="false">PERCENTILE(Simulation!$BH$16:$BH$1015,0.9)</f>
        <v>3070.76229467988</v>
      </c>
      <c r="H13" s="63" t="n">
        <f aca="false">PERCENTILE(Simulation!$BH$16:$BH$1015,0.95)</f>
        <v>3326.32270106531</v>
      </c>
      <c r="I13" s="60" t="n">
        <f aca="false">Simulation!$BH$15</f>
        <v>2263.61937644927</v>
      </c>
      <c r="J13" s="60" t="n">
        <f aca="false">Trajectoire!$D$60</f>
        <v>2263.61937644927</v>
      </c>
    </row>
    <row r="14" customFormat="false" ht="15" hidden="false" customHeight="false" outlineLevel="0" collapsed="false">
      <c r="A14" s="23" t="s">
        <v>2426</v>
      </c>
      <c r="B14" s="5" t="s">
        <v>2427</v>
      </c>
      <c r="C14" s="63" t="n">
        <f aca="false">AVERAGE(Simulation!$AQ$16:$AQ$1015)</f>
        <v>7985.50577423019</v>
      </c>
      <c r="D14" s="63" t="n">
        <f aca="false">PERCENTILE(Simulation!$AQ$16:$AQ$1015,0.05)</f>
        <v>7882.30805284258</v>
      </c>
      <c r="E14" s="63" t="n">
        <f aca="false">PERCENTILE(Simulation!$AQ$16:$AQ$1015,0.1)</f>
        <v>7904.86349077081</v>
      </c>
      <c r="F14" s="44" t="n">
        <f aca="false">PERCENTILE(Simulation!$AQ$16:$AQ$1015,0.5)</f>
        <v>7984.03691178095</v>
      </c>
      <c r="G14" s="63" t="n">
        <f aca="false">PERCENTILE(Simulation!$AQ$16:$AQ$1015,0.9)</f>
        <v>8067.3707017587</v>
      </c>
      <c r="H14" s="63" t="n">
        <f aca="false">PERCENTILE(Simulation!$AQ$16:$AQ$1015,0.95)</f>
        <v>8092.33986015959</v>
      </c>
      <c r="I14" s="60" t="n">
        <f aca="false">Simulation!$AQ$15</f>
        <v>7981.43050727668</v>
      </c>
      <c r="J14" s="60" t="n">
        <f aca="false">Trajectoire!$D$41</f>
        <v>7981.43050727668</v>
      </c>
    </row>
    <row r="15" customFormat="false" ht="15" hidden="false" customHeight="false" outlineLevel="0" collapsed="false">
      <c r="A15" s="23" t="s">
        <v>2432</v>
      </c>
      <c r="B15" s="5" t="s">
        <v>2542</v>
      </c>
      <c r="C15" s="63" t="n">
        <f aca="false">AVERAGE(Simulation!$AT$16:$AT$1015)</f>
        <v>22469.5971657578</v>
      </c>
      <c r="D15" s="63" t="n">
        <f aca="false">PERCENTILE(Simulation!$AT$16:$AT$1015,0.05)</f>
        <v>21745.7203156736</v>
      </c>
      <c r="E15" s="63" t="n">
        <f aca="false">PERCENTILE(Simulation!$AT$16:$AT$1015,0.1)</f>
        <v>21921.1102790135</v>
      </c>
      <c r="F15" s="44" t="n">
        <f aca="false">PERCENTILE(Simulation!$AT$16:$AT$1015,0.5)</f>
        <v>22486.7659930779</v>
      </c>
      <c r="G15" s="63" t="n">
        <f aca="false">PERCENTILE(Simulation!$AT$16:$AT$1015,0.9)</f>
        <v>23002.4595532757</v>
      </c>
      <c r="H15" s="63" t="n">
        <f aca="false">PERCENTILE(Simulation!$AT$16:$AT$1015,0.95)</f>
        <v>23141.1739570629</v>
      </c>
      <c r="I15" s="60" t="n">
        <f aca="false">Simulation!$AT$15</f>
        <v>22373.6168524571</v>
      </c>
      <c r="J15" s="60"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1" t="s">
        <v>1934</v>
      </c>
      <c r="B17" s="21" t="s">
        <v>2543</v>
      </c>
      <c r="C17" s="2"/>
      <c r="D17" s="2"/>
      <c r="E17" s="2"/>
      <c r="F17" s="2"/>
      <c r="G17" s="2"/>
      <c r="H17" s="2"/>
      <c r="I17" s="2"/>
      <c r="J17" s="2"/>
    </row>
    <row r="18" customFormat="false" ht="23.85" hidden="false" customHeight="false" outlineLevel="0" collapsed="false">
      <c r="A18" s="20"/>
      <c r="B18" s="20" t="s">
        <v>2544</v>
      </c>
      <c r="C18" s="20" t="s">
        <v>2545</v>
      </c>
      <c r="D18" s="20"/>
      <c r="E18" s="20" t="s">
        <v>2546</v>
      </c>
      <c r="F18" s="2"/>
      <c r="G18" s="2"/>
      <c r="H18" s="2"/>
      <c r="I18" s="2"/>
      <c r="J18" s="2"/>
    </row>
    <row r="19" customFormat="false" ht="15" hidden="false" customHeight="false" outlineLevel="0" collapsed="false">
      <c r="A19" s="2"/>
      <c r="B19" s="21" t="s">
        <v>2547</v>
      </c>
      <c r="C19" s="105" t="n">
        <f aca="false">COUNTIF(Simulation!$BG$16:$BG$1015,"&gt;0")/1000</f>
        <v>1</v>
      </c>
      <c r="D19" s="2"/>
      <c r="E19" s="23" t="s">
        <v>2548</v>
      </c>
      <c r="F19" s="2"/>
      <c r="G19" s="2"/>
      <c r="H19" s="2"/>
      <c r="I19" s="2"/>
      <c r="J19" s="2"/>
    </row>
    <row r="20" customFormat="false" ht="15" hidden="false" customHeight="false" outlineLevel="0" collapsed="false">
      <c r="A20" s="2"/>
      <c r="B20" s="5" t="s">
        <v>2549</v>
      </c>
      <c r="C20" s="105" t="n">
        <f aca="false">COUNTIF(Simulation!$AV$16:$AV$1015,"&gt;0")/1000</f>
        <v>1</v>
      </c>
      <c r="D20" s="2"/>
      <c r="E20" s="23"/>
      <c r="F20" s="2"/>
      <c r="G20" s="2"/>
      <c r="H20" s="2"/>
      <c r="I20" s="2"/>
      <c r="J20" s="2"/>
    </row>
    <row r="21" customFormat="false" ht="15" hidden="false" customHeight="false" outlineLevel="0" collapsed="false">
      <c r="A21" s="2"/>
      <c r="B21" s="5" t="s">
        <v>2550</v>
      </c>
      <c r="C21" s="105" t="n">
        <f aca="false">COUNTIF(Simulation!$BF$16:$BF$1015,"&gt;0")/1000</f>
        <v>1</v>
      </c>
      <c r="D21" s="2"/>
      <c r="E21" s="23"/>
      <c r="F21" s="2"/>
      <c r="G21" s="2"/>
      <c r="H21" s="2"/>
      <c r="I21" s="2"/>
      <c r="J21" s="2"/>
    </row>
    <row r="22" customFormat="false" ht="15" hidden="false" customHeight="false" outlineLevel="0" collapsed="false">
      <c r="A22" s="2"/>
      <c r="B22" s="5" t="s">
        <v>2551</v>
      </c>
      <c r="C22" s="105" t="n">
        <f aca="false">COUNTIF(Simulation!$BA$16:$BA$1015,"&lt;"&amp;Entrées!$C$151/100)/1000</f>
        <v>0</v>
      </c>
      <c r="D22" s="2"/>
      <c r="E22" s="23" t="s">
        <v>2552</v>
      </c>
      <c r="F22" s="2"/>
      <c r="G22" s="2"/>
      <c r="H22" s="2"/>
      <c r="I22" s="2"/>
      <c r="J22" s="2"/>
    </row>
    <row r="23" customFormat="false" ht="15" hidden="false" customHeight="false" outlineLevel="0" collapsed="false">
      <c r="A23" s="2"/>
      <c r="B23" s="5" t="s">
        <v>2553</v>
      </c>
      <c r="C23" s="105" t="n">
        <f aca="false">SUMPRODUCT((Simulation!$BF$16:$BF$1015&lt;Simulation!$AV$16:$AV$1015)*1)/1000</f>
        <v>0</v>
      </c>
      <c r="D23" s="2"/>
      <c r="E23" s="23"/>
      <c r="F23" s="2"/>
      <c r="G23" s="2"/>
      <c r="H23" s="2"/>
      <c r="I23" s="2"/>
      <c r="J23" s="2"/>
    </row>
    <row r="24" customFormat="false" ht="15" hidden="false" customHeight="false" outlineLevel="0" collapsed="false">
      <c r="A24" s="2"/>
      <c r="B24" s="5" t="s">
        <v>2554</v>
      </c>
      <c r="C24" s="105" t="n">
        <f aca="false">COUNTIF(Simulation!$AJ$16:$AJ$1015,"&gt;3.1")/1000</f>
        <v>0</v>
      </c>
      <c r="D24" s="2"/>
      <c r="E24" s="23" t="s">
        <v>2555</v>
      </c>
      <c r="F24" s="2"/>
      <c r="G24" s="2"/>
      <c r="H24" s="2"/>
      <c r="I24" s="2"/>
      <c r="J24" s="2"/>
    </row>
    <row r="25" customFormat="false" ht="15" hidden="false" customHeight="false" outlineLevel="0" collapsed="false">
      <c r="A25" s="2"/>
      <c r="B25" s="21" t="s">
        <v>2556</v>
      </c>
      <c r="C25" s="105" t="n">
        <f aca="false">COUNTIF(Simulation!$BH$16:$BH$1015,"&gt;=1000")/1000</f>
        <v>0.968</v>
      </c>
      <c r="D25" s="2"/>
      <c r="E25" s="23" t="s">
        <v>2557</v>
      </c>
      <c r="F25" s="2"/>
      <c r="G25" s="2"/>
      <c r="H25" s="2"/>
      <c r="I25" s="2"/>
      <c r="J25" s="2"/>
    </row>
    <row r="26" customFormat="false" ht="15" hidden="false" customHeight="false" outlineLevel="0" collapsed="false">
      <c r="A26" s="2"/>
      <c r="B26" s="5" t="s">
        <v>2558</v>
      </c>
      <c r="C26" s="105" t="n">
        <f aca="false">COUNTIF(Simulation!$BH$16:$BH$1015,"&gt;=2000")/1000</f>
        <v>0.604</v>
      </c>
      <c r="D26" s="2"/>
      <c r="E26" s="23"/>
      <c r="F26" s="2"/>
      <c r="G26" s="2"/>
      <c r="H26" s="2"/>
      <c r="I26" s="2"/>
      <c r="J26" s="2"/>
    </row>
    <row r="27" customFormat="false" ht="15" hidden="false" customHeight="false" outlineLevel="0" collapsed="false">
      <c r="A27" s="2"/>
      <c r="B27" s="5" t="s">
        <v>2559</v>
      </c>
      <c r="C27" s="105" t="n">
        <f aca="false">COUNTIF(Simulation!$BH$16:$BH$1015,"&gt;=3000")/1000</f>
        <v>0.118</v>
      </c>
      <c r="D27" s="2"/>
      <c r="E27" s="23"/>
      <c r="F27" s="2"/>
      <c r="G27" s="2"/>
      <c r="H27" s="2"/>
      <c r="I27" s="2"/>
      <c r="J27" s="2"/>
    </row>
    <row r="28" customFormat="false" ht="15" hidden="false" customHeight="false" outlineLevel="0" collapsed="false">
      <c r="A28" s="2"/>
      <c r="B28" s="5" t="s">
        <v>2560</v>
      </c>
      <c r="C28" s="105" t="n">
        <f aca="false">COUNTIF(Simulation!$AX$16:$AX$1015,"&gt;=0")/1000</f>
        <v>0.402</v>
      </c>
      <c r="D28" s="2"/>
      <c r="E28" s="23"/>
      <c r="F28" s="2"/>
      <c r="G28" s="2"/>
      <c r="H28" s="2"/>
      <c r="I28" s="2"/>
      <c r="J28" s="2"/>
    </row>
    <row r="29" customFormat="false" ht="15" hidden="false" customHeight="false" outlineLevel="0" collapsed="false">
      <c r="A29" s="2"/>
      <c r="B29" s="5" t="s">
        <v>2561</v>
      </c>
      <c r="C29" s="57" t="n">
        <f aca="false">COUNTIF(Simulation!$BG$16:$BG$1015,"&lt;0")</f>
        <v>0</v>
      </c>
      <c r="D29" s="2"/>
      <c r="E29" s="23" t="s">
        <v>2562</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1" t="s">
        <v>2104</v>
      </c>
      <c r="B31" s="21" t="s">
        <v>2563</v>
      </c>
      <c r="C31" s="2"/>
      <c r="D31" s="2"/>
      <c r="E31" s="2"/>
      <c r="F31" s="2"/>
      <c r="G31" s="2"/>
      <c r="H31" s="2"/>
      <c r="I31" s="2"/>
      <c r="J31" s="2"/>
    </row>
    <row r="32" customFormat="false" ht="15" hidden="false" customHeight="false" outlineLevel="0" collapsed="false">
      <c r="A32" s="20"/>
      <c r="B32" s="20" t="s">
        <v>2564</v>
      </c>
      <c r="C32" s="20" t="s">
        <v>2565</v>
      </c>
      <c r="D32" s="20" t="s">
        <v>2566</v>
      </c>
      <c r="E32" s="20" t="s">
        <v>2567</v>
      </c>
      <c r="F32" s="2"/>
      <c r="G32" s="2"/>
      <c r="H32" s="2"/>
      <c r="I32" s="2"/>
      <c r="J32" s="2"/>
    </row>
    <row r="33" customFormat="false" ht="15" hidden="false" customHeight="false" outlineLevel="0" collapsed="false">
      <c r="A33" s="2"/>
      <c r="B33" s="5" t="str">
        <f aca="false">TEXT(C33,"# ##0")&amp;" à "&amp;TEXT(D33,"# ##0")</f>
        <v> 198 à  381</v>
      </c>
      <c r="C33" s="63" t="n">
        <f aca="false">MIN(Simulation!$BG$16:$BG$1015)+(MAX(Simulation!$BG$16:$BG$1015)-MIN(Simulation!$BG$16:$BG$1015))*0/14</f>
        <v>197.530987414004</v>
      </c>
      <c r="D33" s="63" t="n">
        <f aca="false">MIN(Simulation!$BG$16:$BG$1015)+(MAX(Simulation!$BG$16:$BG$1015)-MIN(Simulation!$BG$16:$BG$1015))*1/14</f>
        <v>380.562962152346</v>
      </c>
      <c r="E33" s="82"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3" t="n">
        <f aca="false">MIN(Simulation!$BG$16:$BG$1015)+(MAX(Simulation!$BG$16:$BG$1015)-MIN(Simulation!$BG$16:$BG$1015))*1/14</f>
        <v>380.562962152346</v>
      </c>
      <c r="D34" s="63" t="n">
        <f aca="false">MIN(Simulation!$BG$16:$BG$1015)+(MAX(Simulation!$BG$16:$BG$1015)-MIN(Simulation!$BG$16:$BG$1015))*2/14</f>
        <v>563.594936890689</v>
      </c>
      <c r="E34" s="82"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3" t="n">
        <f aca="false">MIN(Simulation!$BG$16:$BG$1015)+(MAX(Simulation!$BG$16:$BG$1015)-MIN(Simulation!$BG$16:$BG$1015))*2/14</f>
        <v>563.594936890689</v>
      </c>
      <c r="D35" s="63" t="n">
        <f aca="false">MIN(Simulation!$BG$16:$BG$1015)+(MAX(Simulation!$BG$16:$BG$1015)-MIN(Simulation!$BG$16:$BG$1015))*3/14</f>
        <v>746.626911629031</v>
      </c>
      <c r="E35" s="82"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3" t="n">
        <f aca="false">MIN(Simulation!$BG$16:$BG$1015)+(MAX(Simulation!$BG$16:$BG$1015)-MIN(Simulation!$BG$16:$BG$1015))*3/14</f>
        <v>746.626911629031</v>
      </c>
      <c r="D36" s="63" t="n">
        <f aca="false">MIN(Simulation!$BG$16:$BG$1015)+(MAX(Simulation!$BG$16:$BG$1015)-MIN(Simulation!$BG$16:$BG$1015))*4/14</f>
        <v>929.658886367374</v>
      </c>
      <c r="E36" s="82"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3" t="n">
        <f aca="false">MIN(Simulation!$BG$16:$BG$1015)+(MAX(Simulation!$BG$16:$BG$1015)-MIN(Simulation!$BG$16:$BG$1015))*4/14</f>
        <v>929.658886367374</v>
      </c>
      <c r="D37" s="63" t="n">
        <f aca="false">MIN(Simulation!$BG$16:$BG$1015)+(MAX(Simulation!$BG$16:$BG$1015)-MIN(Simulation!$BG$16:$BG$1015))*5/14</f>
        <v>1112.69086110572</v>
      </c>
      <c r="E37" s="82"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3" t="n">
        <f aca="false">MIN(Simulation!$BG$16:$BG$1015)+(MAX(Simulation!$BG$16:$BG$1015)-MIN(Simulation!$BG$16:$BG$1015))*5/14</f>
        <v>1112.69086110572</v>
      </c>
      <c r="D38" s="63" t="n">
        <f aca="false">MIN(Simulation!$BG$16:$BG$1015)+(MAX(Simulation!$BG$16:$BG$1015)-MIN(Simulation!$BG$16:$BG$1015))*6/14</f>
        <v>1295.72283584406</v>
      </c>
      <c r="E38" s="82"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3" t="n">
        <f aca="false">MIN(Simulation!$BG$16:$BG$1015)+(MAX(Simulation!$BG$16:$BG$1015)-MIN(Simulation!$BG$16:$BG$1015))*6/14</f>
        <v>1295.72283584406</v>
      </c>
      <c r="D39" s="63" t="n">
        <f aca="false">MIN(Simulation!$BG$16:$BG$1015)+(MAX(Simulation!$BG$16:$BG$1015)-MIN(Simulation!$BG$16:$BG$1015))*7/14</f>
        <v>1478.7548105824</v>
      </c>
      <c r="E39" s="82"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3" t="n">
        <f aca="false">MIN(Simulation!$BG$16:$BG$1015)+(MAX(Simulation!$BG$16:$BG$1015)-MIN(Simulation!$BG$16:$BG$1015))*7/14</f>
        <v>1478.7548105824</v>
      </c>
      <c r="D40" s="63" t="n">
        <f aca="false">MIN(Simulation!$BG$16:$BG$1015)+(MAX(Simulation!$BG$16:$BG$1015)-MIN(Simulation!$BG$16:$BG$1015))*8/14</f>
        <v>1661.78678532074</v>
      </c>
      <c r="E40" s="82"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3" t="n">
        <f aca="false">MIN(Simulation!$BG$16:$BG$1015)+(MAX(Simulation!$BG$16:$BG$1015)-MIN(Simulation!$BG$16:$BG$1015))*8/14</f>
        <v>1661.78678532074</v>
      </c>
      <c r="D41" s="63" t="n">
        <f aca="false">MIN(Simulation!$BG$16:$BG$1015)+(MAX(Simulation!$BG$16:$BG$1015)-MIN(Simulation!$BG$16:$BG$1015))*9/14</f>
        <v>1844.81876005909</v>
      </c>
      <c r="E41" s="82"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3" t="n">
        <f aca="false">MIN(Simulation!$BG$16:$BG$1015)+(MAX(Simulation!$BG$16:$BG$1015)-MIN(Simulation!$BG$16:$BG$1015))*9/14</f>
        <v>1844.81876005909</v>
      </c>
      <c r="D42" s="63" t="n">
        <f aca="false">MIN(Simulation!$BG$16:$BG$1015)+(MAX(Simulation!$BG$16:$BG$1015)-MIN(Simulation!$BG$16:$BG$1015))*10/14</f>
        <v>2027.85073479743</v>
      </c>
      <c r="E42" s="82"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3" t="n">
        <f aca="false">MIN(Simulation!$BG$16:$BG$1015)+(MAX(Simulation!$BG$16:$BG$1015)-MIN(Simulation!$BG$16:$BG$1015))*10/14</f>
        <v>2027.85073479743</v>
      </c>
      <c r="D43" s="63" t="n">
        <f aca="false">MIN(Simulation!$BG$16:$BG$1015)+(MAX(Simulation!$BG$16:$BG$1015)-MIN(Simulation!$BG$16:$BG$1015))*11/14</f>
        <v>2210.88270953577</v>
      </c>
      <c r="E43" s="82"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3" t="n">
        <f aca="false">MIN(Simulation!$BG$16:$BG$1015)+(MAX(Simulation!$BG$16:$BG$1015)-MIN(Simulation!$BG$16:$BG$1015))*11/14</f>
        <v>2210.88270953577</v>
      </c>
      <c r="D44" s="63" t="n">
        <f aca="false">MIN(Simulation!$BG$16:$BG$1015)+(MAX(Simulation!$BG$16:$BG$1015)-MIN(Simulation!$BG$16:$BG$1015))*12/14</f>
        <v>2393.91468427411</v>
      </c>
      <c r="E44" s="82"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3" t="n">
        <f aca="false">MIN(Simulation!$BG$16:$BG$1015)+(MAX(Simulation!$BG$16:$BG$1015)-MIN(Simulation!$BG$16:$BG$1015))*12/14</f>
        <v>2393.91468427411</v>
      </c>
      <c r="D45" s="63" t="n">
        <f aca="false">MIN(Simulation!$BG$16:$BG$1015)+(MAX(Simulation!$BG$16:$BG$1015)-MIN(Simulation!$BG$16:$BG$1015))*13/14</f>
        <v>2576.94665901246</v>
      </c>
      <c r="E45" s="82"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3" t="n">
        <f aca="false">MIN(Simulation!$BG$16:$BG$1015)+(MAX(Simulation!$BG$16:$BG$1015)-MIN(Simulation!$BG$16:$BG$1015))*13/14</f>
        <v>2576.94665901246</v>
      </c>
      <c r="D46" s="63" t="n">
        <f aca="false">MIN(Simulation!$BG$16:$BG$1015)+(MAX(Simulation!$BG$16:$BG$1015)-MIN(Simulation!$BG$16:$BG$1015))*14/14</f>
        <v>2759.9786337508</v>
      </c>
      <c r="E46" s="82"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1" t="s">
        <v>2256</v>
      </c>
      <c r="B48" s="21" t="s">
        <v>2568</v>
      </c>
      <c r="C48" s="2"/>
      <c r="D48" s="2"/>
      <c r="E48" s="2"/>
      <c r="F48" s="2"/>
      <c r="G48" s="2"/>
      <c r="H48" s="2"/>
      <c r="I48" s="2"/>
      <c r="J48" s="2"/>
    </row>
    <row r="49" customFormat="false" ht="15" hidden="false" customHeight="false" outlineLevel="0" collapsed="false">
      <c r="A49" s="20"/>
      <c r="B49" s="20" t="s">
        <v>2183</v>
      </c>
      <c r="C49" s="20" t="s">
        <v>2531</v>
      </c>
      <c r="D49" s="20" t="s">
        <v>2532</v>
      </c>
      <c r="E49" s="20" t="s">
        <v>2533</v>
      </c>
      <c r="F49" s="2"/>
      <c r="G49" s="2"/>
      <c r="H49" s="2"/>
      <c r="I49" s="2"/>
      <c r="J49" s="2"/>
    </row>
    <row r="50" customFormat="false" ht="15" hidden="false" customHeight="false" outlineLevel="0" collapsed="false">
      <c r="A50" s="2"/>
      <c r="B50" s="24" t="s">
        <v>222</v>
      </c>
      <c r="C50" s="62" t="n">
        <f aca="false">Entrées!$C$25</f>
        <v>2.63</v>
      </c>
      <c r="D50" s="62" t="n">
        <f aca="false">Entrées!$C$25</f>
        <v>2.63</v>
      </c>
      <c r="E50" s="62" t="n">
        <f aca="false">Entrées!$C$25</f>
        <v>2.63</v>
      </c>
      <c r="F50" s="2"/>
      <c r="G50" s="2"/>
      <c r="H50" s="2"/>
      <c r="I50" s="2"/>
      <c r="J50" s="2"/>
    </row>
    <row r="51" customFormat="false" ht="15" hidden="false" customHeight="false" outlineLevel="0" collapsed="false">
      <c r="A51" s="2"/>
      <c r="B51" s="24" t="s">
        <v>167</v>
      </c>
      <c r="C51" s="62" t="n">
        <f aca="false">Entrées!$C$21</f>
        <v>2.79</v>
      </c>
      <c r="D51" s="62" t="n">
        <f aca="false">Entrées!$C$21</f>
        <v>2.79</v>
      </c>
      <c r="E51" s="62" t="n">
        <f aca="false">Entrées!$C$21</f>
        <v>2.79</v>
      </c>
      <c r="F51" s="2"/>
      <c r="G51" s="2"/>
      <c r="H51" s="2"/>
      <c r="I51" s="2"/>
      <c r="J51" s="2"/>
    </row>
    <row r="52" customFormat="false" ht="15" hidden="false" customHeight="false" outlineLevel="0" collapsed="false">
      <c r="A52" s="2"/>
      <c r="B52" s="24" t="s">
        <v>188</v>
      </c>
      <c r="C52" s="74" t="n">
        <f aca="false">PERCENTILE(Simulation!$AJ$16:$AJ$1015,0.1)</f>
        <v>2.99350186301195</v>
      </c>
      <c r="D52" s="74" t="n">
        <f aca="false">PERCENTILE(Simulation!$AJ$16:$AJ$1015,0.5)</f>
        <v>3.02389474701088</v>
      </c>
      <c r="E52" s="74" t="n">
        <f aca="false">PERCENTILE(Simulation!$AJ$16:$AJ$1015,0.9)</f>
        <v>3.05847171369862</v>
      </c>
      <c r="F52" s="2"/>
      <c r="G52" s="2"/>
      <c r="H52" s="2"/>
      <c r="I52" s="2"/>
      <c r="J52" s="2"/>
    </row>
    <row r="53" customFormat="false" ht="15" hidden="false" customHeight="false" outlineLevel="0" collapsed="false">
      <c r="A53" s="2"/>
      <c r="B53" s="24" t="s">
        <v>153</v>
      </c>
      <c r="C53" s="74" t="n">
        <f aca="false">PERCENTILE(Simulation!$AU$16:$AU$1015,0.1)</f>
        <v>2.73249996306606</v>
      </c>
      <c r="D53" s="74" t="n">
        <f aca="false">PERCENTILE(Simulation!$AU$16:$AU$1015,0.5)</f>
        <v>2.81664604153481</v>
      </c>
      <c r="E53" s="74"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8" t="s">
        <v>2569</v>
      </c>
      <c r="C55" s="68"/>
      <c r="D55" s="68"/>
      <c r="E55" s="68"/>
      <c r="F55" s="68"/>
      <c r="G55" s="68"/>
      <c r="H55" s="68"/>
      <c r="I55" s="68"/>
      <c r="J55" s="68"/>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2570</v>
      </c>
      <c r="B1" s="2"/>
      <c r="C1" s="2"/>
      <c r="D1" s="2"/>
      <c r="E1" s="2"/>
      <c r="F1" s="2"/>
      <c r="G1" s="2"/>
      <c r="H1" s="2"/>
      <c r="I1" s="2"/>
      <c r="J1" s="2"/>
      <c r="K1" s="2"/>
      <c r="L1" s="2"/>
    </row>
    <row r="2" customFormat="false" ht="15" hidden="false" customHeight="false" outlineLevel="0" collapsed="false">
      <c r="A2" s="3" t="s">
        <v>2571</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1" t="s">
        <v>1921</v>
      </c>
      <c r="B4" s="21" t="s">
        <v>2572</v>
      </c>
      <c r="C4" s="2"/>
      <c r="D4" s="2"/>
      <c r="E4" s="2"/>
      <c r="F4" s="2"/>
      <c r="G4" s="2"/>
      <c r="H4" s="2"/>
      <c r="I4" s="2"/>
      <c r="J4" s="2"/>
      <c r="K4" s="2"/>
      <c r="L4" s="2"/>
    </row>
    <row r="5" customFormat="false" ht="23.85" hidden="false" customHeight="false" outlineLevel="0" collapsed="false">
      <c r="A5" s="20"/>
      <c r="B5" s="20" t="s">
        <v>2573</v>
      </c>
      <c r="C5" s="20" t="s">
        <v>2574</v>
      </c>
      <c r="D5" s="20" t="s">
        <v>2279</v>
      </c>
      <c r="E5" s="20" t="s">
        <v>1924</v>
      </c>
      <c r="F5" s="20" t="s">
        <v>1929</v>
      </c>
      <c r="G5" s="20" t="s">
        <v>2575</v>
      </c>
      <c r="H5" s="20" t="s">
        <v>2576</v>
      </c>
      <c r="I5" s="20" t="s">
        <v>2577</v>
      </c>
      <c r="J5" s="20" t="s">
        <v>2578</v>
      </c>
      <c r="K5" s="20" t="s">
        <v>2579</v>
      </c>
      <c r="L5" s="20" t="s">
        <v>1839</v>
      </c>
    </row>
    <row r="6" customFormat="false" ht="15" hidden="false" customHeight="false" outlineLevel="0" collapsed="false">
      <c r="A6" s="2"/>
      <c r="B6" s="5" t="s">
        <v>2580</v>
      </c>
      <c r="C6" s="5"/>
      <c r="D6" s="60" t="n">
        <f aca="false">Entrées!$C$156</f>
        <v>4954</v>
      </c>
      <c r="E6" s="5"/>
      <c r="F6" s="60" t="n">
        <f aca="false">Entrées!$C$158</f>
        <v>669</v>
      </c>
      <c r="G6" s="65" t="n">
        <f aca="false">IF(AND(ISNUMBER(D6),ISNUMBER(F6),D6&lt;&gt;0),F6/D6,"")</f>
        <v>0.135042389987889</v>
      </c>
      <c r="H6" s="65" t="str">
        <f aca="false">IF(AND(ISNUMBER(E6),ISNUMBER(F6),E6&lt;&gt;0),F6/E6-1,"")</f>
        <v/>
      </c>
      <c r="I6" s="71" t="n">
        <f aca="false">Entrées!$C$159/100</f>
        <v>0.141</v>
      </c>
      <c r="J6" s="60" t="n">
        <f aca="false">Entrées!$C$182</f>
        <v>2213</v>
      </c>
      <c r="K6" s="60" t="n">
        <f aca="false">Entrées!$C$184</f>
        <v>294</v>
      </c>
      <c r="L6" s="23" t="s">
        <v>2581</v>
      </c>
    </row>
    <row r="7" customFormat="false" ht="15" hidden="false" customHeight="false" outlineLevel="0" collapsed="false">
      <c r="A7" s="2"/>
      <c r="B7" s="5" t="s">
        <v>2582</v>
      </c>
      <c r="C7" s="60" t="n">
        <f aca="false">Entrées!$C$170</f>
        <v>11945</v>
      </c>
      <c r="D7" s="60" t="n">
        <f aca="false">Entrées!$C$160</f>
        <v>11316</v>
      </c>
      <c r="E7" s="60" t="n">
        <f aca="false">Entrées!$C$172</f>
        <v>2025</v>
      </c>
      <c r="F7" s="60" t="n">
        <f aca="false">Entrées!$C$162</f>
        <v>2009</v>
      </c>
      <c r="G7" s="65" t="n">
        <f aca="false">IF(AND(ISNUMBER(D7),ISNUMBER(F7),D7&lt;&gt;0),F7/D7,"")</f>
        <v>0.177536231884058</v>
      </c>
      <c r="H7" s="65" t="n">
        <f aca="false">IF(AND(ISNUMBER(E7),ISNUMBER(F7),E7&lt;&gt;0),F7/E7-1,"")</f>
        <v>-0.00790123456790126</v>
      </c>
      <c r="I7" s="71" t="n">
        <f aca="false">Entrées!$C$163/100</f>
        <v>0.093</v>
      </c>
      <c r="J7" s="60" t="n">
        <f aca="false">Entrées!$C$215</f>
        <v>5747</v>
      </c>
      <c r="K7" s="60" t="n">
        <f aca="false">Entrées!$C$102</f>
        <v>991</v>
      </c>
      <c r="L7" s="23" t="s">
        <v>2583</v>
      </c>
    </row>
    <row r="8" customFormat="false" ht="15" hidden="false" customHeight="false" outlineLevel="0" collapsed="false">
      <c r="A8" s="2"/>
      <c r="B8" s="5" t="s">
        <v>2584</v>
      </c>
      <c r="C8" s="60" t="n">
        <f aca="false">Entrées!$C$169</f>
        <v>18619</v>
      </c>
      <c r="D8" s="60" t="n">
        <f aca="false">Entrées!$C$164</f>
        <v>19206</v>
      </c>
      <c r="E8" s="60" t="n">
        <f aca="false">Entrées!$C$171</f>
        <v>2642</v>
      </c>
      <c r="F8" s="60" t="n">
        <f aca="false">Entrées!$C$165</f>
        <v>2758</v>
      </c>
      <c r="G8" s="65" t="n">
        <f aca="false">IF(AND(ISNUMBER(D8),ISNUMBER(F8),D8&lt;&gt;0),F8/D8,"")</f>
        <v>0.143600958033948</v>
      </c>
      <c r="H8" s="65" t="n">
        <f aca="false">IF(AND(ISNUMBER(E8),ISNUMBER(F8),E8&lt;&gt;0),F8/E8-1,"")</f>
        <v>0.0439061317183951</v>
      </c>
      <c r="I8" s="71" t="n">
        <f aca="false">Entrées!$C$166/100</f>
        <v>0.018</v>
      </c>
      <c r="J8" s="60" t="n">
        <f aca="false">Entrées!$C$216</f>
        <v>9905</v>
      </c>
      <c r="K8" s="5"/>
      <c r="L8" s="23" t="s">
        <v>2585</v>
      </c>
    </row>
    <row r="9" customFormat="false" ht="15" hidden="false" customHeight="false" outlineLevel="0" collapsed="false">
      <c r="A9" s="2"/>
      <c r="B9" s="5" t="s">
        <v>2586</v>
      </c>
      <c r="C9" s="60" t="n">
        <f aca="false">Entrées!$C$168</f>
        <v>9145</v>
      </c>
      <c r="D9" s="60" t="n">
        <f aca="false">Entrées!$C$167</f>
        <v>8914</v>
      </c>
      <c r="E9" s="60" t="n">
        <f aca="false">Entrées!$C$42</f>
        <v>1392</v>
      </c>
      <c r="F9" s="60" t="n">
        <f aca="false">Entrées!$C$43</f>
        <v>1475</v>
      </c>
      <c r="G9" s="65" t="n">
        <f aca="false">IF(AND(ISNUMBER(D9),ISNUMBER(F9),D9&lt;&gt;0),F9/D9,"")</f>
        <v>0.165470047116895</v>
      </c>
      <c r="H9" s="65" t="n">
        <f aca="false">IF(AND(ISNUMBER(E9),ISNUMBER(F9),E9&lt;&gt;0),F9/E9-1,"")</f>
        <v>0.0596264367816093</v>
      </c>
      <c r="I9" s="5"/>
      <c r="J9" s="5"/>
      <c r="K9" s="60" t="n">
        <f aca="false">Entrées!$C$100</f>
        <v>676</v>
      </c>
      <c r="L9" s="23" t="s">
        <v>2587</v>
      </c>
    </row>
    <row r="10" customFormat="false" ht="15" hidden="false" customHeight="false" outlineLevel="0" collapsed="false">
      <c r="A10" s="2"/>
      <c r="B10" s="21" t="s">
        <v>2588</v>
      </c>
      <c r="C10" s="44" t="n">
        <f aca="false">SUM(C6:C9)</f>
        <v>39709</v>
      </c>
      <c r="D10" s="44" t="n">
        <f aca="false">SUM(D6:D9)</f>
        <v>44390</v>
      </c>
      <c r="E10" s="44" t="n">
        <f aca="false">SUM(E6:E9)</f>
        <v>6059</v>
      </c>
      <c r="F10" s="44" t="n">
        <f aca="false">SUM(F6:F9)</f>
        <v>6911</v>
      </c>
      <c r="G10" s="2"/>
      <c r="H10" s="2"/>
      <c r="I10" s="2"/>
      <c r="J10" s="2"/>
      <c r="K10" s="2"/>
      <c r="L10" s="2"/>
    </row>
    <row r="11" customFormat="false" ht="15" hidden="false" customHeight="false" outlineLevel="0" collapsed="false">
      <c r="A11" s="2"/>
      <c r="B11" s="5" t="s">
        <v>2589</v>
      </c>
      <c r="C11" s="2"/>
      <c r="D11" s="2"/>
      <c r="E11" s="60" t="n">
        <f aca="false">Entrées!$C$22</f>
        <v>6788</v>
      </c>
      <c r="F11" s="60" t="n">
        <f aca="false">Entrées!$C$8</f>
        <v>7050</v>
      </c>
      <c r="G11" s="2"/>
      <c r="H11" s="2"/>
      <c r="I11" s="2"/>
      <c r="J11" s="2"/>
      <c r="K11" s="2"/>
      <c r="L11" s="23" t="s">
        <v>2590</v>
      </c>
    </row>
    <row r="12" customFormat="false" ht="15" hidden="false" customHeight="false" outlineLevel="0" collapsed="false">
      <c r="A12" s="2"/>
      <c r="B12" s="5" t="s">
        <v>2591</v>
      </c>
      <c r="C12" s="2"/>
      <c r="D12" s="2"/>
      <c r="E12" s="106" t="s">
        <v>2319</v>
      </c>
      <c r="F12" s="63" t="n">
        <f aca="false">F11-F10</f>
        <v>139</v>
      </c>
      <c r="G12" s="2"/>
      <c r="H12" s="2"/>
      <c r="I12" s="2"/>
      <c r="J12" s="2"/>
      <c r="K12" s="2"/>
      <c r="L12" s="23" t="s">
        <v>2592</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1" t="s">
        <v>1934</v>
      </c>
      <c r="B14" s="21" t="s">
        <v>2593</v>
      </c>
      <c r="C14" s="2"/>
      <c r="D14" s="2"/>
      <c r="E14" s="2"/>
      <c r="F14" s="2"/>
      <c r="G14" s="2"/>
      <c r="H14" s="2"/>
      <c r="I14" s="2"/>
      <c r="J14" s="2"/>
      <c r="K14" s="2"/>
      <c r="L14" s="2"/>
    </row>
    <row r="15" customFormat="false" ht="35.05" hidden="false" customHeight="false" outlineLevel="0" collapsed="false">
      <c r="A15" s="20"/>
      <c r="B15" s="20" t="s">
        <v>2594</v>
      </c>
      <c r="C15" s="20" t="s">
        <v>2574</v>
      </c>
      <c r="D15" s="20" t="s">
        <v>2279</v>
      </c>
      <c r="E15" s="20" t="s">
        <v>1924</v>
      </c>
      <c r="F15" s="20" t="s">
        <v>1929</v>
      </c>
      <c r="G15" s="20" t="s">
        <v>2575</v>
      </c>
      <c r="H15" s="20" t="s">
        <v>2595</v>
      </c>
      <c r="I15" s="20" t="s">
        <v>2577</v>
      </c>
      <c r="J15" s="20" t="s">
        <v>2578</v>
      </c>
      <c r="K15" s="20" t="s">
        <v>2579</v>
      </c>
      <c r="L15" s="20" t="s">
        <v>1839</v>
      </c>
    </row>
    <row r="16" customFormat="false" ht="15" hidden="false" customHeight="false" outlineLevel="0" collapsed="false">
      <c r="A16" s="2"/>
      <c r="B16" s="5" t="s">
        <v>2596</v>
      </c>
      <c r="C16" s="5"/>
      <c r="D16" s="60" t="n">
        <f aca="false">Entrées!$C$173</f>
        <v>13191</v>
      </c>
      <c r="E16" s="5"/>
      <c r="F16" s="60" t="n">
        <f aca="false">Entrées!$C$176</f>
        <v>1668</v>
      </c>
      <c r="G16" s="65" t="n">
        <f aca="false">IF(AND(ISNUMBER(D16),ISNUMBER(F16),D16&lt;&gt;0),F16/D16,"")</f>
        <v>0.126449852171935</v>
      </c>
      <c r="H16" s="71" t="n">
        <f aca="false">Entrées!$C$174/100</f>
        <v>0.043</v>
      </c>
      <c r="I16" s="71" t="n">
        <f aca="false">Entrées!$C$175/100</f>
        <v>0.121</v>
      </c>
      <c r="J16" s="60" t="n">
        <f aca="false">Entrées!$C$217</f>
        <v>6201</v>
      </c>
      <c r="K16" s="60" t="n">
        <f aca="false">Entrées!$C$219</f>
        <v>797</v>
      </c>
      <c r="L16" s="23" t="s">
        <v>2597</v>
      </c>
    </row>
    <row r="17" customFormat="false" ht="15" hidden="false" customHeight="false" outlineLevel="0" collapsed="false">
      <c r="A17" s="2"/>
      <c r="B17" s="5" t="s">
        <v>2598</v>
      </c>
      <c r="C17" s="60" t="n">
        <f aca="false">Entrées!$C$180</f>
        <v>3471</v>
      </c>
      <c r="D17" s="60" t="n">
        <f aca="false">Entrées!$C$178</f>
        <v>4021</v>
      </c>
      <c r="E17" s="60" t="n">
        <f aca="false">Entrées!$C$181</f>
        <v>246</v>
      </c>
      <c r="F17" s="60" t="n">
        <f aca="false">Entrées!$C$179</f>
        <v>312</v>
      </c>
      <c r="G17" s="65" t="n">
        <f aca="false">IF(AND(ISNUMBER(D17),ISNUMBER(F17),D17&lt;&gt;0),F17/D17,"")</f>
        <v>0.0775926386471027</v>
      </c>
      <c r="H17" s="5"/>
      <c r="I17" s="71" t="n">
        <f aca="false">Entrées!$C$222/100</f>
        <v>0.113</v>
      </c>
      <c r="J17" s="60" t="n">
        <f aca="false">Entrées!$C$221</f>
        <v>1759</v>
      </c>
      <c r="K17" s="5"/>
      <c r="L17" s="23" t="s">
        <v>2599</v>
      </c>
    </row>
    <row r="18" customFormat="false" ht="15" hidden="false" customHeight="false" outlineLevel="0" collapsed="false">
      <c r="A18" s="2"/>
      <c r="B18" s="5" t="s">
        <v>2600</v>
      </c>
      <c r="C18" s="2"/>
      <c r="D18" s="60" t="n">
        <f aca="false">Entrées!$C$64*1000</f>
        <v>5200</v>
      </c>
      <c r="E18" s="2"/>
      <c r="F18" s="60" t="n">
        <f aca="false">Entrées!$C$65*1000</f>
        <v>900</v>
      </c>
      <c r="G18" s="65" t="n">
        <f aca="false">F18/D18</f>
        <v>0.173076923076923</v>
      </c>
      <c r="H18" s="2"/>
      <c r="I18" s="2"/>
      <c r="J18" s="2"/>
      <c r="K18" s="2"/>
      <c r="L18" s="23" t="s">
        <v>2601</v>
      </c>
    </row>
    <row r="19" customFormat="false" ht="15" hidden="false" customHeight="false" outlineLevel="0" collapsed="false">
      <c r="A19" s="2"/>
      <c r="B19" s="5" t="s">
        <v>2602</v>
      </c>
      <c r="C19" s="2"/>
      <c r="D19" s="2"/>
      <c r="E19" s="2"/>
      <c r="F19" s="2"/>
      <c r="G19" s="71" t="n">
        <f aca="false">Entrées!$C$177/100</f>
        <v>0.126</v>
      </c>
      <c r="H19" s="2"/>
      <c r="I19" s="2"/>
      <c r="J19" s="2"/>
      <c r="K19" s="2"/>
      <c r="L19" s="23" t="s">
        <v>641</v>
      </c>
    </row>
    <row r="20" customFormat="false" ht="15" hidden="false" customHeight="false" outlineLevel="0" collapsed="false">
      <c r="A20" s="2"/>
      <c r="B20" s="5" t="s">
        <v>2603</v>
      </c>
      <c r="C20" s="77" t="n">
        <f aca="false">Entrées!$C$223</f>
        <v>3</v>
      </c>
      <c r="D20" s="77" t="n">
        <f aca="false">Entrées!$C$224</f>
        <v>4.9</v>
      </c>
      <c r="E20" s="2"/>
      <c r="F20" s="2"/>
      <c r="G20" s="2"/>
      <c r="H20" s="65" t="n">
        <f aca="false">(D20/C20)^(1/4)-1</f>
        <v>0.1304951573737</v>
      </c>
      <c r="I20" s="2"/>
      <c r="J20" s="2"/>
      <c r="K20" s="2"/>
      <c r="L20" s="23" t="s">
        <v>2604</v>
      </c>
    </row>
    <row r="21" customFormat="false" ht="15" hidden="false" customHeight="false" outlineLevel="0" collapsed="false">
      <c r="A21" s="2"/>
      <c r="B21" s="5" t="s">
        <v>2605</v>
      </c>
      <c r="C21" s="2"/>
      <c r="D21" s="2"/>
      <c r="E21" s="2"/>
      <c r="F21" s="2"/>
      <c r="G21" s="2"/>
      <c r="H21" s="65" t="n">
        <f aca="false">(D17/1000/C20)^(1/2)-1</f>
        <v>0.157727659397206</v>
      </c>
      <c r="I21" s="2"/>
      <c r="J21" s="2"/>
      <c r="K21" s="2"/>
      <c r="L21" s="23" t="s">
        <v>2606</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1" t="s">
        <v>2104</v>
      </c>
      <c r="B23" s="21" t="s">
        <v>2607</v>
      </c>
      <c r="C23" s="2"/>
      <c r="D23" s="2"/>
      <c r="E23" s="2"/>
      <c r="F23" s="2"/>
      <c r="G23" s="2"/>
      <c r="H23" s="2"/>
      <c r="I23" s="2"/>
      <c r="J23" s="2"/>
      <c r="K23" s="2"/>
      <c r="L23" s="2"/>
    </row>
    <row r="24" customFormat="false" ht="35.05" hidden="false" customHeight="false" outlineLevel="0" collapsed="false">
      <c r="A24" s="20"/>
      <c r="B24" s="20" t="s">
        <v>2573</v>
      </c>
      <c r="C24" s="20" t="s">
        <v>1929</v>
      </c>
      <c r="D24" s="20" t="s">
        <v>2608</v>
      </c>
      <c r="E24" s="20" t="s">
        <v>2609</v>
      </c>
      <c r="F24" s="20"/>
      <c r="G24" s="20"/>
      <c r="H24" s="20"/>
      <c r="I24" s="20"/>
      <c r="J24" s="20"/>
      <c r="K24" s="20"/>
      <c r="L24" s="20" t="s">
        <v>2610</v>
      </c>
    </row>
    <row r="25" customFormat="false" ht="15" hidden="false" customHeight="false" outlineLevel="0" collapsed="false">
      <c r="A25" s="2"/>
      <c r="B25" s="5" t="str">
        <f aca="false">B6</f>
        <v>Water Technologies</v>
      </c>
      <c r="C25" s="63" t="n">
        <f aca="false">F6</f>
        <v>669</v>
      </c>
      <c r="D25" s="65" t="n">
        <f aca="false">IF(ISNUMBER(I6),I6,H6)</f>
        <v>0.141</v>
      </c>
      <c r="E25" s="63" t="n">
        <f aca="false">IF(AND(ISNUMBER(C25),ISNUMBER(D25)),C25*(1+D25)^2,"")</f>
        <v>870.958389</v>
      </c>
      <c r="F25" s="2"/>
      <c r="G25" s="2"/>
      <c r="H25" s="2"/>
      <c r="I25" s="2"/>
      <c r="J25" s="2"/>
      <c r="K25" s="2"/>
      <c r="L25" s="23"/>
    </row>
    <row r="26" customFormat="false" ht="15" hidden="false" customHeight="false" outlineLevel="0" collapsed="false">
      <c r="A26" s="2"/>
      <c r="B26" s="5" t="str">
        <f aca="false">B7</f>
        <v>Amériques, Asie-Pacifique, Afrique Moyen-Orient</v>
      </c>
      <c r="C26" s="63" t="n">
        <f aca="false">F7</f>
        <v>2009</v>
      </c>
      <c r="D26" s="65" t="n">
        <f aca="false">IF(ISNUMBER(I7),I7,H7)</f>
        <v>0.093</v>
      </c>
      <c r="E26" s="63" t="n">
        <f aca="false">IF(AND(ISNUMBER(C26),ISNUMBER(D26)),C26*(1+D26)^2,"")</f>
        <v>2400.049841</v>
      </c>
      <c r="F26" s="2"/>
      <c r="G26" s="2"/>
      <c r="H26" s="2"/>
      <c r="I26" s="2"/>
      <c r="J26" s="2"/>
      <c r="K26" s="2"/>
      <c r="L26" s="23"/>
    </row>
    <row r="27" customFormat="false" ht="15" hidden="false" customHeight="false" outlineLevel="0" collapsed="false">
      <c r="A27" s="2"/>
      <c r="B27" s="5" t="str">
        <f aca="false">B8</f>
        <v>Europe</v>
      </c>
      <c r="C27" s="63" t="n">
        <f aca="false">F8</f>
        <v>2758</v>
      </c>
      <c r="D27" s="65" t="n">
        <f aca="false">IF(ISNUMBER(I8),I8,H8)</f>
        <v>0.018</v>
      </c>
      <c r="E27" s="63" t="n">
        <f aca="false">IF(AND(ISNUMBER(C27),ISNUMBER(D27)),C27*(1+D27)^2,"")</f>
        <v>2858.181592</v>
      </c>
      <c r="F27" s="2"/>
      <c r="G27" s="2"/>
      <c r="H27" s="2"/>
      <c r="I27" s="2"/>
      <c r="J27" s="2"/>
      <c r="K27" s="2"/>
      <c r="L27" s="23"/>
    </row>
    <row r="28" customFormat="false" ht="15" hidden="false" customHeight="false" outlineLevel="0" collapsed="false">
      <c r="A28" s="2"/>
      <c r="B28" s="5" t="str">
        <f aca="false">B9</f>
        <v>France et Déchets dangereux Europe</v>
      </c>
      <c r="C28" s="63" t="n">
        <f aca="false">F9</f>
        <v>1475</v>
      </c>
      <c r="D28" s="65" t="n">
        <f aca="false">IF(ISNUMBER(I9),I9,H9)</f>
        <v>0.0596264367816093</v>
      </c>
      <c r="E28" s="63" t="n">
        <f aca="false">IF(AND(ISNUMBER(C28),ISNUMBER(D28)),C28*(1+D28)^2,"")</f>
        <v>1656.14207365157</v>
      </c>
      <c r="F28" s="2"/>
      <c r="G28" s="2"/>
      <c r="H28" s="2"/>
      <c r="I28" s="2"/>
      <c r="J28" s="2"/>
      <c r="K28" s="2"/>
      <c r="L28" s="23" t="s">
        <v>2611</v>
      </c>
    </row>
    <row r="29" customFormat="false" ht="15" hidden="false" customHeight="false" outlineLevel="0" collapsed="false">
      <c r="A29" s="2"/>
      <c r="B29" s="5" t="s">
        <v>2612</v>
      </c>
      <c r="C29" s="63" t="n">
        <f aca="false">Segments!$F$12</f>
        <v>139</v>
      </c>
      <c r="D29" s="2"/>
      <c r="E29" s="63" t="n">
        <f aca="false">C29</f>
        <v>139</v>
      </c>
      <c r="F29" s="2"/>
      <c r="G29" s="2"/>
      <c r="H29" s="2"/>
      <c r="I29" s="2"/>
      <c r="J29" s="2"/>
      <c r="K29" s="2"/>
      <c r="L29" s="2"/>
    </row>
    <row r="30" customFormat="false" ht="15" hidden="false" customHeight="false" outlineLevel="0" collapsed="false">
      <c r="A30" s="2"/>
      <c r="B30" s="5" t="s">
        <v>2613</v>
      </c>
      <c r="C30" s="2"/>
      <c r="D30" s="2"/>
      <c r="E30" s="60" t="n">
        <f aca="false">Hypothèses!$J$7/Hypothèses!$J$19</f>
        <v>170.090331214453</v>
      </c>
      <c r="F30" s="2"/>
      <c r="G30" s="2"/>
      <c r="H30" s="2"/>
      <c r="I30" s="2"/>
      <c r="J30" s="2"/>
      <c r="K30" s="2"/>
      <c r="L30" s="2"/>
    </row>
    <row r="31" customFormat="false" ht="15" hidden="false" customHeight="false" outlineLevel="0" collapsed="false">
      <c r="A31" s="2"/>
      <c r="B31" s="21" t="s">
        <v>2614</v>
      </c>
      <c r="C31" s="2"/>
      <c r="D31" s="2"/>
      <c r="E31" s="44" t="n">
        <f aca="false">SUM(E25:E30)</f>
        <v>8094.42222686603</v>
      </c>
      <c r="F31" s="2"/>
      <c r="G31" s="2"/>
      <c r="H31" s="2"/>
      <c r="I31" s="2"/>
      <c r="J31" s="2"/>
      <c r="K31" s="2"/>
      <c r="L31" s="2"/>
    </row>
    <row r="32" customFormat="false" ht="15" hidden="false" customHeight="false" outlineLevel="0" collapsed="false">
      <c r="A32" s="2"/>
      <c r="B32" s="5" t="s">
        <v>2615</v>
      </c>
      <c r="C32" s="2"/>
      <c r="D32" s="2"/>
      <c r="E32" s="60" t="n">
        <f aca="false">Entrées!$C$17*1000</f>
        <v>8000</v>
      </c>
      <c r="F32" s="2"/>
      <c r="G32" s="2"/>
      <c r="H32" s="2"/>
      <c r="I32" s="2"/>
      <c r="J32" s="2"/>
      <c r="K32" s="2"/>
      <c r="L32" s="2"/>
    </row>
    <row r="33" customFormat="false" ht="15" hidden="false" customHeight="false" outlineLevel="0" collapsed="false">
      <c r="A33" s="2"/>
      <c r="B33" s="5" t="s">
        <v>2616</v>
      </c>
      <c r="C33" s="2"/>
      <c r="D33" s="2"/>
      <c r="E33" s="60" t="n">
        <f aca="false">Trajectoire!$D$41</f>
        <v>7981.43050727668</v>
      </c>
      <c r="F33" s="2"/>
      <c r="G33" s="2"/>
      <c r="H33" s="2"/>
      <c r="I33" s="2"/>
      <c r="J33" s="2"/>
      <c r="K33" s="2"/>
      <c r="L33" s="2"/>
    </row>
    <row r="34" customFormat="false" ht="30" hidden="false" customHeight="true" outlineLevel="0" collapsed="false">
      <c r="A34" s="2"/>
      <c r="B34" s="68" t="s">
        <v>2617</v>
      </c>
      <c r="C34" s="68"/>
      <c r="D34" s="68"/>
      <c r="E34" s="68"/>
      <c r="F34" s="68"/>
      <c r="G34" s="68"/>
      <c r="H34" s="68"/>
      <c r="I34" s="68"/>
      <c r="J34" s="68"/>
      <c r="K34" s="68"/>
      <c r="L34" s="68"/>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1" t="s">
        <v>2256</v>
      </c>
      <c r="B36" s="21" t="s">
        <v>2618</v>
      </c>
      <c r="C36" s="2"/>
      <c r="D36" s="2"/>
      <c r="E36" s="2"/>
      <c r="F36" s="2"/>
      <c r="G36" s="2"/>
      <c r="H36" s="2"/>
      <c r="I36" s="2"/>
      <c r="J36" s="2"/>
      <c r="K36" s="2"/>
      <c r="L36" s="2"/>
    </row>
    <row r="37" customFormat="false" ht="23.85" hidden="false" customHeight="false" outlineLevel="0" collapsed="false">
      <c r="A37" s="20"/>
      <c r="B37" s="20" t="s">
        <v>2619</v>
      </c>
      <c r="C37" s="20" t="s">
        <v>2620</v>
      </c>
      <c r="D37" s="20" t="s">
        <v>222</v>
      </c>
      <c r="E37" s="20" t="s">
        <v>167</v>
      </c>
      <c r="F37" s="20" t="s">
        <v>2621</v>
      </c>
      <c r="G37" s="20" t="s">
        <v>2622</v>
      </c>
      <c r="H37" s="20"/>
      <c r="I37" s="20"/>
      <c r="J37" s="20"/>
      <c r="K37" s="20"/>
      <c r="L37" s="20" t="s">
        <v>1839</v>
      </c>
    </row>
    <row r="38" customFormat="false" ht="15" hidden="false" customHeight="false" outlineLevel="0" collapsed="false">
      <c r="A38" s="2"/>
      <c r="B38" s="5" t="s">
        <v>2623</v>
      </c>
      <c r="C38" s="77" t="n">
        <f aca="false">Entrées!$C$185</f>
        <v>13.45</v>
      </c>
      <c r="D38" s="78" t="n">
        <f aca="false">C38*(1+Entrées!$C$186/100)</f>
        <v>15.1985</v>
      </c>
      <c r="E38" s="78" t="n">
        <f aca="false">C38*(1+Entrées!$C$187/100)</f>
        <v>16.6242</v>
      </c>
      <c r="F38" s="78" t="n">
        <f aca="false">C38*(1+Entrées!$C$188/100)</f>
        <v>17.485</v>
      </c>
      <c r="G38" s="78" t="n">
        <f aca="false">F38-E38</f>
        <v>0.860800000000001</v>
      </c>
      <c r="H38" s="2"/>
      <c r="I38" s="2"/>
      <c r="J38" s="2"/>
      <c r="K38" s="2"/>
      <c r="L38" s="23" t="s">
        <v>2624</v>
      </c>
    </row>
    <row r="39" customFormat="false" ht="15" hidden="false" customHeight="false" outlineLevel="0" collapsed="false">
      <c r="A39" s="2"/>
      <c r="B39" s="5" t="s">
        <v>2625</v>
      </c>
      <c r="C39" s="2"/>
      <c r="D39" s="2"/>
      <c r="E39" s="2"/>
      <c r="F39" s="77" t="n">
        <f aca="false">Entrées!$C$192</f>
        <v>18</v>
      </c>
      <c r="G39" s="2"/>
      <c r="H39" s="2"/>
      <c r="I39" s="2"/>
      <c r="J39" s="2"/>
      <c r="K39" s="2"/>
      <c r="L39" s="23" t="s">
        <v>2626</v>
      </c>
    </row>
    <row r="40" customFormat="false" ht="15" hidden="false" customHeight="false" outlineLevel="0" collapsed="false">
      <c r="A40" s="2"/>
      <c r="B40" s="5" t="s">
        <v>2627</v>
      </c>
      <c r="C40" s="2"/>
      <c r="D40" s="107" t="n">
        <f aca="false">Entrées!$C$189</f>
        <v>1.45</v>
      </c>
      <c r="E40" s="107" t="n">
        <f aca="false">Entrées!$C$190</f>
        <v>1.574</v>
      </c>
      <c r="F40" s="107" t="n">
        <f aca="false">Entrées!$C$191</f>
        <v>1.5</v>
      </c>
      <c r="G40" s="108" t="n">
        <f aca="false">F40-E40</f>
        <v>-0.0740000000000001</v>
      </c>
      <c r="H40" s="2"/>
      <c r="I40" s="2"/>
      <c r="J40" s="2"/>
      <c r="K40" s="2"/>
      <c r="L40" s="23" t="s">
        <v>2628</v>
      </c>
    </row>
    <row r="41" customFormat="false" ht="15" hidden="false" customHeight="false" outlineLevel="0" collapsed="false">
      <c r="A41" s="2"/>
      <c r="B41" s="5" t="s">
        <v>2629</v>
      </c>
      <c r="C41" s="2"/>
      <c r="D41" s="60" t="n">
        <f aca="false">Entrées!$C$38</f>
        <v>9196</v>
      </c>
      <c r="E41" s="60" t="n">
        <f aca="false">Entrées!$C$39</f>
        <v>9181</v>
      </c>
      <c r="F41" s="60" t="n">
        <f aca="false">Entrées!$C$40*1000</f>
        <v>9000</v>
      </c>
      <c r="G41" s="63" t="n">
        <f aca="false">F41-E41</f>
        <v>-181</v>
      </c>
      <c r="H41" s="2"/>
      <c r="I41" s="2"/>
      <c r="J41" s="2"/>
      <c r="K41" s="2"/>
      <c r="L41" s="23" t="s">
        <v>2630</v>
      </c>
    </row>
    <row r="42" customFormat="false" ht="30" hidden="false" customHeight="true" outlineLevel="0" collapsed="false">
      <c r="A42" s="2"/>
      <c r="B42" s="68" t="s">
        <v>2631</v>
      </c>
      <c r="C42" s="68"/>
      <c r="D42" s="68"/>
      <c r="E42" s="68"/>
      <c r="F42" s="68"/>
      <c r="G42" s="68"/>
      <c r="H42" s="68"/>
      <c r="I42" s="68"/>
      <c r="J42" s="68"/>
      <c r="K42" s="68"/>
      <c r="L42" s="68"/>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2632</v>
      </c>
      <c r="B1" s="2"/>
      <c r="C1" s="2"/>
      <c r="D1" s="2"/>
      <c r="E1" s="2"/>
      <c r="F1" s="2"/>
    </row>
    <row r="2" customFormat="false" ht="15" hidden="false" customHeight="false" outlineLevel="0" collapsed="false">
      <c r="A2" s="3" t="s">
        <v>2633</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1" t="s">
        <v>1921</v>
      </c>
      <c r="B4" s="21" t="s">
        <v>2634</v>
      </c>
      <c r="C4" s="2"/>
      <c r="D4" s="2"/>
      <c r="E4" s="2"/>
      <c r="F4" s="2"/>
    </row>
    <row r="5" customFormat="false" ht="15" hidden="false" customHeight="false" outlineLevel="0" collapsed="false">
      <c r="A5" s="20"/>
      <c r="B5" s="20" t="s">
        <v>88</v>
      </c>
      <c r="C5" s="20" t="s">
        <v>89</v>
      </c>
      <c r="D5" s="20" t="s">
        <v>90</v>
      </c>
      <c r="E5" s="20" t="s">
        <v>1920</v>
      </c>
      <c r="F5" s="2"/>
    </row>
    <row r="6" customFormat="false" ht="15" hidden="false" customHeight="false" outlineLevel="0" collapsed="false">
      <c r="A6" s="2"/>
      <c r="B6" s="5" t="s">
        <v>2635</v>
      </c>
      <c r="C6" s="63" t="n">
        <f aca="false">Entrées!$C$423*1000</f>
        <v>6500</v>
      </c>
      <c r="D6" s="23" t="s">
        <v>100</v>
      </c>
      <c r="E6" s="23" t="s">
        <v>1316</v>
      </c>
      <c r="F6" s="2"/>
    </row>
    <row r="7" customFormat="false" ht="15" hidden="false" customHeight="false" outlineLevel="0" collapsed="false">
      <c r="A7" s="2"/>
      <c r="B7" s="5" t="s">
        <v>2636</v>
      </c>
      <c r="C7" s="63" t="n">
        <f aca="false">Entrées!$C$17*1000</f>
        <v>8000</v>
      </c>
      <c r="D7" s="23" t="s">
        <v>100</v>
      </c>
      <c r="E7" s="23" t="s">
        <v>151</v>
      </c>
      <c r="F7" s="2"/>
    </row>
    <row r="8" customFormat="false" ht="15" hidden="false" customHeight="false" outlineLevel="0" collapsed="false">
      <c r="A8" s="2"/>
      <c r="B8" s="21" t="s">
        <v>2637</v>
      </c>
      <c r="C8" s="44" t="n">
        <f aca="false">C7-C6</f>
        <v>1500</v>
      </c>
      <c r="D8" s="23" t="s">
        <v>100</v>
      </c>
      <c r="E8" s="23" t="s">
        <v>2638</v>
      </c>
      <c r="F8" s="2"/>
    </row>
    <row r="9" customFormat="false" ht="15" hidden="false" customHeight="false" outlineLevel="0" collapsed="false">
      <c r="A9" s="2"/>
      <c r="B9" s="5" t="s">
        <v>2639</v>
      </c>
      <c r="C9" s="65" t="n">
        <f aca="false">(C7/C6)^(1/4)-1</f>
        <v>0.0532807756958533</v>
      </c>
      <c r="D9" s="23" t="s">
        <v>296</v>
      </c>
      <c r="E9" s="23" t="s">
        <v>2640</v>
      </c>
      <c r="F9" s="2"/>
    </row>
    <row r="10" customFormat="false" ht="15" hidden="false" customHeight="false" outlineLevel="0" collapsed="false">
      <c r="A10" s="2"/>
      <c r="B10" s="5" t="s">
        <v>2641</v>
      </c>
      <c r="C10" s="65" t="n">
        <f aca="false">Entrées!$C$424/100</f>
        <v>0.05</v>
      </c>
      <c r="D10" s="23" t="s">
        <v>296</v>
      </c>
      <c r="E10" s="23" t="s">
        <v>1318</v>
      </c>
      <c r="F10" s="2"/>
    </row>
    <row r="11" customFormat="false" ht="15" hidden="false" customHeight="false" outlineLevel="0" collapsed="false">
      <c r="A11" s="2"/>
      <c r="B11" s="5" t="s">
        <v>2642</v>
      </c>
      <c r="C11" s="60" t="n">
        <f aca="false">Entrées!$C$425</f>
        <v>350</v>
      </c>
      <c r="D11" s="23" t="s">
        <v>100</v>
      </c>
      <c r="E11" s="23" t="s">
        <v>1321</v>
      </c>
      <c r="F11" s="2"/>
    </row>
    <row r="12" customFormat="false" ht="15" hidden="false" customHeight="false" outlineLevel="0" collapsed="false">
      <c r="A12" s="2"/>
      <c r="B12" s="21" t="s">
        <v>2643</v>
      </c>
      <c r="C12" s="44" t="n">
        <f aca="false">4*C11</f>
        <v>1400</v>
      </c>
      <c r="D12" s="23" t="s">
        <v>100</v>
      </c>
      <c r="E12" s="23" t="s">
        <v>2644</v>
      </c>
      <c r="F12" s="2"/>
    </row>
    <row r="13" customFormat="false" ht="15" hidden="false" customHeight="false" outlineLevel="0" collapsed="false">
      <c r="A13" s="2"/>
      <c r="B13" s="21" t="s">
        <v>2645</v>
      </c>
      <c r="C13" s="40" t="n">
        <f aca="false">C12/'Pont EBITDA'!$C$8</f>
        <v>0.933333333333333</v>
      </c>
      <c r="D13" s="23" t="s">
        <v>296</v>
      </c>
      <c r="E13" s="23" t="s">
        <v>2646</v>
      </c>
      <c r="F13" s="2"/>
    </row>
    <row r="14" customFormat="false" ht="15" hidden="false" customHeight="false" outlineLevel="0" collapsed="false">
      <c r="A14" s="2"/>
      <c r="B14" s="5" t="s">
        <v>2647</v>
      </c>
      <c r="C14" s="60" t="n">
        <f aca="false">Entrées!$C$426</f>
        <v>200</v>
      </c>
      <c r="D14" s="23" t="s">
        <v>100</v>
      </c>
      <c r="E14" s="23" t="s">
        <v>1324</v>
      </c>
      <c r="F14" s="2"/>
    </row>
    <row r="15" customFormat="false" ht="15" hidden="false" customHeight="false" outlineLevel="0" collapsed="false">
      <c r="A15" s="2"/>
      <c r="B15" s="5" t="s">
        <v>2648</v>
      </c>
      <c r="C15" s="60" t="n">
        <f aca="false">Entrées!$C$427</f>
        <v>500</v>
      </c>
      <c r="D15" s="23" t="s">
        <v>100</v>
      </c>
      <c r="E15" s="23" t="s">
        <v>2649</v>
      </c>
      <c r="F15" s="2"/>
    </row>
    <row r="16" customFormat="false" ht="15" hidden="false" customHeight="false" outlineLevel="0" collapsed="false">
      <c r="A16" s="2"/>
      <c r="B16" s="21" t="s">
        <v>2650</v>
      </c>
      <c r="C16" s="40" t="n">
        <f aca="false">('Pont EBITDA'!$C$12+'Pont EBITDA'!$C$14)/'Pont EBITDA'!$C$8</f>
        <v>1.06666666666667</v>
      </c>
      <c r="D16" s="23" t="s">
        <v>296</v>
      </c>
      <c r="E16" s="23"/>
      <c r="F16" s="2"/>
    </row>
    <row r="17" customFormat="false" ht="43.5" hidden="false" customHeight="true" outlineLevel="0" collapsed="false">
      <c r="A17" s="2"/>
      <c r="B17" s="68" t="s">
        <v>2651</v>
      </c>
      <c r="C17" s="68"/>
      <c r="D17" s="68"/>
      <c r="E17" s="68"/>
      <c r="F17" s="2"/>
    </row>
    <row r="18" customFormat="false" ht="15" hidden="false" customHeight="false" outlineLevel="0" collapsed="false">
      <c r="A18" s="2"/>
      <c r="B18" s="2"/>
      <c r="C18" s="2"/>
      <c r="D18" s="2"/>
      <c r="E18" s="2"/>
      <c r="F18" s="2"/>
    </row>
    <row r="19" customFormat="false" ht="15" hidden="false" customHeight="false" outlineLevel="0" collapsed="false">
      <c r="A19" s="21" t="s">
        <v>1934</v>
      </c>
      <c r="B19" s="21" t="s">
        <v>2652</v>
      </c>
      <c r="C19" s="2"/>
      <c r="D19" s="2"/>
      <c r="E19" s="2"/>
      <c r="F19" s="2"/>
    </row>
    <row r="20" customFormat="false" ht="15" hidden="false" customHeight="false" outlineLevel="0" collapsed="false">
      <c r="A20" s="20"/>
      <c r="B20" s="20" t="s">
        <v>88</v>
      </c>
      <c r="C20" s="20" t="s">
        <v>167</v>
      </c>
      <c r="D20" s="20" t="s">
        <v>222</v>
      </c>
      <c r="E20" s="20" t="s">
        <v>1920</v>
      </c>
      <c r="F20" s="2"/>
    </row>
    <row r="21" customFormat="false" ht="15" hidden="false" customHeight="false" outlineLevel="0" collapsed="false">
      <c r="A21" s="2"/>
      <c r="B21" s="5" t="s">
        <v>2653</v>
      </c>
      <c r="C21" s="60" t="n">
        <f aca="false">Entrées!$C$8</f>
        <v>7050</v>
      </c>
      <c r="D21" s="60" t="n">
        <f aca="false">Entrées!$C$22</f>
        <v>6788</v>
      </c>
      <c r="E21" s="23" t="s">
        <v>2040</v>
      </c>
      <c r="F21" s="2"/>
    </row>
    <row r="22" customFormat="false" ht="15" hidden="false" customHeight="false" outlineLevel="0" collapsed="false">
      <c r="A22" s="2"/>
      <c r="B22" s="5" t="s">
        <v>2654</v>
      </c>
      <c r="C22" s="60" t="n">
        <f aca="false">Entrées!$C$22</f>
        <v>6788</v>
      </c>
      <c r="D22" s="60" t="n">
        <f aca="false">'Pont EBITDA'!$C$6</f>
        <v>6500</v>
      </c>
      <c r="E22" s="23" t="s">
        <v>2655</v>
      </c>
      <c r="F22" s="2"/>
    </row>
    <row r="23" customFormat="false" ht="15" hidden="false" customHeight="false" outlineLevel="0" collapsed="false">
      <c r="A23" s="2"/>
      <c r="B23" s="5" t="s">
        <v>2656</v>
      </c>
      <c r="C23" s="71" t="n">
        <f aca="false">Entrées!$C$430/100</f>
        <v>0.063</v>
      </c>
      <c r="D23" s="106" t="s">
        <v>2319</v>
      </c>
      <c r="E23" s="23" t="s">
        <v>1335</v>
      </c>
      <c r="F23" s="2"/>
    </row>
    <row r="24" customFormat="false" ht="15" hidden="false" customHeight="false" outlineLevel="0" collapsed="false">
      <c r="A24" s="2"/>
      <c r="B24" s="21" t="s">
        <v>2657</v>
      </c>
      <c r="C24" s="44" t="n">
        <f aca="false">C23*D21</f>
        <v>427.644</v>
      </c>
      <c r="D24" s="106" t="s">
        <v>2319</v>
      </c>
      <c r="E24" s="23" t="s">
        <v>2658</v>
      </c>
      <c r="F24" s="2"/>
    </row>
    <row r="25" customFormat="false" ht="15" hidden="false" customHeight="false" outlineLevel="0" collapsed="false">
      <c r="A25" s="2"/>
      <c r="B25" s="5" t="s">
        <v>2659</v>
      </c>
      <c r="C25" s="60" t="n">
        <f aca="false">Entrées!$C$429</f>
        <v>399</v>
      </c>
      <c r="D25" s="60" t="n">
        <f aca="false">Entrées!$C$193</f>
        <v>398</v>
      </c>
      <c r="E25" s="23" t="s">
        <v>2660</v>
      </c>
      <c r="F25" s="2"/>
    </row>
    <row r="26" customFormat="false" ht="15" hidden="false" customHeight="false" outlineLevel="0" collapsed="false">
      <c r="A26" s="2"/>
      <c r="B26" s="5" t="s">
        <v>2661</v>
      </c>
      <c r="C26" s="63" t="n">
        <f aca="false">Entrées!$C$196-Entrées!$C$194</f>
        <v>99</v>
      </c>
      <c r="D26" s="106" t="s">
        <v>2319</v>
      </c>
      <c r="E26" s="23" t="s">
        <v>2662</v>
      </c>
      <c r="F26" s="2"/>
    </row>
    <row r="27" customFormat="false" ht="15" hidden="false" customHeight="false" outlineLevel="0" collapsed="false">
      <c r="A27" s="2"/>
      <c r="B27" s="21" t="s">
        <v>2663</v>
      </c>
      <c r="C27" s="44" t="n">
        <f aca="false">C25+C26</f>
        <v>498</v>
      </c>
      <c r="D27" s="106" t="s">
        <v>2319</v>
      </c>
      <c r="E27" s="23"/>
      <c r="F27" s="2"/>
    </row>
    <row r="28" customFormat="false" ht="15" hidden="false" customHeight="false" outlineLevel="0" collapsed="false">
      <c r="A28" s="2"/>
      <c r="B28" s="21" t="s">
        <v>2664</v>
      </c>
      <c r="C28" s="40" t="n">
        <f aca="false">C25/'Pont EBITDA'!$C$24</f>
        <v>0.933019053231192</v>
      </c>
      <c r="D28" s="106" t="s">
        <v>2319</v>
      </c>
      <c r="E28" s="23" t="s">
        <v>2665</v>
      </c>
      <c r="F28" s="2"/>
    </row>
    <row r="29" customFormat="false" ht="15" hidden="false" customHeight="false" outlineLevel="0" collapsed="false">
      <c r="A29" s="2"/>
      <c r="B29" s="21" t="s">
        <v>2666</v>
      </c>
      <c r="C29" s="44" t="n">
        <f aca="false">'Pont EBITDA'!$C$24-C27</f>
        <v>-70.356</v>
      </c>
      <c r="D29" s="106" t="s">
        <v>2319</v>
      </c>
      <c r="E29" s="23" t="s">
        <v>2667</v>
      </c>
      <c r="F29" s="2"/>
    </row>
    <row r="30" customFormat="false" ht="15" hidden="false" customHeight="false" outlineLevel="0" collapsed="false">
      <c r="A30" s="2"/>
      <c r="B30" s="5" t="s">
        <v>2668</v>
      </c>
      <c r="C30" s="71" t="n">
        <f aca="false">Entrées!$C$431/100</f>
        <v>0.159</v>
      </c>
      <c r="D30" s="106" t="s">
        <v>2319</v>
      </c>
      <c r="E30" s="23" t="s">
        <v>1338</v>
      </c>
      <c r="F30" s="2"/>
    </row>
    <row r="31" customFormat="false" ht="15" hidden="false" customHeight="false" outlineLevel="0" collapsed="false">
      <c r="A31" s="2"/>
      <c r="B31" s="21" t="s">
        <v>2669</v>
      </c>
      <c r="C31" s="2"/>
      <c r="D31" s="2"/>
      <c r="E31" s="2"/>
      <c r="F31" s="2"/>
    </row>
    <row r="32" customFormat="false" ht="15" hidden="false" customHeight="false" outlineLevel="0" collapsed="false">
      <c r="A32" s="2"/>
      <c r="B32" s="5" t="s">
        <v>2670</v>
      </c>
      <c r="C32" s="63" t="n">
        <f aca="false">Entrées!$C$436*Entrées!$C$437/100</f>
        <v>258.384</v>
      </c>
      <c r="D32" s="106" t="s">
        <v>2319</v>
      </c>
      <c r="E32" s="23" t="s">
        <v>2671</v>
      </c>
      <c r="F32" s="2"/>
    </row>
    <row r="33" customFormat="false" ht="15" hidden="false" customHeight="false" outlineLevel="0" collapsed="false">
      <c r="A33" s="2"/>
      <c r="B33" s="5" t="s">
        <v>2672</v>
      </c>
      <c r="C33" s="63" t="n">
        <f aca="false">Entrées!$C$176*Entrées!$C$175/100</f>
        <v>201.828</v>
      </c>
      <c r="D33" s="106" t="s">
        <v>2319</v>
      </c>
      <c r="E33" s="23" t="s">
        <v>2673</v>
      </c>
      <c r="F33" s="2"/>
    </row>
    <row r="34" customFormat="false" ht="15" hidden="false" customHeight="false" outlineLevel="0" collapsed="false">
      <c r="A34" s="2"/>
      <c r="B34" s="21" t="s">
        <v>2674</v>
      </c>
      <c r="C34" s="44" t="n">
        <f aca="false">C32+C33</f>
        <v>460.212</v>
      </c>
      <c r="D34" s="106" t="s">
        <v>2319</v>
      </c>
      <c r="E34" s="23" t="s">
        <v>2675</v>
      </c>
      <c r="F34" s="2"/>
    </row>
    <row r="35" customFormat="false" ht="57.75" hidden="false" customHeight="true" outlineLevel="0" collapsed="false">
      <c r="A35" s="2"/>
      <c r="B35" s="68" t="s">
        <v>2676</v>
      </c>
      <c r="C35" s="68"/>
      <c r="D35" s="68"/>
      <c r="E35" s="68"/>
      <c r="F35" s="2"/>
    </row>
    <row r="36" customFormat="false" ht="15" hidden="false" customHeight="false" outlineLevel="0" collapsed="false">
      <c r="A36" s="2"/>
      <c r="B36" s="2"/>
      <c r="C36" s="2"/>
      <c r="D36" s="2"/>
      <c r="E36" s="2"/>
      <c r="F36" s="2"/>
    </row>
    <row r="37" customFormat="false" ht="15" hidden="false" customHeight="false" outlineLevel="0" collapsed="false">
      <c r="A37" s="21" t="s">
        <v>2104</v>
      </c>
      <c r="B37" s="21" t="s">
        <v>2677</v>
      </c>
      <c r="C37" s="2"/>
      <c r="D37" s="2"/>
      <c r="E37" s="2"/>
      <c r="F37" s="2"/>
    </row>
    <row r="38" customFormat="false" ht="15" hidden="false" customHeight="false" outlineLevel="0" collapsed="false">
      <c r="A38" s="20"/>
      <c r="B38" s="20" t="s">
        <v>2678</v>
      </c>
      <c r="C38" s="20" t="s">
        <v>2369</v>
      </c>
      <c r="D38" s="20" t="s">
        <v>2396</v>
      </c>
      <c r="E38" s="20" t="s">
        <v>2397</v>
      </c>
      <c r="F38" s="20" t="s">
        <v>2679</v>
      </c>
    </row>
    <row r="39" customFormat="false" ht="15" hidden="false" customHeight="false" outlineLevel="0" collapsed="false">
      <c r="A39" s="2"/>
      <c r="B39" s="21" t="s">
        <v>2680</v>
      </c>
      <c r="C39" s="67" t="n">
        <f aca="false">Entrées!$C$8</f>
        <v>7050</v>
      </c>
      <c r="D39" s="67" t="n">
        <f aca="false">Entrées!$C$8</f>
        <v>7050</v>
      </c>
      <c r="E39" s="67" t="n">
        <f aca="false">Entrées!$C$8</f>
        <v>7050</v>
      </c>
      <c r="F39" s="23" t="s">
        <v>116</v>
      </c>
    </row>
    <row r="40" customFormat="false" ht="15" hidden="false" customHeight="false" outlineLevel="0" collapsed="false">
      <c r="A40" s="2"/>
      <c r="B40" s="5" t="s">
        <v>2681</v>
      </c>
      <c r="C40" s="63" t="n">
        <f aca="false">Trajectoire!$D$27-Entrées!$C$8</f>
        <v>387.75</v>
      </c>
      <c r="D40" s="63" t="n">
        <f aca="false">Trajectoire!$AE$27-Entrées!$C$8</f>
        <v>352.5</v>
      </c>
      <c r="E40" s="63" t="n">
        <f aca="false">Trajectoire!$AF$27-Entrées!$C$8</f>
        <v>423</v>
      </c>
      <c r="F40" s="23" t="s">
        <v>2682</v>
      </c>
    </row>
    <row r="41" customFormat="false" ht="15" hidden="false" customHeight="false" outlineLevel="0" collapsed="false">
      <c r="A41" s="2"/>
      <c r="B41" s="5" t="s">
        <v>2683</v>
      </c>
      <c r="C41" s="60" t="n">
        <f aca="false">Trajectoire!$D$28</f>
        <v>99.2193598750976</v>
      </c>
      <c r="D41" s="60" t="n">
        <f aca="false">Trajectoire!$AE$28</f>
        <v>89.2974238875878</v>
      </c>
      <c r="E41" s="60" t="n">
        <f aca="false">Trajectoire!$AF$28</f>
        <v>109.141295862607</v>
      </c>
      <c r="F41" s="23" t="s">
        <v>2402</v>
      </c>
    </row>
    <row r="42" customFormat="false" ht="15" hidden="false" customHeight="false" outlineLevel="0" collapsed="false">
      <c r="A42" s="2"/>
      <c r="B42" s="5" t="s">
        <v>2684</v>
      </c>
      <c r="C42" s="60" t="n">
        <f aca="false">Trajectoire!$D$30</f>
        <v>-25</v>
      </c>
      <c r="D42" s="60" t="n">
        <f aca="false">Trajectoire!$AE$30</f>
        <v>-62.5</v>
      </c>
      <c r="E42" s="60" t="n">
        <f aca="false">Trajectoire!$AF$30</f>
        <v>-0</v>
      </c>
      <c r="F42" s="23" t="s">
        <v>2406</v>
      </c>
    </row>
    <row r="43" customFormat="false" ht="15" hidden="false" customHeight="false" outlineLevel="0" collapsed="false">
      <c r="A43" s="2"/>
      <c r="B43" s="21" t="s">
        <v>2685</v>
      </c>
      <c r="C43" s="67" t="n">
        <f aca="false">Trajectoire!$D$31</f>
        <v>7511.9693598751</v>
      </c>
      <c r="D43" s="67" t="n">
        <f aca="false">Trajectoire!$AE$31</f>
        <v>7429.29742388759</v>
      </c>
      <c r="E43" s="67" t="n">
        <f aca="false">Trajectoire!$AF$31</f>
        <v>7582.14129586261</v>
      </c>
      <c r="F43" s="23" t="s">
        <v>2408</v>
      </c>
    </row>
    <row r="44" customFormat="false" ht="15" hidden="false" customHeight="false" outlineLevel="0" collapsed="false">
      <c r="A44" s="2"/>
      <c r="B44" s="5" t="s">
        <v>2686</v>
      </c>
      <c r="C44" s="63" t="n">
        <f aca="false">Trajectoire!$D$36-(Trajectoire!$D$27+Trajectoire!$D$30+Trajectoire!$D$8/Trajectoire!$D$19)</f>
        <v>417.056218216794</v>
      </c>
      <c r="D44" s="63" t="n">
        <f aca="false">Trajectoire!$AE$36-(Trajectoire!$AE$27+Trajectoire!$AE$30+Trajectoire!$AE$8/Trajectoire!$AE$19)</f>
        <v>299.72325192372</v>
      </c>
      <c r="E44" s="63" t="n">
        <f aca="false">Trajectoire!$AF$36-(Trajectoire!$AF$27+Trajectoire!$AF$30+Trajectoire!$AF$8/Trajectoire!$AF$19)</f>
        <v>536.206955503514</v>
      </c>
      <c r="F44" s="23" t="s">
        <v>2687</v>
      </c>
    </row>
    <row r="45" customFormat="false" ht="15" hidden="false" customHeight="false" outlineLevel="0" collapsed="false">
      <c r="A45" s="2"/>
      <c r="B45" s="5" t="s">
        <v>2688</v>
      </c>
      <c r="C45" s="63" t="n">
        <f aca="false">Trajectoire!$D$8/Trajectoire!$D$19-Trajectoire!$D$28</f>
        <v>70.8709713393554</v>
      </c>
      <c r="D45" s="63" t="n">
        <f aca="false">Trajectoire!$AE$8/Trajectoire!$AE$19-Trajectoire!$AE$28</f>
        <v>63.7838742054199</v>
      </c>
      <c r="E45" s="63" t="n">
        <f aca="false">Trajectoire!$AF$8/Trajectoire!$AF$19-Trajectoire!$AF$28</f>
        <v>77.958068473291</v>
      </c>
      <c r="F45" s="23" t="s">
        <v>2689</v>
      </c>
    </row>
    <row r="46" customFormat="false" ht="15" hidden="false" customHeight="false" outlineLevel="0" collapsed="false">
      <c r="A46" s="2"/>
      <c r="B46" s="5" t="s">
        <v>2690</v>
      </c>
      <c r="C46" s="60" t="n">
        <f aca="false">Trajectoire!$D$37</f>
        <v>25.513549682168</v>
      </c>
      <c r="D46" s="60" t="n">
        <f aca="false">Trajectoire!$AE$37</f>
        <v>0</v>
      </c>
      <c r="E46" s="60" t="n">
        <f aca="false">Trajectoire!$AF$37</f>
        <v>51.0270993643359</v>
      </c>
      <c r="F46" s="23" t="s">
        <v>2418</v>
      </c>
    </row>
    <row r="47" customFormat="false" ht="15" hidden="false" customHeight="false" outlineLevel="0" collapsed="false">
      <c r="A47" s="2"/>
      <c r="B47" s="5" t="s">
        <v>2691</v>
      </c>
      <c r="C47" s="60" t="n">
        <f aca="false">Trajectoire!$D$38</f>
        <v>51.0204081632653</v>
      </c>
      <c r="D47" s="60" t="n">
        <f aca="false">Trajectoire!$AE$38</f>
        <v>90.9090909090909</v>
      </c>
      <c r="E47" s="60" t="n">
        <f aca="false">Trajectoire!$AF$38</f>
        <v>0</v>
      </c>
      <c r="F47" s="23" t="s">
        <v>2420</v>
      </c>
    </row>
    <row r="48" customFormat="false" ht="15" hidden="false" customHeight="false" outlineLevel="0" collapsed="false">
      <c r="A48" s="2"/>
      <c r="B48" s="5" t="s">
        <v>2692</v>
      </c>
      <c r="C48" s="60" t="n">
        <f aca="false">Trajectoire!$D$40</f>
        <v>-95</v>
      </c>
      <c r="D48" s="60" t="n">
        <f aca="false">Trajectoire!$AE$40</f>
        <v>-0</v>
      </c>
      <c r="E48" s="60" t="n">
        <f aca="false">Trajectoire!$AF$40</f>
        <v>-158.333333333333</v>
      </c>
      <c r="F48" s="23" t="s">
        <v>2424</v>
      </c>
    </row>
    <row r="49" customFormat="false" ht="15" hidden="false" customHeight="false" outlineLevel="0" collapsed="false">
      <c r="A49" s="2"/>
      <c r="B49" s="21" t="s">
        <v>2693</v>
      </c>
      <c r="C49" s="44" t="n">
        <f aca="false">C39+SUM(C40:C42)+SUM(C44:C48)</f>
        <v>7981.43050727668</v>
      </c>
      <c r="D49" s="44" t="n">
        <f aca="false">D39+SUM(D40:D42)+SUM(D44:D48)</f>
        <v>7883.71364092582</v>
      </c>
      <c r="E49" s="44" t="n">
        <f aca="false">E39+SUM(E40:E42)+SUM(E44:E48)</f>
        <v>8089.00008587041</v>
      </c>
      <c r="F49" s="23" t="s">
        <v>1990</v>
      </c>
    </row>
    <row r="50" customFormat="false" ht="15" hidden="false" customHeight="false" outlineLevel="0" collapsed="false">
      <c r="A50" s="2"/>
      <c r="B50" s="5" t="s">
        <v>2694</v>
      </c>
      <c r="C50" s="60" t="n">
        <f aca="false">Trajectoire!$D$41</f>
        <v>7981.43050727668</v>
      </c>
      <c r="D50" s="60" t="n">
        <f aca="false">Trajectoire!$AE$41</f>
        <v>7883.71364092582</v>
      </c>
      <c r="E50" s="60" t="n">
        <f aca="false">Trajectoire!$AF$41</f>
        <v>8089.00008587041</v>
      </c>
      <c r="F50" s="23" t="s">
        <v>2426</v>
      </c>
    </row>
    <row r="51" customFormat="false" ht="15" hidden="false" customHeight="false" outlineLevel="0" collapsed="false">
      <c r="A51" s="2"/>
      <c r="B51" s="5" t="s">
        <v>2695</v>
      </c>
      <c r="C51" s="63" t="n">
        <f aca="false">Entrées!$C$17*1000</f>
        <v>8000</v>
      </c>
      <c r="D51" s="63" t="n">
        <f aca="false">Entrées!$C$17*1000</f>
        <v>8000</v>
      </c>
      <c r="E51" s="63" t="n">
        <f aca="false">Entrées!$C$17*1000</f>
        <v>8000</v>
      </c>
      <c r="F51" s="23" t="s">
        <v>151</v>
      </c>
    </row>
    <row r="52" customFormat="false" ht="15" hidden="false" customHeight="false" outlineLevel="0" collapsed="false">
      <c r="A52" s="2"/>
      <c r="B52" s="21" t="s">
        <v>2696</v>
      </c>
      <c r="C52" s="67" t="n">
        <f aca="false">Trajectoire!$D$48</f>
        <v>-18.5694927233199</v>
      </c>
      <c r="D52" s="67" t="n">
        <f aca="false">Trajectoire!$AE$48</f>
        <v>-116.286359074181</v>
      </c>
      <c r="E52" s="67" t="n">
        <f aca="false">Trajectoire!$AF$48</f>
        <v>89.0000858704143</v>
      </c>
      <c r="F52" s="23" t="s">
        <v>2440</v>
      </c>
    </row>
    <row r="53" customFormat="false" ht="30" hidden="false" customHeight="true" outlineLevel="0" collapsed="false">
      <c r="A53" s="2"/>
      <c r="B53" s="68" t="s">
        <v>2697</v>
      </c>
      <c r="C53" s="68"/>
      <c r="D53" s="68"/>
      <c r="E53" s="68"/>
      <c r="F53" s="68"/>
    </row>
    <row r="54" customFormat="false" ht="15" hidden="false" customHeight="false" outlineLevel="0" collapsed="false">
      <c r="A54" s="2"/>
      <c r="B54" s="2"/>
      <c r="C54" s="2"/>
      <c r="D54" s="2"/>
      <c r="E54" s="2"/>
      <c r="F54" s="2"/>
    </row>
    <row r="55" customFormat="false" ht="15" hidden="false" customHeight="false" outlineLevel="0" collapsed="false">
      <c r="A55" s="21" t="s">
        <v>2256</v>
      </c>
      <c r="B55" s="21" t="s">
        <v>2698</v>
      </c>
      <c r="C55" s="2"/>
      <c r="D55" s="2"/>
      <c r="E55" s="2"/>
      <c r="F55" s="2"/>
    </row>
    <row r="56" customFormat="false" ht="15" hidden="false" customHeight="false" outlineLevel="0" collapsed="false">
      <c r="A56" s="20"/>
      <c r="B56" s="20" t="s">
        <v>88</v>
      </c>
      <c r="C56" s="20" t="s">
        <v>89</v>
      </c>
      <c r="D56" s="20" t="s">
        <v>90</v>
      </c>
      <c r="E56" s="20" t="s">
        <v>1920</v>
      </c>
      <c r="F56" s="2"/>
    </row>
    <row r="57" customFormat="false" ht="15" hidden="false" customHeight="false" outlineLevel="0" collapsed="false">
      <c r="A57" s="2"/>
      <c r="B57" s="5" t="s">
        <v>2699</v>
      </c>
      <c r="C57" s="60" t="n">
        <f aca="false">Entrées!$C$425</f>
        <v>350</v>
      </c>
      <c r="D57" s="23" t="s">
        <v>100</v>
      </c>
      <c r="E57" s="23" t="s">
        <v>1321</v>
      </c>
      <c r="F57" s="2"/>
    </row>
    <row r="58" customFormat="false" ht="15" hidden="false" customHeight="false" outlineLevel="0" collapsed="false">
      <c r="A58" s="2"/>
      <c r="B58" s="5" t="s">
        <v>2700</v>
      </c>
      <c r="C58" s="63" t="n">
        <f aca="false">'Pont EBITDA'!$C$40</f>
        <v>387.75</v>
      </c>
      <c r="D58" s="23" t="s">
        <v>100</v>
      </c>
      <c r="E58" s="23" t="s">
        <v>2701</v>
      </c>
      <c r="F58" s="2"/>
    </row>
    <row r="59" customFormat="false" ht="15" hidden="false" customHeight="false" outlineLevel="0" collapsed="false">
      <c r="A59" s="2"/>
      <c r="B59" s="21" t="s">
        <v>2702</v>
      </c>
      <c r="C59" s="40" t="n">
        <f aca="false">'Pont EBITDA'!$C$57/'Pont EBITDA'!$C$58</f>
        <v>0.902643455834945</v>
      </c>
      <c r="D59" s="23" t="s">
        <v>296</v>
      </c>
      <c r="E59" s="23" t="s">
        <v>2703</v>
      </c>
      <c r="F59" s="2"/>
    </row>
    <row r="60" customFormat="false" ht="15" hidden="false" customHeight="false" outlineLevel="0" collapsed="false">
      <c r="A60" s="2"/>
      <c r="B60" s="5" t="s">
        <v>2704</v>
      </c>
      <c r="C60" s="63" t="n">
        <f aca="false">'Pont EBITDA'!$C$44</f>
        <v>417.056218216794</v>
      </c>
      <c r="D60" s="23" t="s">
        <v>100</v>
      </c>
      <c r="E60" s="23" t="s">
        <v>2701</v>
      </c>
      <c r="F60" s="2"/>
    </row>
    <row r="61" customFormat="false" ht="15" hidden="false" customHeight="false" outlineLevel="0" collapsed="false">
      <c r="A61" s="2"/>
      <c r="B61" s="21" t="s">
        <v>2705</v>
      </c>
      <c r="C61" s="40" t="n">
        <f aca="false">'Pont EBITDA'!$C$57/'Pont EBITDA'!$C$60</f>
        <v>0.839215397618321</v>
      </c>
      <c r="D61" s="23" t="s">
        <v>296</v>
      </c>
      <c r="E61" s="23" t="s">
        <v>2706</v>
      </c>
      <c r="F61" s="2"/>
    </row>
    <row r="62" customFormat="false" ht="15" hidden="false" customHeight="false" outlineLevel="0" collapsed="false">
      <c r="A62" s="2"/>
      <c r="B62" s="21" t="s">
        <v>2707</v>
      </c>
      <c r="C62" s="42" t="n">
        <v>1</v>
      </c>
      <c r="D62" s="23" t="s">
        <v>296</v>
      </c>
      <c r="E62" s="23" t="s">
        <v>2708</v>
      </c>
      <c r="F62" s="2"/>
    </row>
    <row r="63" customFormat="false" ht="15" hidden="false" customHeight="false" outlineLevel="0" collapsed="false">
      <c r="A63" s="2"/>
      <c r="B63" s="21" t="s">
        <v>2709</v>
      </c>
      <c r="C63" s="44" t="n">
        <f aca="false">-(1-'Pont EBITDA'!$C$62)*2*'Pont EBITDA'!$C$57</f>
        <v>-0</v>
      </c>
      <c r="D63" s="23" t="s">
        <v>100</v>
      </c>
      <c r="E63" s="23" t="s">
        <v>2710</v>
      </c>
      <c r="F63" s="2"/>
    </row>
    <row r="64" customFormat="false" ht="15" hidden="false" customHeight="false" outlineLevel="0" collapsed="false">
      <c r="A64" s="2"/>
      <c r="B64" s="21" t="s">
        <v>2711</v>
      </c>
      <c r="C64" s="44" t="n">
        <f aca="false">Trajectoire!$D$41+'Pont EBITDA'!$C$63</f>
        <v>7981.43050727668</v>
      </c>
      <c r="D64" s="23" t="s">
        <v>100</v>
      </c>
      <c r="E64" s="23" t="s">
        <v>2712</v>
      </c>
      <c r="F64" s="2"/>
    </row>
    <row r="65" customFormat="false" ht="15" hidden="false" customHeight="false" outlineLevel="0" collapsed="false">
      <c r="A65" s="2"/>
      <c r="B65" s="21" t="s">
        <v>2713</v>
      </c>
      <c r="C65" s="61" t="n">
        <f aca="false">Trajectoire!$D$44/'Pont EBITDA'!$C$64</f>
        <v>2.80320887741352</v>
      </c>
      <c r="D65" s="23" t="s">
        <v>130</v>
      </c>
      <c r="E65" s="23" t="s">
        <v>2714</v>
      </c>
      <c r="F65" s="2"/>
    </row>
    <row r="66" customFormat="false" ht="15" hidden="false" customHeight="false" outlineLevel="0" collapsed="false">
      <c r="A66" s="2"/>
      <c r="B66" s="21" t="s">
        <v>2715</v>
      </c>
      <c r="C66" s="44" t="n">
        <f aca="false">Hypothèses!$J$26*'Pont EBITDA'!$C$64-Trajectoire!$D$44</f>
        <v>1570.67466937297</v>
      </c>
      <c r="D66" s="23" t="s">
        <v>100</v>
      </c>
      <c r="E66" s="23" t="s">
        <v>2716</v>
      </c>
      <c r="F66" s="2"/>
    </row>
    <row r="67" customFormat="false" ht="15" hidden="false" customHeight="false" outlineLevel="0" collapsed="false">
      <c r="A67" s="2"/>
      <c r="B67" s="5" t="s">
        <v>2717</v>
      </c>
      <c r="C67" s="60" t="n">
        <f aca="false">Trajectoire!$D$46</f>
        <v>1570.67466937297</v>
      </c>
      <c r="D67" s="23" t="s">
        <v>100</v>
      </c>
      <c r="E67" s="23" t="s">
        <v>2718</v>
      </c>
      <c r="F67" s="2"/>
    </row>
    <row r="68" customFormat="false" ht="15" hidden="false" customHeight="false" outlineLevel="0" collapsed="false">
      <c r="A68" s="2"/>
      <c r="B68" s="21" t="s">
        <v>2719</v>
      </c>
      <c r="C68" s="2"/>
      <c r="D68" s="2"/>
      <c r="E68" s="2"/>
      <c r="F68" s="2"/>
    </row>
    <row r="69" customFormat="false" ht="23.85" hidden="false" customHeight="false" outlineLevel="0" collapsed="false">
      <c r="A69" s="20"/>
      <c r="B69" s="20" t="s">
        <v>2720</v>
      </c>
      <c r="C69" s="20" t="s">
        <v>2427</v>
      </c>
      <c r="D69" s="20" t="s">
        <v>2107</v>
      </c>
      <c r="E69" s="20" t="s">
        <v>2721</v>
      </c>
      <c r="F69" s="2"/>
    </row>
    <row r="70" customFormat="false" ht="15" hidden="false" customHeight="false" outlineLevel="0" collapsed="false">
      <c r="A70" s="2"/>
      <c r="B70" s="109" t="n">
        <v>0</v>
      </c>
      <c r="C70" s="63" t="n">
        <f aca="false">Trajectoire!$D$41-(1-B70)*2*'Pont EBITDA'!$C$57</f>
        <v>7281.43050727668</v>
      </c>
      <c r="D70" s="74" t="n">
        <f aca="false">Trajectoire!$D$44/C70</f>
        <v>3.07269523895038</v>
      </c>
      <c r="E70" s="44" t="n">
        <f aca="false">Hypothèses!$J$26*C70-Trajectoire!$D$44</f>
        <v>-529.325330627034</v>
      </c>
      <c r="F70" s="2"/>
    </row>
    <row r="71" customFormat="false" ht="15" hidden="false" customHeight="false" outlineLevel="0" collapsed="false">
      <c r="A71" s="2"/>
      <c r="B71" s="109" t="n">
        <v>0.25</v>
      </c>
      <c r="C71" s="63" t="n">
        <f aca="false">Trajectoire!$D$41-(1-B71)*2*'Pont EBITDA'!$C$57</f>
        <v>7456.43050727668</v>
      </c>
      <c r="D71" s="74" t="n">
        <f aca="false">Trajectoire!$D$44/C71</f>
        <v>3.00058008059256</v>
      </c>
      <c r="E71" s="44" t="n">
        <f aca="false">Hypothèses!$J$26*C71-Trajectoire!$D$44</f>
        <v>-4.32533062703442</v>
      </c>
      <c r="F71" s="2"/>
    </row>
    <row r="72" customFormat="false" ht="15" hidden="false" customHeight="false" outlineLevel="0" collapsed="false">
      <c r="A72" s="2"/>
      <c r="B72" s="109" t="n">
        <v>0.5</v>
      </c>
      <c r="C72" s="63" t="n">
        <f aca="false">Trajectoire!$D$41-(1-B72)*2*'Pont EBITDA'!$C$57</f>
        <v>7631.43050727668</v>
      </c>
      <c r="D72" s="74" t="n">
        <f aca="false">Trajectoire!$D$44/C72</f>
        <v>2.93177233693257</v>
      </c>
      <c r="E72" s="44" t="n">
        <f aca="false">Hypothèses!$J$26*C72-Trajectoire!$D$44</f>
        <v>520.674669372966</v>
      </c>
      <c r="F72" s="2"/>
    </row>
    <row r="73" customFormat="false" ht="15" hidden="false" customHeight="false" outlineLevel="0" collapsed="false">
      <c r="A73" s="2"/>
      <c r="B73" s="109" t="n">
        <v>0.75</v>
      </c>
      <c r="C73" s="63" t="n">
        <f aca="false">Trajectoire!$D$41-(1-B73)*2*'Pont EBITDA'!$C$57</f>
        <v>7806.43050727668</v>
      </c>
      <c r="D73" s="74" t="n">
        <f aca="false">Trajectoire!$D$44/C73</f>
        <v>2.86604957689712</v>
      </c>
      <c r="E73" s="44" t="n">
        <f aca="false">Hypothèses!$J$26*C73-Trajectoire!$D$44</f>
        <v>1045.67466937297</v>
      </c>
      <c r="F73" s="2"/>
    </row>
    <row r="74" customFormat="false" ht="15" hidden="false" customHeight="false" outlineLevel="0" collapsed="false">
      <c r="A74" s="2"/>
      <c r="B74" s="109" t="n">
        <v>1</v>
      </c>
      <c r="C74" s="63" t="n">
        <f aca="false">Trajectoire!$D$41-(1-B74)*2*'Pont EBITDA'!$C$57</f>
        <v>7981.43050727668</v>
      </c>
      <c r="D74" s="74" t="n">
        <f aca="false">Trajectoire!$D$44/C74</f>
        <v>2.80320887741352</v>
      </c>
      <c r="E74" s="44" t="n">
        <f aca="false">Hypothèses!$J$26*C74-Trajectoire!$D$44</f>
        <v>1570.67466937297</v>
      </c>
      <c r="F74" s="2"/>
    </row>
    <row r="75" customFormat="false" ht="43.5" hidden="false" customHeight="true" outlineLevel="0" collapsed="false">
      <c r="A75" s="2"/>
      <c r="B75" s="68" t="s">
        <v>2722</v>
      </c>
      <c r="C75" s="68"/>
      <c r="D75" s="68"/>
      <c r="E75" s="68"/>
      <c r="F75" s="68"/>
    </row>
    <row r="76" customFormat="false" ht="15" hidden="false" customHeight="false" outlineLevel="0" collapsed="false">
      <c r="A76" s="2"/>
      <c r="B76" s="2"/>
      <c r="C76" s="2"/>
      <c r="D76" s="2"/>
      <c r="E76" s="2"/>
      <c r="F76" s="2"/>
    </row>
    <row r="77" customFormat="false" ht="15" hidden="false" customHeight="false" outlineLevel="0" collapsed="false">
      <c r="A77" s="21" t="s">
        <v>2275</v>
      </c>
      <c r="B77" s="21" t="s">
        <v>2723</v>
      </c>
      <c r="C77" s="2"/>
      <c r="D77" s="2"/>
      <c r="E77" s="2"/>
      <c r="F77" s="2"/>
    </row>
    <row r="78" customFormat="false" ht="15" hidden="false" customHeight="false" outlineLevel="0" collapsed="false">
      <c r="A78" s="20"/>
      <c r="B78" s="20" t="s">
        <v>2724</v>
      </c>
      <c r="C78" s="20" t="s">
        <v>2725</v>
      </c>
      <c r="D78" s="20" t="s">
        <v>2726</v>
      </c>
      <c r="E78" s="20" t="s">
        <v>2727</v>
      </c>
      <c r="F78" s="20" t="s">
        <v>1839</v>
      </c>
    </row>
    <row r="79" customFormat="false" ht="15" hidden="false" customHeight="false" outlineLevel="0" collapsed="false">
      <c r="A79" s="2"/>
      <c r="B79" s="5" t="s">
        <v>2728</v>
      </c>
      <c r="C79" s="77" t="n">
        <f aca="false">Entrées!$C$581</f>
        <v>4.7</v>
      </c>
      <c r="D79" s="77" t="n">
        <f aca="false">Entrées!$C$583</f>
        <v>6.5</v>
      </c>
      <c r="E79" s="110" t="str">
        <f aca="false">IF(D79&gt;=C79,"oui","non")</f>
        <v>oui</v>
      </c>
      <c r="F79" s="23" t="s">
        <v>2729</v>
      </c>
    </row>
    <row r="80" customFormat="false" ht="15" hidden="false" customHeight="false" outlineLevel="0" collapsed="false">
      <c r="A80" s="2"/>
      <c r="B80" s="5" t="s">
        <v>2730</v>
      </c>
      <c r="C80" s="60" t="n">
        <f aca="false">Entrées!$C$584*1000</f>
        <v>1000</v>
      </c>
      <c r="D80" s="77" t="n">
        <f aca="false">Entrées!$C$585</f>
        <v>1335</v>
      </c>
      <c r="E80" s="110" t="str">
        <f aca="false">IF(D80&gt;=C80,"oui","non")</f>
        <v>oui</v>
      </c>
      <c r="F80" s="23" t="s">
        <v>2731</v>
      </c>
    </row>
    <row r="81" customFormat="false" ht="15" hidden="false" customHeight="false" outlineLevel="0" collapsed="false">
      <c r="A81" s="2"/>
      <c r="B81" s="5" t="s">
        <v>2732</v>
      </c>
      <c r="C81" s="77" t="n">
        <f aca="false">Entrées!$C$587</f>
        <v>4</v>
      </c>
      <c r="D81" s="77" t="n">
        <f aca="false">Entrées!$C$588</f>
        <v>4.2</v>
      </c>
      <c r="E81" s="110" t="str">
        <f aca="false">IF(D81&gt;=C81,"oui","non")</f>
        <v>oui</v>
      </c>
      <c r="F81" s="23" t="s">
        <v>2733</v>
      </c>
    </row>
    <row r="82" customFormat="false" ht="15" hidden="false" customHeight="false" outlineLevel="0" collapsed="false">
      <c r="A82" s="2"/>
      <c r="B82" s="5" t="s">
        <v>2734</v>
      </c>
      <c r="C82" s="77" t="n">
        <f aca="false">Entrées!$C$589</f>
        <v>15</v>
      </c>
      <c r="D82" s="77" t="n">
        <f aca="false">Entrées!$C$590</f>
        <v>15.5</v>
      </c>
      <c r="E82" s="110" t="str">
        <f aca="false">IF(D82&gt;=C82,"oui","non")</f>
        <v>oui</v>
      </c>
      <c r="F82" s="23" t="s">
        <v>2735</v>
      </c>
    </row>
    <row r="83" customFormat="false" ht="15" hidden="false" customHeight="false" outlineLevel="0" collapsed="false">
      <c r="A83" s="2"/>
      <c r="B83" s="5" t="s">
        <v>2736</v>
      </c>
      <c r="C83" s="77" t="n">
        <f aca="false">Entrées!$C$591</f>
        <v>610</v>
      </c>
      <c r="D83" s="77" t="n">
        <f aca="false">Entrées!$C$592</f>
        <v>465</v>
      </c>
      <c r="E83" s="110" t="str">
        <f aca="false">IF(D83&gt;=C83,"oui","non")</f>
        <v>non</v>
      </c>
      <c r="F83" s="23" t="s">
        <v>2737</v>
      </c>
    </row>
    <row r="84" customFormat="false" ht="15" hidden="false" customHeight="false" outlineLevel="0" collapsed="false">
      <c r="A84" s="2"/>
      <c r="B84" s="5" t="s">
        <v>2738</v>
      </c>
      <c r="C84" s="77" t="n">
        <f aca="false">Entrées!$C$593</f>
        <v>50</v>
      </c>
      <c r="D84" s="77" t="n">
        <f aca="false">Entrées!$C$594</f>
        <v>30.7</v>
      </c>
      <c r="E84" s="110" t="str">
        <f aca="false">IF(D84&gt;=C84,"oui","non")</f>
        <v>non</v>
      </c>
      <c r="F84" s="23" t="s">
        <v>2739</v>
      </c>
    </row>
    <row r="85" customFormat="false" ht="15" hidden="false" customHeight="false" outlineLevel="0" collapsed="false">
      <c r="A85" s="2"/>
      <c r="B85" s="5" t="s">
        <v>2740</v>
      </c>
      <c r="C85" s="77" t="n">
        <f aca="false">Entrées!$C$595</f>
        <v>5</v>
      </c>
      <c r="D85" s="77" t="n">
        <f aca="false">Entrées!$C$430</f>
        <v>6.3</v>
      </c>
      <c r="E85" s="110" t="str">
        <f aca="false">IF(D85&gt;=C85,"oui","non")</f>
        <v>oui</v>
      </c>
      <c r="F85" s="23" t="s">
        <v>2741</v>
      </c>
    </row>
    <row r="86" customFormat="false" ht="15" hidden="false" customHeight="false" outlineLevel="0" collapsed="false">
      <c r="A86" s="2"/>
      <c r="B86" s="5" t="s">
        <v>2742</v>
      </c>
      <c r="C86" s="77" t="n">
        <f aca="false">Entrées!$C$597</f>
        <v>350</v>
      </c>
      <c r="D86" s="77" t="n">
        <f aca="false">Entrées!$C$429</f>
        <v>399</v>
      </c>
      <c r="E86" s="110" t="str">
        <f aca="false">IF(D86&gt;=C86,"oui","non")</f>
        <v>oui</v>
      </c>
      <c r="F86" s="23" t="s">
        <v>2743</v>
      </c>
    </row>
    <row r="87" customFormat="false" ht="15" hidden="false" customHeight="false" outlineLevel="0" collapsed="false">
      <c r="A87" s="2"/>
      <c r="B87" s="5" t="s">
        <v>2744</v>
      </c>
      <c r="C87" s="77" t="n">
        <f aca="false">Entrées!$C$598</f>
        <v>530</v>
      </c>
      <c r="D87" s="77" t="n">
        <f aca="false">Entrées!$C$196</f>
        <v>534</v>
      </c>
      <c r="E87" s="110" t="str">
        <f aca="false">IF(D87&gt;=C87,"oui","non")</f>
        <v>oui</v>
      </c>
      <c r="F87" s="23" t="s">
        <v>2745</v>
      </c>
    </row>
    <row r="88" customFormat="false" ht="15" hidden="false" customHeight="false" outlineLevel="0" collapsed="false">
      <c r="A88" s="2"/>
      <c r="B88" s="5" t="s">
        <v>2746</v>
      </c>
      <c r="C88" s="77" t="n">
        <f aca="false">Entrées!$C$600</f>
        <v>9</v>
      </c>
      <c r="D88" s="77" t="n">
        <f aca="false">Entrées!$C$601</f>
        <v>9.1</v>
      </c>
      <c r="E88" s="110" t="str">
        <f aca="false">IF(D88&gt;=C88,"oui","non")</f>
        <v>oui</v>
      </c>
      <c r="F88" s="23" t="s">
        <v>2747</v>
      </c>
    </row>
    <row r="89" customFormat="false" ht="15" hidden="false" customHeight="false" outlineLevel="0" collapsed="false">
      <c r="A89" s="2"/>
      <c r="B89" s="5" t="s">
        <v>2748</v>
      </c>
      <c r="C89" s="77" t="n">
        <f aca="false">Entrées!$C$61</f>
        <v>3</v>
      </c>
      <c r="D89" s="77" t="n">
        <f aca="false">Entrées!$C$21</f>
        <v>2.79</v>
      </c>
      <c r="E89" s="110" t="str">
        <f aca="false">IF(D89&lt;=C89,"oui","non")</f>
        <v>oui</v>
      </c>
      <c r="F89" s="23" t="s">
        <v>2749</v>
      </c>
    </row>
    <row r="90" customFormat="false" ht="15" hidden="false" customHeight="false" outlineLevel="0" collapsed="false">
      <c r="A90" s="2"/>
      <c r="B90" s="21" t="s">
        <v>2750</v>
      </c>
      <c r="C90" s="111" t="str">
        <f aca="false">COUNTIF(E79:E89,"oui")&amp;" / "&amp;COUNTA(E79:E89)</f>
        <v>9 / 11</v>
      </c>
      <c r="D90" s="23"/>
      <c r="E90" s="23"/>
      <c r="F90" s="2"/>
    </row>
    <row r="91" customFormat="false" ht="15" hidden="false" customHeight="false" outlineLevel="0" collapsed="false">
      <c r="A91" s="2"/>
      <c r="B91" s="21" t="s">
        <v>2751</v>
      </c>
      <c r="C91" s="111" t="str">
        <f aca="false">COUNTIF(E79:E81,"oui")+COUNTIF(E85:E89,"oui")&amp;" / "&amp;(COUNTA(E79:E81)+COUNTA(E85:E89))</f>
        <v>8 / 8</v>
      </c>
      <c r="D91" s="23"/>
      <c r="E91" s="23" t="s">
        <v>2752</v>
      </c>
      <c r="F91" s="2"/>
    </row>
    <row r="92" customFormat="false" ht="43.5" hidden="false" customHeight="true" outlineLevel="0" collapsed="false">
      <c r="A92" s="2"/>
      <c r="B92" s="68" t="s">
        <v>2753</v>
      </c>
      <c r="C92" s="68"/>
      <c r="D92" s="68"/>
      <c r="E92" s="68"/>
      <c r="F92" s="68"/>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2754</v>
      </c>
      <c r="B1" s="2"/>
      <c r="C1" s="2"/>
      <c r="D1" s="2"/>
      <c r="E1" s="2"/>
      <c r="F1" s="2"/>
      <c r="G1" s="2"/>
      <c r="H1" s="2"/>
      <c r="I1" s="2"/>
      <c r="J1" s="2"/>
      <c r="K1" s="2"/>
    </row>
    <row r="2" customFormat="false" ht="15" hidden="false" customHeight="false" outlineLevel="0" collapsed="false">
      <c r="A2" s="3" t="s">
        <v>2755</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1" t="s">
        <v>1921</v>
      </c>
      <c r="B4" s="21" t="s">
        <v>2756</v>
      </c>
      <c r="C4" s="2"/>
      <c r="D4" s="2"/>
      <c r="E4" s="2"/>
      <c r="F4" s="2"/>
      <c r="G4" s="2"/>
      <c r="H4" s="2"/>
      <c r="I4" s="2"/>
      <c r="J4" s="2"/>
      <c r="K4" s="2"/>
    </row>
    <row r="5" customFormat="false" ht="15" hidden="false" customHeight="false" outlineLevel="0" collapsed="false">
      <c r="A5" s="2"/>
      <c r="B5" s="5" t="s">
        <v>2757</v>
      </c>
      <c r="C5" s="60" t="n">
        <f aca="false">Entrées!$C$38</f>
        <v>9196</v>
      </c>
      <c r="D5" s="23" t="s">
        <v>221</v>
      </c>
      <c r="E5" s="23" t="s">
        <v>219</v>
      </c>
      <c r="F5" s="2"/>
      <c r="G5" s="2"/>
      <c r="H5" s="2"/>
      <c r="I5" s="2"/>
      <c r="J5" s="2"/>
      <c r="K5" s="2"/>
    </row>
    <row r="6" customFormat="false" ht="15" hidden="false" customHeight="false" outlineLevel="0" collapsed="false">
      <c r="A6" s="2"/>
      <c r="B6" s="5" t="s">
        <v>2758</v>
      </c>
      <c r="C6" s="60" t="n">
        <f aca="false">Entrées!$C$39</f>
        <v>9181</v>
      </c>
      <c r="D6" s="23" t="s">
        <v>221</v>
      </c>
      <c r="E6" s="23" t="s">
        <v>225</v>
      </c>
      <c r="F6" s="2"/>
      <c r="G6" s="2"/>
      <c r="H6" s="2"/>
      <c r="I6" s="2"/>
      <c r="J6" s="2"/>
      <c r="K6" s="2"/>
    </row>
    <row r="7" customFormat="false" ht="15" hidden="false" customHeight="false" outlineLevel="0" collapsed="false">
      <c r="A7" s="2"/>
      <c r="B7" s="5" t="s">
        <v>2759</v>
      </c>
      <c r="C7" s="65" t="n">
        <f aca="false">C6/C5-1</f>
        <v>-0.00163114397564157</v>
      </c>
      <c r="D7" s="23" t="s">
        <v>296</v>
      </c>
      <c r="E7" s="23"/>
      <c r="F7" s="2"/>
      <c r="G7" s="2"/>
      <c r="H7" s="2"/>
      <c r="I7" s="2"/>
      <c r="J7" s="2"/>
      <c r="K7" s="2"/>
    </row>
    <row r="8" customFormat="false" ht="15" hidden="false" customHeight="false" outlineLevel="0" collapsed="false">
      <c r="A8" s="2"/>
      <c r="B8" s="5" t="s">
        <v>2760</v>
      </c>
      <c r="C8" s="63" t="n">
        <f aca="false">Entrées!$C$40*1000</f>
        <v>9000</v>
      </c>
      <c r="D8" s="23" t="s">
        <v>221</v>
      </c>
      <c r="E8" s="23" t="s">
        <v>227</v>
      </c>
      <c r="F8" s="2"/>
      <c r="G8" s="2"/>
      <c r="H8" s="2"/>
      <c r="I8" s="2"/>
      <c r="J8" s="2"/>
      <c r="K8" s="2"/>
    </row>
    <row r="9" customFormat="false" ht="15" hidden="false" customHeight="false" outlineLevel="0" collapsed="false">
      <c r="A9" s="2"/>
      <c r="B9" s="5" t="s">
        <v>2761</v>
      </c>
      <c r="C9" s="63" t="n">
        <f aca="false">Entrées!$C$41*1000</f>
        <v>10000</v>
      </c>
      <c r="D9" s="23" t="s">
        <v>221</v>
      </c>
      <c r="E9" s="23" t="s">
        <v>231</v>
      </c>
      <c r="F9" s="2"/>
      <c r="G9" s="2"/>
      <c r="H9" s="2"/>
      <c r="I9" s="2"/>
      <c r="J9" s="2"/>
      <c r="K9" s="2"/>
    </row>
    <row r="10" customFormat="false" ht="15" hidden="false" customHeight="false" outlineLevel="0" collapsed="false">
      <c r="A10" s="2"/>
      <c r="B10" s="21" t="s">
        <v>2762</v>
      </c>
      <c r="C10" s="44" t="n">
        <f aca="false">C6-C8</f>
        <v>181</v>
      </c>
      <c r="D10" s="23" t="s">
        <v>221</v>
      </c>
      <c r="E10" s="23" t="s">
        <v>2763</v>
      </c>
      <c r="F10" s="2"/>
      <c r="G10" s="2"/>
      <c r="H10" s="2"/>
      <c r="I10" s="2"/>
      <c r="J10" s="2"/>
      <c r="K10" s="2"/>
    </row>
    <row r="11" customFormat="false" ht="15" hidden="false" customHeight="false" outlineLevel="0" collapsed="false">
      <c r="A11" s="2"/>
      <c r="B11" s="21" t="s">
        <v>2764</v>
      </c>
      <c r="C11" s="44" t="n">
        <f aca="false">C6-C9</f>
        <v>-819</v>
      </c>
      <c r="D11" s="23" t="s">
        <v>221</v>
      </c>
      <c r="E11" s="23"/>
      <c r="F11" s="2"/>
      <c r="G11" s="2"/>
      <c r="H11" s="2"/>
      <c r="I11" s="2"/>
      <c r="J11" s="2"/>
      <c r="K11" s="2"/>
    </row>
    <row r="12" customFormat="false" ht="15" hidden="false" customHeight="false" outlineLevel="0" collapsed="false">
      <c r="A12" s="2"/>
      <c r="B12" s="5" t="s">
        <v>2765</v>
      </c>
      <c r="C12" s="60" t="n">
        <f aca="false">Entrées!$C$68</f>
        <v>430</v>
      </c>
      <c r="D12" s="23" t="s">
        <v>221</v>
      </c>
      <c r="E12" s="23" t="s">
        <v>323</v>
      </c>
      <c r="F12" s="2"/>
      <c r="G12" s="2"/>
      <c r="H12" s="2"/>
      <c r="I12" s="2"/>
      <c r="J12" s="2"/>
      <c r="K12" s="2"/>
    </row>
    <row r="13" customFormat="false" ht="15" hidden="false" customHeight="false" outlineLevel="0" collapsed="false">
      <c r="A13" s="2"/>
      <c r="B13" s="5" t="s">
        <v>2766</v>
      </c>
      <c r="C13" s="63" t="n">
        <f aca="false">C11+C12</f>
        <v>-389</v>
      </c>
      <c r="D13" s="23" t="s">
        <v>221</v>
      </c>
      <c r="E13" s="23"/>
      <c r="F13" s="2"/>
      <c r="G13" s="2"/>
      <c r="H13" s="2"/>
      <c r="I13" s="2"/>
      <c r="J13" s="2"/>
      <c r="K13" s="2"/>
    </row>
    <row r="14" customFormat="false" ht="30" hidden="false" customHeight="true" outlineLevel="0" collapsed="false">
      <c r="A14" s="2"/>
      <c r="B14" s="68" t="s">
        <v>2767</v>
      </c>
      <c r="C14" s="68"/>
      <c r="D14" s="68"/>
      <c r="E14" s="68"/>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1" t="s">
        <v>1934</v>
      </c>
      <c r="B16" s="21" t="s">
        <v>2768</v>
      </c>
      <c r="C16" s="2"/>
      <c r="D16" s="2"/>
      <c r="E16" s="2"/>
      <c r="F16" s="2"/>
      <c r="G16" s="2"/>
      <c r="H16" s="2"/>
      <c r="I16" s="2"/>
      <c r="J16" s="2"/>
      <c r="K16" s="2"/>
    </row>
    <row r="17" customFormat="false" ht="15" hidden="false" customHeight="false" outlineLevel="0" collapsed="false">
      <c r="A17" s="2"/>
      <c r="B17" s="5" t="s">
        <v>2769</v>
      </c>
      <c r="C17" s="77" t="n">
        <f aca="false">Entrées!$C$63</f>
        <v>4.3</v>
      </c>
      <c r="D17" s="23" t="s">
        <v>127</v>
      </c>
      <c r="E17" s="23" t="s">
        <v>308</v>
      </c>
      <c r="F17" s="2"/>
      <c r="G17" s="2"/>
      <c r="H17" s="2"/>
      <c r="I17" s="2"/>
      <c r="J17" s="2"/>
      <c r="K17" s="2"/>
    </row>
    <row r="18" customFormat="false" ht="15" hidden="false" customHeight="false" outlineLevel="0" collapsed="false">
      <c r="A18" s="2"/>
      <c r="B18" s="5" t="s">
        <v>2770</v>
      </c>
      <c r="C18" s="77" t="n">
        <f aca="false">Entrées!$C$64</f>
        <v>5.2</v>
      </c>
      <c r="D18" s="23" t="s">
        <v>127</v>
      </c>
      <c r="E18" s="23" t="s">
        <v>311</v>
      </c>
      <c r="F18" s="2"/>
      <c r="G18" s="2"/>
      <c r="H18" s="2"/>
      <c r="I18" s="2"/>
      <c r="J18" s="2"/>
      <c r="K18" s="2"/>
    </row>
    <row r="19" customFormat="false" ht="15" hidden="false" customHeight="false" outlineLevel="0" collapsed="false">
      <c r="A19" s="2"/>
      <c r="B19" s="5" t="s">
        <v>2771</v>
      </c>
      <c r="C19" s="77" t="n">
        <f aca="false">Entrées!$C$65</f>
        <v>0.9</v>
      </c>
      <c r="D19" s="23" t="s">
        <v>127</v>
      </c>
      <c r="E19" s="23" t="s">
        <v>314</v>
      </c>
      <c r="F19" s="2"/>
      <c r="G19" s="2"/>
      <c r="H19" s="2"/>
      <c r="I19" s="2"/>
      <c r="J19" s="2"/>
      <c r="K19" s="2"/>
    </row>
    <row r="20" customFormat="false" ht="15" hidden="false" customHeight="false" outlineLevel="0" collapsed="false">
      <c r="A20" s="2"/>
      <c r="B20" s="5" t="s">
        <v>2772</v>
      </c>
      <c r="C20" s="65" t="n">
        <f aca="false">C19/C18</f>
        <v>0.173076923076923</v>
      </c>
      <c r="D20" s="23" t="s">
        <v>296</v>
      </c>
      <c r="E20" s="23" t="s">
        <v>2773</v>
      </c>
      <c r="F20" s="2"/>
      <c r="G20" s="2"/>
      <c r="H20" s="2"/>
      <c r="I20" s="2"/>
      <c r="J20" s="2"/>
      <c r="K20" s="2"/>
    </row>
    <row r="21" customFormat="false" ht="15" hidden="false" customHeight="false" outlineLevel="0" collapsed="false">
      <c r="A21" s="2"/>
      <c r="B21" s="5" t="s">
        <v>2774</v>
      </c>
      <c r="C21" s="65" t="n">
        <f aca="false">Entrées!$C$67/100</f>
        <v>0.1</v>
      </c>
      <c r="D21" s="23" t="s">
        <v>296</v>
      </c>
      <c r="E21" s="23" t="s">
        <v>320</v>
      </c>
      <c r="F21" s="2"/>
      <c r="G21" s="2"/>
      <c r="H21" s="2"/>
      <c r="I21" s="2"/>
      <c r="J21" s="2"/>
      <c r="K21" s="2"/>
    </row>
    <row r="22" customFormat="false" ht="15" hidden="false" customHeight="false" outlineLevel="0" collapsed="false">
      <c r="A22" s="2"/>
      <c r="B22" s="21" t="s">
        <v>2775</v>
      </c>
      <c r="C22" s="50" t="n">
        <f aca="false">C19*(1+C21)^2</f>
        <v>1.089</v>
      </c>
      <c r="D22" s="23" t="s">
        <v>127</v>
      </c>
      <c r="E22" s="23" t="s">
        <v>2776</v>
      </c>
      <c r="F22" s="2"/>
      <c r="G22" s="2"/>
      <c r="H22" s="2"/>
      <c r="I22" s="2"/>
      <c r="J22" s="2"/>
      <c r="K22" s="2"/>
    </row>
    <row r="23" customFormat="false" ht="15" hidden="false" customHeight="false" outlineLevel="0" collapsed="false">
      <c r="A23" s="2"/>
      <c r="B23" s="5" t="s">
        <v>2777</v>
      </c>
      <c r="C23" s="65" t="n">
        <f aca="false">Entrées!$C$57/Entrées!$C$59-1</f>
        <v>0.0510204081632653</v>
      </c>
      <c r="D23" s="23" t="s">
        <v>296</v>
      </c>
      <c r="E23" s="23" t="s">
        <v>2778</v>
      </c>
      <c r="F23" s="2"/>
      <c r="G23" s="2"/>
      <c r="H23" s="2"/>
      <c r="I23" s="2"/>
      <c r="J23" s="2"/>
      <c r="K23" s="2"/>
    </row>
    <row r="24" customFormat="false" ht="15" hidden="false" customHeight="false" outlineLevel="0" collapsed="false">
      <c r="A24" s="2"/>
      <c r="B24" s="5" t="s">
        <v>2779</v>
      </c>
      <c r="C24" s="65" t="n">
        <f aca="false">Entrées!$C$56/Entrées!$C$57</f>
        <v>0.194174757281553</v>
      </c>
      <c r="D24" s="23" t="s">
        <v>296</v>
      </c>
      <c r="E24" s="23" t="s">
        <v>2780</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1" t="s">
        <v>2104</v>
      </c>
      <c r="B26" s="21" t="s">
        <v>2781</v>
      </c>
      <c r="C26" s="2"/>
      <c r="D26" s="2"/>
      <c r="E26" s="2"/>
      <c r="F26" s="2"/>
      <c r="G26" s="2"/>
      <c r="H26" s="2"/>
      <c r="I26" s="2"/>
      <c r="J26" s="2"/>
      <c r="K26" s="2"/>
    </row>
    <row r="27" customFormat="false" ht="15" hidden="false" customHeight="false" outlineLevel="0" collapsed="false">
      <c r="A27" s="2"/>
      <c r="B27" s="5" t="s">
        <v>2782</v>
      </c>
      <c r="C27" s="60" t="n">
        <f aca="false">Entrées!$C$44</f>
        <v>1189</v>
      </c>
      <c r="D27" s="23" t="s">
        <v>100</v>
      </c>
      <c r="E27" s="23" t="s">
        <v>239</v>
      </c>
      <c r="F27" s="2"/>
      <c r="G27" s="2"/>
      <c r="H27" s="2"/>
      <c r="I27" s="2"/>
      <c r="J27" s="2"/>
      <c r="K27" s="2"/>
    </row>
    <row r="28" customFormat="false" ht="15" hidden="false" customHeight="false" outlineLevel="0" collapsed="false">
      <c r="A28" s="2"/>
      <c r="B28" s="21" t="s">
        <v>2783</v>
      </c>
      <c r="C28" s="40" t="n">
        <f aca="false">Entrées!$C$98/100</f>
        <v>-0.002</v>
      </c>
      <c r="D28" s="23" t="s">
        <v>296</v>
      </c>
      <c r="E28" s="23" t="s">
        <v>410</v>
      </c>
      <c r="F28" s="2"/>
      <c r="G28" s="2"/>
      <c r="H28" s="2"/>
      <c r="I28" s="2"/>
      <c r="J28" s="2"/>
      <c r="K28" s="2"/>
    </row>
    <row r="29" customFormat="false" ht="15" hidden="false" customHeight="false" outlineLevel="0" collapsed="false">
      <c r="A29" s="2"/>
      <c r="B29" s="5" t="s">
        <v>2784</v>
      </c>
      <c r="C29" s="65" t="n">
        <f aca="false">Entrées!$C$100/Entrées!$C$99-1</f>
        <v>0.0352220520673814</v>
      </c>
      <c r="D29" s="23" t="s">
        <v>296</v>
      </c>
      <c r="E29" s="23" t="s">
        <v>2785</v>
      </c>
      <c r="F29" s="2"/>
      <c r="G29" s="2"/>
      <c r="H29" s="2"/>
      <c r="I29" s="2"/>
      <c r="J29" s="2"/>
      <c r="K29" s="2"/>
    </row>
    <row r="30" customFormat="false" ht="15" hidden="false" customHeight="false" outlineLevel="0" collapsed="false">
      <c r="A30" s="2"/>
      <c r="B30" s="5" t="s">
        <v>2786</v>
      </c>
      <c r="C30" s="65" t="n">
        <f aca="false">Entrées!$C$102/Entrées!$C$101-1</f>
        <v>0.108501118568233</v>
      </c>
      <c r="D30" s="23" t="s">
        <v>296</v>
      </c>
      <c r="E30" s="23" t="s">
        <v>2787</v>
      </c>
      <c r="F30" s="2"/>
      <c r="G30" s="2"/>
      <c r="H30" s="2"/>
      <c r="I30" s="2"/>
      <c r="J30" s="2"/>
      <c r="K30" s="2"/>
    </row>
    <row r="31" customFormat="false" ht="30" hidden="false" customHeight="true" outlineLevel="0" collapsed="false">
      <c r="A31" s="2"/>
      <c r="B31" s="68" t="s">
        <v>2788</v>
      </c>
      <c r="C31" s="68"/>
      <c r="D31" s="68"/>
      <c r="E31" s="68"/>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1" t="s">
        <v>2256</v>
      </c>
      <c r="B33" s="21" t="s">
        <v>2789</v>
      </c>
      <c r="C33" s="2"/>
      <c r="D33" s="2"/>
      <c r="E33" s="2"/>
      <c r="F33" s="2"/>
      <c r="G33" s="2"/>
      <c r="H33" s="2"/>
      <c r="I33" s="2"/>
      <c r="J33" s="2"/>
      <c r="K33" s="2"/>
    </row>
    <row r="34" customFormat="false" ht="15" hidden="false" customHeight="false" outlineLevel="0" collapsed="false">
      <c r="A34" s="20"/>
      <c r="B34" s="20" t="s">
        <v>2046</v>
      </c>
      <c r="C34" s="20" t="s">
        <v>2790</v>
      </c>
      <c r="D34" s="20" t="s">
        <v>2791</v>
      </c>
      <c r="E34" s="20" t="s">
        <v>2792</v>
      </c>
      <c r="F34" s="20" t="s">
        <v>2793</v>
      </c>
      <c r="G34" s="20" t="s">
        <v>2794</v>
      </c>
      <c r="H34" s="20" t="s">
        <v>2795</v>
      </c>
      <c r="I34" s="20" t="s">
        <v>93</v>
      </c>
      <c r="J34" s="20" t="s">
        <v>94</v>
      </c>
      <c r="K34" s="20" t="s">
        <v>2796</v>
      </c>
    </row>
    <row r="35" customFormat="false" ht="15" hidden="false" customHeight="false" outlineLevel="0" collapsed="false">
      <c r="A35" s="2"/>
      <c r="B35" s="5" t="s">
        <v>2797</v>
      </c>
      <c r="C35" s="5" t="s">
        <v>2282</v>
      </c>
      <c r="D35" s="112" t="s">
        <v>2798</v>
      </c>
      <c r="E35" s="58" t="n">
        <f aca="false">Entrées!$C$212</f>
        <v>6030.8</v>
      </c>
      <c r="F35" s="58" t="n">
        <f aca="false">Entrées!$C$213/1000</f>
        <v>1169.939</v>
      </c>
      <c r="G35" s="65" t="n">
        <f aca="false">IF(AND(ISNUMBER(E35),ISNUMBER(F35),E35&lt;&gt;0),F35/E35,"")</f>
        <v>0.193993997479605</v>
      </c>
      <c r="H35" s="113"/>
      <c r="I35" s="112" t="s">
        <v>736</v>
      </c>
      <c r="J35" s="112" t="s">
        <v>2799</v>
      </c>
      <c r="K35" s="23" t="s">
        <v>2800</v>
      </c>
    </row>
    <row r="36" customFormat="false" ht="15" hidden="false" customHeight="false" outlineLevel="0" collapsed="false">
      <c r="A36" s="2"/>
      <c r="B36" s="5" t="s">
        <v>2801</v>
      </c>
      <c r="C36" s="5" t="s">
        <v>2282</v>
      </c>
      <c r="D36" s="112" t="s">
        <v>2802</v>
      </c>
      <c r="E36" s="58" t="n">
        <f aca="false">Entrées!$C$197</f>
        <v>973.9</v>
      </c>
      <c r="F36" s="114" t="n">
        <f aca="false">Entrées!$C$199+(Entrées!$C$201+Entrées!$C$202)/1000</f>
        <v>155.122</v>
      </c>
      <c r="G36" s="65" t="n">
        <f aca="false">IF(AND(ISNUMBER(E36),ISNUMBER(F36),E36&lt;&gt;0),F36/E36,"")</f>
        <v>0.159279186774823</v>
      </c>
      <c r="H36" s="113"/>
      <c r="I36" s="112" t="s">
        <v>703</v>
      </c>
      <c r="J36" s="112" t="s">
        <v>2803</v>
      </c>
      <c r="K36" s="23" t="s">
        <v>2804</v>
      </c>
    </row>
    <row r="37" customFormat="false" ht="15" hidden="false" customHeight="false" outlineLevel="0" collapsed="false">
      <c r="A37" s="2"/>
      <c r="B37" s="5" t="s">
        <v>2805</v>
      </c>
      <c r="C37" s="5" t="s">
        <v>2282</v>
      </c>
      <c r="D37" s="113"/>
      <c r="E37" s="113"/>
      <c r="F37" s="113"/>
      <c r="G37" s="65" t="str">
        <f aca="false">IF(AND(ISNUMBER(E37),ISNUMBER(F37),E37&lt;&gt;0),F37/E37,"")</f>
        <v/>
      </c>
      <c r="H37" s="113"/>
      <c r="I37" s="113"/>
      <c r="J37" s="113"/>
      <c r="K37" s="23" t="s">
        <v>2806</v>
      </c>
    </row>
    <row r="38" customFormat="false" ht="15" hidden="false" customHeight="false" outlineLevel="0" collapsed="false">
      <c r="A38" s="2"/>
      <c r="B38" s="5" t="s">
        <v>2807</v>
      </c>
      <c r="C38" s="5" t="s">
        <v>2283</v>
      </c>
      <c r="D38" s="113"/>
      <c r="E38" s="113"/>
      <c r="F38" s="113"/>
      <c r="G38" s="65" t="str">
        <f aca="false">IF(AND(ISNUMBER(E38),ISNUMBER(F38),E38&lt;&gt;0),F38/E38,"")</f>
        <v/>
      </c>
      <c r="H38" s="113"/>
      <c r="I38" s="113"/>
      <c r="J38" s="113"/>
      <c r="K38" s="23" t="s">
        <v>2808</v>
      </c>
    </row>
    <row r="39" customFormat="false" ht="15" hidden="false" customHeight="false" outlineLevel="0" collapsed="false">
      <c r="A39" s="2"/>
      <c r="B39" s="5" t="s">
        <v>2809</v>
      </c>
      <c r="C39" s="2"/>
      <c r="D39" s="2"/>
      <c r="E39" s="2"/>
      <c r="F39" s="2"/>
      <c r="G39" s="65" t="n">
        <f aca="false">Entrées!$C$214/100</f>
        <v>0.194</v>
      </c>
      <c r="H39" s="2"/>
      <c r="I39" s="2"/>
      <c r="J39" s="2"/>
      <c r="K39" s="23" t="s">
        <v>753</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1" t="s">
        <v>2275</v>
      </c>
      <c r="B41" s="21" t="s">
        <v>2810</v>
      </c>
      <c r="C41" s="2"/>
      <c r="D41" s="2"/>
      <c r="E41" s="2"/>
      <c r="F41" s="2"/>
      <c r="G41" s="2"/>
      <c r="H41" s="2"/>
      <c r="I41" s="2"/>
      <c r="J41" s="2"/>
      <c r="K41" s="2"/>
    </row>
    <row r="42" customFormat="false" ht="15" hidden="false" customHeight="false" outlineLevel="0" collapsed="false">
      <c r="A42" s="2"/>
      <c r="B42" s="5" t="s">
        <v>2811</v>
      </c>
      <c r="C42" s="97" t="n">
        <f aca="false">Entrées!$C$198</f>
        <v>940.3</v>
      </c>
      <c r="D42" s="23" t="s">
        <v>246</v>
      </c>
      <c r="E42" s="23" t="s">
        <v>2812</v>
      </c>
      <c r="F42" s="2"/>
      <c r="G42" s="2"/>
      <c r="H42" s="2"/>
      <c r="I42" s="2"/>
      <c r="J42" s="2"/>
      <c r="K42" s="2"/>
    </row>
    <row r="43" customFormat="false" ht="15" hidden="false" customHeight="false" outlineLevel="0" collapsed="false">
      <c r="A43" s="2"/>
      <c r="B43" s="5" t="s">
        <v>2811</v>
      </c>
      <c r="C43" s="97" t="n">
        <f aca="false">Entrées!$C$197</f>
        <v>973.9</v>
      </c>
      <c r="D43" s="23" t="s">
        <v>246</v>
      </c>
      <c r="E43" s="23" t="s">
        <v>2813</v>
      </c>
      <c r="F43" s="2"/>
      <c r="G43" s="2"/>
      <c r="H43" s="2"/>
      <c r="I43" s="2"/>
      <c r="J43" s="2"/>
      <c r="K43" s="2"/>
    </row>
    <row r="44" customFormat="false" ht="15" hidden="false" customHeight="false" outlineLevel="0" collapsed="false">
      <c r="A44" s="2"/>
      <c r="B44" s="5" t="s">
        <v>2814</v>
      </c>
      <c r="C44" s="65" t="n">
        <f aca="false">C43/C42-1</f>
        <v>0.0357332766138467</v>
      </c>
      <c r="D44" s="23" t="s">
        <v>296</v>
      </c>
      <c r="E44" s="23"/>
      <c r="F44" s="2"/>
      <c r="G44" s="2"/>
      <c r="H44" s="2"/>
      <c r="I44" s="2"/>
      <c r="J44" s="2"/>
      <c r="K44" s="2"/>
    </row>
    <row r="45" customFormat="false" ht="15" hidden="false" customHeight="false" outlineLevel="0" collapsed="false">
      <c r="A45" s="2"/>
      <c r="B45" s="5" t="s">
        <v>2815</v>
      </c>
      <c r="C45" s="97" t="n">
        <f aca="false">Entrées!$C$200</f>
        <v>92.6</v>
      </c>
      <c r="D45" s="23" t="s">
        <v>246</v>
      </c>
      <c r="E45" s="23" t="s">
        <v>2816</v>
      </c>
      <c r="F45" s="2"/>
      <c r="G45" s="2"/>
      <c r="H45" s="2"/>
      <c r="I45" s="2"/>
      <c r="J45" s="2"/>
      <c r="K45" s="2"/>
    </row>
    <row r="46" customFormat="false" ht="15" hidden="false" customHeight="false" outlineLevel="0" collapsed="false">
      <c r="A46" s="2"/>
      <c r="B46" s="5" t="s">
        <v>2815</v>
      </c>
      <c r="C46" s="97" t="n">
        <f aca="false">Entrées!$C$199</f>
        <v>91.7</v>
      </c>
      <c r="D46" s="23" t="s">
        <v>246</v>
      </c>
      <c r="E46" s="23" t="s">
        <v>2817</v>
      </c>
      <c r="F46" s="2"/>
      <c r="G46" s="2"/>
      <c r="H46" s="2"/>
      <c r="I46" s="2"/>
      <c r="J46" s="2"/>
      <c r="K46" s="2"/>
    </row>
    <row r="47" customFormat="false" ht="15" hidden="false" customHeight="false" outlineLevel="0" collapsed="false">
      <c r="A47" s="2"/>
      <c r="B47" s="5" t="s">
        <v>2818</v>
      </c>
      <c r="C47" s="98" t="n">
        <f aca="false">(Entrées!$C$201+Entrées!$C$202)/1000</f>
        <v>63.422</v>
      </c>
      <c r="D47" s="23" t="s">
        <v>246</v>
      </c>
      <c r="E47" s="23" t="s">
        <v>2819</v>
      </c>
      <c r="F47" s="2"/>
      <c r="G47" s="2"/>
      <c r="H47" s="2"/>
      <c r="I47" s="2"/>
      <c r="J47" s="2"/>
      <c r="K47" s="2"/>
    </row>
    <row r="48" customFormat="false" ht="15" hidden="false" customHeight="false" outlineLevel="0" collapsed="false">
      <c r="A48" s="2"/>
      <c r="B48" s="21" t="s">
        <v>2820</v>
      </c>
      <c r="C48" s="59" t="n">
        <f aca="false">C46+C47</f>
        <v>155.122</v>
      </c>
      <c r="D48" s="23" t="s">
        <v>246</v>
      </c>
      <c r="E48" s="23" t="s">
        <v>2821</v>
      </c>
      <c r="F48" s="2"/>
      <c r="G48" s="2"/>
      <c r="H48" s="2"/>
      <c r="I48" s="2"/>
      <c r="J48" s="2"/>
      <c r="K48" s="2"/>
    </row>
    <row r="49" customFormat="false" ht="15" hidden="false" customHeight="false" outlineLevel="0" collapsed="false">
      <c r="A49" s="2"/>
      <c r="B49" s="5" t="s">
        <v>2822</v>
      </c>
      <c r="C49" s="65" t="n">
        <f aca="false">C48/C43</f>
        <v>0.159279186774823</v>
      </c>
      <c r="D49" s="23" t="s">
        <v>296</v>
      </c>
      <c r="E49" s="23"/>
      <c r="F49" s="2"/>
      <c r="G49" s="2"/>
      <c r="H49" s="2"/>
      <c r="I49" s="2"/>
      <c r="J49" s="2"/>
      <c r="K49" s="2"/>
    </row>
    <row r="50" customFormat="false" ht="15" hidden="false" customHeight="false" outlineLevel="0" collapsed="false">
      <c r="A50" s="2"/>
      <c r="B50" s="5" t="s">
        <v>2823</v>
      </c>
      <c r="C50" s="97" t="n">
        <f aca="false">Entrées!$C$56</f>
        <v>200</v>
      </c>
      <c r="D50" s="23" t="s">
        <v>246</v>
      </c>
      <c r="E50" s="23" t="s">
        <v>287</v>
      </c>
      <c r="F50" s="2"/>
      <c r="G50" s="2"/>
      <c r="H50" s="2"/>
      <c r="I50" s="2"/>
      <c r="J50" s="2"/>
      <c r="K50" s="2"/>
    </row>
    <row r="51" customFormat="false" ht="15" hidden="false" customHeight="false" outlineLevel="0" collapsed="false">
      <c r="A51" s="2"/>
      <c r="B51" s="21" t="s">
        <v>2824</v>
      </c>
      <c r="C51" s="40" t="n">
        <f aca="false">C50/C48-1</f>
        <v>0.289307770657934</v>
      </c>
      <c r="D51" s="23" t="s">
        <v>296</v>
      </c>
      <c r="E51" s="23" t="s">
        <v>2825</v>
      </c>
      <c r="F51" s="2"/>
      <c r="G51" s="2"/>
      <c r="H51" s="2"/>
      <c r="I51" s="2"/>
      <c r="J51" s="2"/>
      <c r="K51" s="2"/>
    </row>
    <row r="52" customFormat="false" ht="15" hidden="false" customHeight="false" outlineLevel="0" collapsed="false">
      <c r="A52" s="2"/>
      <c r="B52" s="21" t="s">
        <v>2826</v>
      </c>
      <c r="C52" s="47" t="n">
        <f aca="false">Entrées!$C$51*1000/C48</f>
        <v>19.339616559869</v>
      </c>
      <c r="D52" s="23" t="s">
        <v>130</v>
      </c>
      <c r="E52" s="23" t="s">
        <v>2827</v>
      </c>
      <c r="F52" s="2"/>
      <c r="G52" s="2"/>
      <c r="H52" s="2"/>
      <c r="I52" s="2"/>
      <c r="J52" s="2"/>
      <c r="K52" s="2"/>
    </row>
    <row r="53" customFormat="false" ht="15" hidden="false" customHeight="false" outlineLevel="0" collapsed="false">
      <c r="A53" s="2"/>
      <c r="B53" s="5" t="s">
        <v>2828</v>
      </c>
      <c r="C53" s="88" t="n">
        <f aca="false">Entrées!$C$53</f>
        <v>9.8</v>
      </c>
      <c r="D53" s="23" t="s">
        <v>130</v>
      </c>
      <c r="E53" s="23" t="s">
        <v>275</v>
      </c>
      <c r="F53" s="2"/>
      <c r="G53" s="2"/>
      <c r="H53" s="2"/>
      <c r="I53" s="2"/>
      <c r="J53" s="2"/>
      <c r="K53" s="2"/>
    </row>
    <row r="54" customFormat="false" ht="15" hidden="false" customHeight="false" outlineLevel="0" collapsed="false">
      <c r="A54" s="2"/>
      <c r="B54" s="5" t="s">
        <v>2829</v>
      </c>
      <c r="C54" s="98" t="n">
        <f aca="false">Entrées!$C$203/1000</f>
        <v>1036.916</v>
      </c>
      <c r="D54" s="23" t="s">
        <v>246</v>
      </c>
      <c r="E54" s="23" t="s">
        <v>719</v>
      </c>
      <c r="F54" s="2"/>
      <c r="G54" s="2"/>
      <c r="H54" s="2"/>
      <c r="I54" s="2"/>
      <c r="J54" s="2"/>
      <c r="K54" s="2"/>
    </row>
    <row r="55" customFormat="false" ht="30" hidden="false" customHeight="true" outlineLevel="0" collapsed="false">
      <c r="A55" s="2"/>
      <c r="B55" s="68" t="s">
        <v>2830</v>
      </c>
      <c r="C55" s="68"/>
      <c r="D55" s="68"/>
      <c r="E55" s="68"/>
      <c r="F55" s="2"/>
      <c r="G55" s="2"/>
      <c r="H55" s="2"/>
      <c r="I55" s="2"/>
      <c r="J55" s="2"/>
      <c r="K55" s="2"/>
    </row>
    <row r="56" customFormat="false" ht="15" hidden="false" customHeight="false" outlineLevel="0" collapsed="false">
      <c r="A56" s="2"/>
      <c r="B56" s="3" t="s">
        <v>2831</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2832</v>
      </c>
      <c r="B1" s="2"/>
      <c r="C1" s="2"/>
      <c r="D1" s="2"/>
      <c r="E1" s="2"/>
      <c r="F1" s="2"/>
      <c r="G1" s="2"/>
      <c r="H1" s="2"/>
      <c r="I1" s="2"/>
    </row>
    <row r="2" customFormat="false" ht="15" hidden="false" customHeight="false" outlineLevel="0" collapsed="false">
      <c r="A2" s="3" t="s">
        <v>2833</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1" t="s">
        <v>1921</v>
      </c>
      <c r="B4" s="21" t="s">
        <v>2834</v>
      </c>
      <c r="C4" s="2"/>
      <c r="D4" s="2"/>
      <c r="E4" s="2"/>
      <c r="F4" s="2"/>
      <c r="G4" s="2"/>
      <c r="H4" s="2"/>
      <c r="I4" s="2"/>
    </row>
    <row r="5" customFormat="false" ht="15" hidden="false" customHeight="false" outlineLevel="0" collapsed="false">
      <c r="A5" s="20"/>
      <c r="B5" s="20" t="s">
        <v>2835</v>
      </c>
      <c r="C5" s="20" t="s">
        <v>190</v>
      </c>
      <c r="D5" s="20" t="s">
        <v>137</v>
      </c>
      <c r="E5" s="20" t="s">
        <v>144</v>
      </c>
      <c r="F5" s="20" t="s">
        <v>1839</v>
      </c>
      <c r="G5" s="115" t="s">
        <v>2836</v>
      </c>
      <c r="H5" s="2"/>
      <c r="I5" s="2"/>
    </row>
    <row r="6" customFormat="false" ht="15" hidden="false" customHeight="false" outlineLevel="0" collapsed="false">
      <c r="A6" s="2"/>
      <c r="B6" s="21" t="s">
        <v>2837</v>
      </c>
      <c r="C6" s="60" t="n">
        <f aca="false">Entrées!$C$104</f>
        <v>1220</v>
      </c>
      <c r="D6" s="60" t="n">
        <f aca="false">Entrées!$C$105</f>
        <v>1214</v>
      </c>
      <c r="E6" s="60" t="n">
        <f aca="false">Entrées!$C$49</f>
        <v>1290</v>
      </c>
      <c r="F6" s="23" t="s">
        <v>2838</v>
      </c>
      <c r="G6" s="44" t="n">
        <f aca="false">E6-D6</f>
        <v>76</v>
      </c>
      <c r="H6" s="2"/>
      <c r="I6" s="2"/>
    </row>
    <row r="7" customFormat="false" ht="15" hidden="false" customHeight="false" outlineLevel="0" collapsed="false">
      <c r="A7" s="2"/>
      <c r="B7" s="5" t="s">
        <v>2839</v>
      </c>
      <c r="C7" s="2"/>
      <c r="D7" s="60" t="n">
        <f aca="false">Entrées!$C$106</f>
        <v>418</v>
      </c>
      <c r="E7" s="60" t="n">
        <f aca="false">Entrées!$C$107</f>
        <v>472</v>
      </c>
      <c r="F7" s="23" t="s">
        <v>2840</v>
      </c>
      <c r="G7" s="63" t="n">
        <f aca="false">E7-D7</f>
        <v>54</v>
      </c>
      <c r="H7" s="2"/>
      <c r="I7" s="2"/>
    </row>
    <row r="8" customFormat="false" ht="15" hidden="false" customHeight="false" outlineLevel="0" collapsed="false">
      <c r="A8" s="2"/>
      <c r="B8" s="5" t="s">
        <v>2841</v>
      </c>
      <c r="C8" s="2"/>
      <c r="D8" s="60" t="n">
        <f aca="false">Entrées!$C$108</f>
        <v>454</v>
      </c>
      <c r="E8" s="60" t="n">
        <f aca="false">Entrées!$C$50</f>
        <v>461</v>
      </c>
      <c r="F8" s="23" t="s">
        <v>2842</v>
      </c>
      <c r="G8" s="63" t="n">
        <f aca="false">E8-D8</f>
        <v>7</v>
      </c>
      <c r="H8" s="2"/>
      <c r="I8" s="2"/>
    </row>
    <row r="9" customFormat="false" ht="15" hidden="false" customHeight="false" outlineLevel="0" collapsed="false">
      <c r="A9" s="2"/>
      <c r="B9" s="5" t="s">
        <v>2843</v>
      </c>
      <c r="C9" s="2"/>
      <c r="D9" s="60" t="n">
        <f aca="false">Entrées!$C$109</f>
        <v>315</v>
      </c>
      <c r="E9" s="60" t="n">
        <f aca="false">Entrées!$C$110</f>
        <v>328</v>
      </c>
      <c r="F9" s="23" t="s">
        <v>2844</v>
      </c>
      <c r="G9" s="63"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2845</v>
      </c>
      <c r="C11" s="60" t="n">
        <f aca="false">Entrées!$C$47</f>
        <v>1106</v>
      </c>
      <c r="D11" s="23" t="s">
        <v>100</v>
      </c>
      <c r="E11" s="23" t="s">
        <v>251</v>
      </c>
      <c r="F11" s="2"/>
      <c r="G11" s="2"/>
      <c r="H11" s="2"/>
      <c r="I11" s="2"/>
    </row>
    <row r="12" customFormat="false" ht="15" hidden="false" customHeight="false" outlineLevel="0" collapsed="false">
      <c r="A12" s="2"/>
      <c r="B12" s="5" t="s">
        <v>2846</v>
      </c>
      <c r="C12" s="60" t="n">
        <f aca="false">Entrées!$C$48</f>
        <v>53</v>
      </c>
      <c r="D12" s="23" t="s">
        <v>100</v>
      </c>
      <c r="E12" s="23" t="s">
        <v>255</v>
      </c>
      <c r="F12" s="2"/>
      <c r="G12" s="2"/>
      <c r="H12" s="2"/>
      <c r="I12" s="2"/>
    </row>
    <row r="13" customFormat="false" ht="15" hidden="false" customHeight="false" outlineLevel="0" collapsed="false">
      <c r="A13" s="2"/>
      <c r="B13" s="5" t="s">
        <v>2847</v>
      </c>
      <c r="C13" s="60" t="n">
        <f aca="false">Entrées!$C$111</f>
        <v>55</v>
      </c>
      <c r="D13" s="23" t="s">
        <v>100</v>
      </c>
      <c r="E13" s="23" t="s">
        <v>443</v>
      </c>
      <c r="F13" s="2"/>
      <c r="G13" s="2"/>
      <c r="H13" s="2"/>
      <c r="I13" s="2"/>
    </row>
    <row r="14" customFormat="false" ht="15" hidden="false" customHeight="false" outlineLevel="0" collapsed="false">
      <c r="A14" s="2"/>
      <c r="B14" s="21" t="s">
        <v>2848</v>
      </c>
      <c r="C14" s="44" t="n">
        <f aca="false">SUM(C11:C13)</f>
        <v>1214</v>
      </c>
      <c r="D14" s="23" t="s">
        <v>100</v>
      </c>
      <c r="E14" s="23" t="s">
        <v>2849</v>
      </c>
      <c r="F14" s="2"/>
      <c r="G14" s="2"/>
      <c r="H14" s="2"/>
      <c r="I14" s="2"/>
    </row>
    <row r="15" customFormat="false" ht="15" hidden="false" customHeight="false" outlineLevel="0" collapsed="false">
      <c r="A15" s="2"/>
      <c r="B15" s="5" t="s">
        <v>2850</v>
      </c>
      <c r="C15" s="60" t="n">
        <f aca="false">Entrées!$C$112</f>
        <v>72</v>
      </c>
      <c r="D15" s="23" t="s">
        <v>100</v>
      </c>
      <c r="E15" s="23" t="s">
        <v>446</v>
      </c>
      <c r="F15" s="2"/>
      <c r="G15" s="2"/>
      <c r="H15" s="2"/>
      <c r="I15" s="2"/>
    </row>
    <row r="16" customFormat="false" ht="15" hidden="false" customHeight="false" outlineLevel="0" collapsed="false">
      <c r="A16" s="2"/>
      <c r="B16" s="5" t="s">
        <v>2851</v>
      </c>
      <c r="C16" s="74" t="n">
        <f aca="false">Entrées!$C$105/Entrées!$C$8</f>
        <v>0.172198581560284</v>
      </c>
      <c r="D16" s="23" t="s">
        <v>130</v>
      </c>
      <c r="E16" s="23"/>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1" t="s">
        <v>1934</v>
      </c>
      <c r="B18" s="21" t="s">
        <v>2852</v>
      </c>
      <c r="C18" s="2"/>
      <c r="D18" s="2"/>
      <c r="E18" s="2"/>
      <c r="F18" s="2"/>
      <c r="G18" s="2"/>
      <c r="H18" s="2"/>
      <c r="I18" s="2"/>
    </row>
    <row r="19" customFormat="false" ht="15" hidden="false" customHeight="false" outlineLevel="0" collapsed="false">
      <c r="A19" s="2"/>
      <c r="B19" s="5" t="s">
        <v>2853</v>
      </c>
      <c r="C19" s="60" t="n">
        <f aca="false">Entrées!$C$46</f>
        <v>2542</v>
      </c>
      <c r="D19" s="23" t="s">
        <v>100</v>
      </c>
      <c r="E19" s="23" t="s">
        <v>249</v>
      </c>
      <c r="F19" s="2"/>
      <c r="G19" s="2"/>
      <c r="H19" s="2"/>
      <c r="I19" s="2"/>
    </row>
    <row r="20" customFormat="false" ht="15" hidden="false" customHeight="false" outlineLevel="0" collapsed="false">
      <c r="A20" s="2"/>
      <c r="B20" s="5" t="s">
        <v>2854</v>
      </c>
      <c r="C20" s="60" t="n">
        <f aca="false">Entrées!$C$103</f>
        <v>2066</v>
      </c>
      <c r="D20" s="23" t="s">
        <v>100</v>
      </c>
      <c r="E20" s="23" t="s">
        <v>422</v>
      </c>
      <c r="F20" s="2"/>
      <c r="G20" s="2"/>
      <c r="H20" s="2"/>
      <c r="I20" s="2"/>
    </row>
    <row r="21" customFormat="false" ht="15" hidden="false" customHeight="false" outlineLevel="0" collapsed="false">
      <c r="A21" s="2"/>
      <c r="B21" s="21" t="s">
        <v>2855</v>
      </c>
      <c r="C21" s="40" t="n">
        <f aca="false">C20/C19</f>
        <v>0.812745869394178</v>
      </c>
      <c r="D21" s="23" t="s">
        <v>296</v>
      </c>
      <c r="E21" s="23" t="s">
        <v>2856</v>
      </c>
      <c r="F21" s="2"/>
      <c r="G21" s="2"/>
      <c r="H21" s="2"/>
      <c r="I21" s="2"/>
    </row>
    <row r="22" customFormat="false" ht="15" hidden="false" customHeight="false" outlineLevel="0" collapsed="false">
      <c r="A22" s="2"/>
      <c r="B22" s="5" t="s">
        <v>2857</v>
      </c>
      <c r="C22" s="63" t="n">
        <f aca="false">G7</f>
        <v>54</v>
      </c>
      <c r="D22" s="23" t="s">
        <v>100</v>
      </c>
      <c r="E22" s="23" t="s">
        <v>2858</v>
      </c>
      <c r="F22" s="2"/>
      <c r="G22" s="2"/>
      <c r="H22" s="2"/>
      <c r="I22" s="2"/>
    </row>
    <row r="23" customFormat="false" ht="15" hidden="false" customHeight="false" outlineLevel="0" collapsed="false">
      <c r="A23" s="2"/>
      <c r="B23" s="5" t="s">
        <v>2859</v>
      </c>
      <c r="C23" s="63" t="n">
        <f aca="false">Entrées!$C$114-Entrées!$C$113</f>
        <v>30</v>
      </c>
      <c r="D23" s="23" t="s">
        <v>100</v>
      </c>
      <c r="E23" s="23" t="s">
        <v>2860</v>
      </c>
      <c r="F23" s="2"/>
      <c r="G23" s="2"/>
      <c r="H23" s="2"/>
      <c r="I23" s="2"/>
    </row>
    <row r="24" customFormat="false" ht="15" hidden="false" customHeight="false" outlineLevel="0" collapsed="false">
      <c r="A24" s="2"/>
      <c r="B24" s="5" t="s">
        <v>2861</v>
      </c>
      <c r="C24" s="65" t="n">
        <f aca="false">Entrées!$C$227/1000/Entrées!$C$212</f>
        <v>0.0382531339125821</v>
      </c>
      <c r="D24" s="23" t="s">
        <v>296</v>
      </c>
      <c r="E24" s="23" t="s">
        <v>2862</v>
      </c>
      <c r="F24" s="2"/>
      <c r="G24" s="2"/>
      <c r="H24" s="2"/>
      <c r="I24" s="2"/>
    </row>
    <row r="25" customFormat="false" ht="15" hidden="false" customHeight="false" outlineLevel="0" collapsed="false">
      <c r="A25" s="2"/>
      <c r="B25" s="5" t="s">
        <v>2863</v>
      </c>
      <c r="C25" s="98" t="n">
        <f aca="false">(Entrées!$C$206+Entrées!$C$207)/1000</f>
        <v>50.992</v>
      </c>
      <c r="D25" s="23" t="s">
        <v>246</v>
      </c>
      <c r="E25" s="23" t="s">
        <v>2864</v>
      </c>
      <c r="F25" s="2"/>
      <c r="G25" s="2"/>
      <c r="H25" s="2"/>
      <c r="I25" s="2"/>
    </row>
    <row r="26" customFormat="false" ht="15" hidden="false" customHeight="false" outlineLevel="0" collapsed="false">
      <c r="A26" s="2"/>
      <c r="B26" s="5" t="s">
        <v>2865</v>
      </c>
      <c r="C26" s="65" t="n">
        <f aca="false">C25/Entrées!$C$197</f>
        <v>0.0523585583735496</v>
      </c>
      <c r="D26" s="23" t="s">
        <v>296</v>
      </c>
      <c r="E26" s="23" t="s">
        <v>700</v>
      </c>
      <c r="F26" s="2"/>
      <c r="G26" s="2"/>
      <c r="H26" s="2"/>
      <c r="I26" s="2"/>
    </row>
    <row r="27" customFormat="false" ht="15" hidden="false" customHeight="false" outlineLevel="0" collapsed="false">
      <c r="A27" s="2"/>
      <c r="B27" s="5" t="s">
        <v>2866</v>
      </c>
      <c r="C27" s="98" t="n">
        <f aca="false">C24*Entrées!$C$197</f>
        <v>37.2547271174637</v>
      </c>
      <c r="D27" s="23" t="s">
        <v>246</v>
      </c>
      <c r="E27" s="23" t="s">
        <v>2867</v>
      </c>
      <c r="F27" s="2"/>
      <c r="G27" s="2"/>
      <c r="H27" s="2"/>
      <c r="I27" s="2"/>
    </row>
    <row r="28" customFormat="false" ht="15" hidden="false" customHeight="false" outlineLevel="0" collapsed="false">
      <c r="A28" s="2"/>
      <c r="B28" s="21" t="s">
        <v>2868</v>
      </c>
      <c r="C28" s="45"/>
      <c r="D28" s="23" t="s">
        <v>100</v>
      </c>
      <c r="E28" s="23" t="s">
        <v>2869</v>
      </c>
      <c r="F28" s="2"/>
      <c r="G28" s="2"/>
      <c r="H28" s="2"/>
      <c r="I28" s="2"/>
    </row>
    <row r="29" customFormat="false" ht="15" hidden="false" customHeight="false" outlineLevel="0" collapsed="false">
      <c r="A29" s="2"/>
      <c r="B29" s="21" t="s">
        <v>2870</v>
      </c>
      <c r="C29" s="50" t="n">
        <f aca="false">IF(ISNUMBER(C28),C28/Trajectoire!$D$41,0)</f>
        <v>0</v>
      </c>
      <c r="D29" s="23" t="s">
        <v>130</v>
      </c>
      <c r="E29" s="23" t="s">
        <v>2871</v>
      </c>
      <c r="F29" s="2"/>
      <c r="G29" s="2"/>
      <c r="H29" s="2"/>
      <c r="I29" s="2"/>
    </row>
    <row r="30" customFormat="false" ht="43.5" hidden="false" customHeight="true" outlineLevel="0" collapsed="false">
      <c r="A30" s="2"/>
      <c r="B30" s="68" t="s">
        <v>2872</v>
      </c>
      <c r="C30" s="68"/>
      <c r="D30" s="68"/>
      <c r="E30" s="68"/>
      <c r="F30" s="68"/>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1" t="s">
        <v>2873</v>
      </c>
      <c r="B32" s="21" t="s">
        <v>2874</v>
      </c>
      <c r="C32" s="2"/>
      <c r="D32" s="2"/>
      <c r="E32" s="2"/>
      <c r="F32" s="2"/>
      <c r="G32" s="2"/>
      <c r="H32" s="2"/>
      <c r="I32" s="2"/>
    </row>
    <row r="33" customFormat="false" ht="23.85" hidden="false" customHeight="false" outlineLevel="0" collapsed="false">
      <c r="A33" s="20"/>
      <c r="B33" s="20" t="s">
        <v>2875</v>
      </c>
      <c r="C33" s="20" t="s">
        <v>2876</v>
      </c>
      <c r="D33" s="20" t="s">
        <v>2877</v>
      </c>
      <c r="E33" s="20" t="s">
        <v>2878</v>
      </c>
      <c r="F33" s="20" t="s">
        <v>2879</v>
      </c>
      <c r="G33" s="20" t="s">
        <v>2880</v>
      </c>
      <c r="H33" s="20" t="s">
        <v>2881</v>
      </c>
      <c r="I33" s="20" t="s">
        <v>1839</v>
      </c>
    </row>
    <row r="34" customFormat="false" ht="15" hidden="false" customHeight="false" outlineLevel="0" collapsed="false">
      <c r="A34" s="2"/>
      <c r="B34" s="5" t="s">
        <v>2882</v>
      </c>
      <c r="C34" s="60" t="n">
        <f aca="false">Entrées!$C$506*1000</f>
        <v>11400</v>
      </c>
      <c r="D34" s="60" t="n">
        <f aca="false">Entrées!$C$507*1000</f>
        <v>6900</v>
      </c>
      <c r="E34" s="60" t="n">
        <f aca="false">Entrées!$C$508*1000</f>
        <v>1400</v>
      </c>
      <c r="F34" s="60" t="n">
        <f aca="false">Entrées!$C$509*1000</f>
        <v>800</v>
      </c>
      <c r="G34" s="65" t="n">
        <f aca="false">IF(E34&gt;0,F34/E34,"")</f>
        <v>0.571428571428571</v>
      </c>
      <c r="H34" s="65" t="n">
        <f aca="false">F34/$F$41</f>
        <v>0.380952380952381</v>
      </c>
      <c r="I34" s="23" t="s">
        <v>2883</v>
      </c>
    </row>
    <row r="35" customFormat="false" ht="15" hidden="false" customHeight="false" outlineLevel="0" collapsed="false">
      <c r="A35" s="2"/>
      <c r="B35" s="5" t="s">
        <v>2884</v>
      </c>
      <c r="C35" s="60" t="n">
        <f aca="false">Entrées!$C$510*1000</f>
        <v>4200</v>
      </c>
      <c r="D35" s="60" t="n">
        <f aca="false">Entrées!$C$511*1000</f>
        <v>3600</v>
      </c>
      <c r="E35" s="60" t="n">
        <f aca="false">Entrées!$C$512*1000</f>
        <v>400</v>
      </c>
      <c r="F35" s="60" t="n">
        <f aca="false">Entrées!$C$513*1000</f>
        <v>400</v>
      </c>
      <c r="G35" s="65" t="n">
        <f aca="false">IF(E35&gt;0,F35/E35,"")</f>
        <v>1</v>
      </c>
      <c r="H35" s="65" t="n">
        <f aca="false">F35/$F$41</f>
        <v>0.19047619047619</v>
      </c>
      <c r="I35" s="23" t="s">
        <v>2885</v>
      </c>
    </row>
    <row r="36" customFormat="false" ht="15" hidden="false" customHeight="false" outlineLevel="0" collapsed="false">
      <c r="A36" s="2"/>
      <c r="B36" s="5" t="s">
        <v>2886</v>
      </c>
      <c r="C36" s="60" t="n">
        <f aca="false">Entrées!$C$514*1000</f>
        <v>2300</v>
      </c>
      <c r="D36" s="60" t="n">
        <f aca="false">Entrées!$C$515*1000</f>
        <v>1500</v>
      </c>
      <c r="E36" s="60" t="n">
        <f aca="false">Entrées!$C$516*1000</f>
        <v>400</v>
      </c>
      <c r="F36" s="60" t="n">
        <f aca="false">Entrées!$C$517*1000</f>
        <v>300</v>
      </c>
      <c r="G36" s="65" t="n">
        <f aca="false">IF(E36&gt;0,F36/E36,"")</f>
        <v>0.75</v>
      </c>
      <c r="H36" s="65" t="n">
        <f aca="false">F36/$F$41</f>
        <v>0.142857142857143</v>
      </c>
      <c r="I36" s="23" t="s">
        <v>2887</v>
      </c>
    </row>
    <row r="37" customFormat="false" ht="15" hidden="false" customHeight="false" outlineLevel="0" collapsed="false">
      <c r="A37" s="2"/>
      <c r="B37" s="5" t="s">
        <v>2888</v>
      </c>
      <c r="C37" s="60" t="n">
        <f aca="false">Entrées!$C$518*1000</f>
        <v>6100</v>
      </c>
      <c r="D37" s="60" t="n">
        <f aca="false">Entrées!$C$519*1000</f>
        <v>5100</v>
      </c>
      <c r="E37" s="60" t="n">
        <f aca="false">Entrées!$C$520*1000</f>
        <v>600</v>
      </c>
      <c r="F37" s="60" t="n">
        <f aca="false">Entrées!$C$521*1000</f>
        <v>500</v>
      </c>
      <c r="G37" s="65" t="n">
        <f aca="false">IF(E37&gt;0,F37/E37,"")</f>
        <v>0.833333333333333</v>
      </c>
      <c r="H37" s="65" t="n">
        <f aca="false">F37/$F$41</f>
        <v>0.238095238095238</v>
      </c>
      <c r="I37" s="23" t="s">
        <v>2889</v>
      </c>
    </row>
    <row r="38" customFormat="false" ht="15" hidden="false" customHeight="false" outlineLevel="0" collapsed="false">
      <c r="A38" s="2"/>
      <c r="B38" s="5" t="s">
        <v>2890</v>
      </c>
      <c r="C38" s="60" t="n">
        <f aca="false">Entrées!$C$522*1000</f>
        <v>3500</v>
      </c>
      <c r="D38" s="60" t="n">
        <f aca="false">Entrées!$C$523*1000</f>
        <v>2800</v>
      </c>
      <c r="E38" s="60" t="n">
        <f aca="false">Entrées!$C$524*1000</f>
        <v>200</v>
      </c>
      <c r="F38" s="60" t="n">
        <f aca="false">Entrées!$C$525*1000</f>
        <v>100</v>
      </c>
      <c r="G38" s="65" t="n">
        <f aca="false">IF(E38&gt;0,F38/E38,"")</f>
        <v>0.5</v>
      </c>
      <c r="H38" s="65" t="n">
        <f aca="false">F38/$F$41</f>
        <v>0.0476190476190476</v>
      </c>
      <c r="I38" s="23" t="s">
        <v>2891</v>
      </c>
    </row>
    <row r="39" customFormat="false" ht="15" hidden="false" customHeight="false" outlineLevel="0" collapsed="false">
      <c r="A39" s="2"/>
      <c r="B39" s="5" t="s">
        <v>2892</v>
      </c>
      <c r="C39" s="60" t="n">
        <f aca="false">Entrées!$C$526*1000</f>
        <v>400</v>
      </c>
      <c r="D39" s="60" t="n">
        <f aca="false">Entrées!$C$527*1000</f>
        <v>300</v>
      </c>
      <c r="E39" s="60" t="n">
        <f aca="false">Entrées!$C$528*1000</f>
        <v>100</v>
      </c>
      <c r="F39" s="60" t="n">
        <f aca="false">Entrées!$C$529*1000</f>
        <v>0</v>
      </c>
      <c r="G39" s="65" t="n">
        <f aca="false">IF(E39&gt;0,F39/E39,"")</f>
        <v>0</v>
      </c>
      <c r="H39" s="65" t="n">
        <f aca="false">F39/$F$41</f>
        <v>0</v>
      </c>
      <c r="I39" s="23" t="s">
        <v>2893</v>
      </c>
    </row>
    <row r="40" customFormat="false" ht="15" hidden="false" customHeight="false" outlineLevel="0" collapsed="false">
      <c r="A40" s="2"/>
      <c r="B40" s="21" t="s">
        <v>2894</v>
      </c>
      <c r="C40" s="44" t="n">
        <f aca="false">SUM(C34:C39)</f>
        <v>27900</v>
      </c>
      <c r="D40" s="44" t="n">
        <f aca="false">SUM(D34:D39)</f>
        <v>20200</v>
      </c>
      <c r="E40" s="44" t="n">
        <f aca="false">SUM(E34:E39)</f>
        <v>3100</v>
      </c>
      <c r="F40" s="44" t="n">
        <f aca="false">SUM(F34:F39)</f>
        <v>2100</v>
      </c>
      <c r="G40" s="2"/>
      <c r="H40" s="2"/>
      <c r="I40" s="2"/>
    </row>
    <row r="41" customFormat="false" ht="15" hidden="false" customHeight="false" outlineLevel="0" collapsed="false">
      <c r="A41" s="2"/>
      <c r="B41" s="21" t="s">
        <v>2895</v>
      </c>
      <c r="C41" s="67" t="n">
        <f aca="false">Entrées!$C$494*1000</f>
        <v>27800</v>
      </c>
      <c r="D41" s="67" t="n">
        <f aca="false">Entrées!$C$495*1000</f>
        <v>20300</v>
      </c>
      <c r="E41" s="67" t="n">
        <f aca="false">Entrées!$C$497*1000</f>
        <v>3000</v>
      </c>
      <c r="F41" s="67" t="n">
        <f aca="false">Entrées!$C$498*1000</f>
        <v>2100</v>
      </c>
      <c r="G41" s="2"/>
      <c r="H41" s="2"/>
      <c r="I41" s="2"/>
    </row>
    <row r="42" customFormat="false" ht="15" hidden="false" customHeight="false" outlineLevel="0" collapsed="false">
      <c r="A42" s="2"/>
      <c r="B42" s="5" t="s">
        <v>2896</v>
      </c>
      <c r="C42" s="63" t="n">
        <f aca="false">Entrées!$C$496*1000</f>
        <v>4500</v>
      </c>
      <c r="D42" s="23" t="s">
        <v>100</v>
      </c>
      <c r="E42" s="23" t="s">
        <v>1542</v>
      </c>
      <c r="F42" s="2"/>
      <c r="G42" s="2"/>
      <c r="H42" s="2"/>
      <c r="I42" s="2"/>
    </row>
    <row r="43" customFormat="false" ht="15" hidden="false" customHeight="false" outlineLevel="0" collapsed="false">
      <c r="A43" s="2"/>
      <c r="B43" s="21" t="s">
        <v>2897</v>
      </c>
      <c r="C43" s="40" t="n">
        <f aca="false">F41/C42</f>
        <v>0.466666666666667</v>
      </c>
      <c r="D43" s="23" t="s">
        <v>296</v>
      </c>
      <c r="E43" s="23" t="s">
        <v>2898</v>
      </c>
      <c r="F43" s="2"/>
      <c r="G43" s="2"/>
      <c r="H43" s="2"/>
      <c r="I43" s="2"/>
    </row>
    <row r="44" customFormat="false" ht="15" hidden="false" customHeight="false" outlineLevel="0" collapsed="false">
      <c r="A44" s="2"/>
      <c r="B44" s="5" t="s">
        <v>2899</v>
      </c>
      <c r="C44" s="65" t="n">
        <f aca="false">Entrées!$C$504/100</f>
        <v>0.472</v>
      </c>
      <c r="D44" s="23" t="s">
        <v>296</v>
      </c>
      <c r="E44" s="23" t="s">
        <v>1563</v>
      </c>
      <c r="F44" s="2"/>
      <c r="G44" s="2"/>
      <c r="H44" s="2"/>
      <c r="I44" s="2"/>
    </row>
    <row r="45" customFormat="false" ht="15" hidden="false" customHeight="false" outlineLevel="0" collapsed="false">
      <c r="A45" s="2"/>
      <c r="B45" s="5" t="s">
        <v>2900</v>
      </c>
      <c r="C45" s="63" t="n">
        <f aca="false">Entrées!$C$501*1000</f>
        <v>1800</v>
      </c>
      <c r="D45" s="23" t="s">
        <v>100</v>
      </c>
      <c r="E45" s="23" t="s">
        <v>2901</v>
      </c>
      <c r="F45" s="2"/>
      <c r="G45" s="2"/>
      <c r="H45" s="2"/>
      <c r="I45" s="2"/>
    </row>
    <row r="46" customFormat="false" ht="15" hidden="false" customHeight="false" outlineLevel="0" collapsed="false">
      <c r="A46" s="2"/>
      <c r="B46" s="21" t="s">
        <v>2902</v>
      </c>
      <c r="C46" s="40" t="n">
        <f aca="false">F36/F41</f>
        <v>0.142857142857143</v>
      </c>
      <c r="D46" s="23" t="s">
        <v>296</v>
      </c>
      <c r="E46" s="23"/>
      <c r="F46" s="2"/>
      <c r="G46" s="2"/>
      <c r="H46" s="2"/>
      <c r="I46" s="2"/>
    </row>
    <row r="47" customFormat="false" ht="15" hidden="false" customHeight="false" outlineLevel="0" collapsed="false">
      <c r="A47" s="2"/>
      <c r="B47" s="21" t="s">
        <v>2903</v>
      </c>
      <c r="C47" s="40" t="n">
        <f aca="false">G36</f>
        <v>0.75</v>
      </c>
      <c r="D47" s="23" t="s">
        <v>296</v>
      </c>
      <c r="E47" s="23"/>
      <c r="F47" s="2"/>
      <c r="G47" s="2"/>
      <c r="H47" s="2"/>
      <c r="I47" s="2"/>
    </row>
    <row r="48" customFormat="false" ht="15" hidden="false" customHeight="false" outlineLevel="0" collapsed="false">
      <c r="A48" s="2"/>
      <c r="B48" s="5" t="s">
        <v>2904</v>
      </c>
      <c r="C48" s="63" t="n">
        <f aca="false">C42-E41</f>
        <v>1500</v>
      </c>
      <c r="D48" s="23" t="s">
        <v>100</v>
      </c>
      <c r="E48" s="23" t="s">
        <v>2905</v>
      </c>
      <c r="F48" s="2"/>
      <c r="G48" s="2"/>
      <c r="H48" s="2"/>
      <c r="I48" s="2"/>
    </row>
    <row r="49" customFormat="false" ht="57.75" hidden="false" customHeight="true" outlineLevel="0" collapsed="false">
      <c r="A49" s="2"/>
      <c r="B49" s="68" t="s">
        <v>2906</v>
      </c>
      <c r="C49" s="68"/>
      <c r="D49" s="68"/>
      <c r="E49" s="68"/>
      <c r="F49" s="68"/>
      <c r="G49" s="68"/>
      <c r="H49" s="68"/>
      <c r="I49" s="68"/>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2907</v>
      </c>
      <c r="B1" s="2"/>
      <c r="C1" s="2"/>
      <c r="D1" s="2"/>
      <c r="E1" s="2"/>
      <c r="F1" s="2"/>
      <c r="G1" s="2"/>
      <c r="H1" s="2"/>
      <c r="I1" s="2"/>
    </row>
    <row r="2" customFormat="false" ht="15" hidden="false" customHeight="false" outlineLevel="0" collapsed="false">
      <c r="A2" s="3" t="s">
        <v>2908</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1" t="s">
        <v>1921</v>
      </c>
      <c r="B4" s="21" t="s">
        <v>2909</v>
      </c>
      <c r="C4" s="2"/>
      <c r="D4" s="2"/>
      <c r="E4" s="2"/>
      <c r="F4" s="2"/>
      <c r="G4" s="2"/>
      <c r="H4" s="2"/>
      <c r="I4" s="2"/>
    </row>
    <row r="5" customFormat="false" ht="15" hidden="false" customHeight="false" outlineLevel="0" collapsed="false">
      <c r="A5" s="20"/>
      <c r="B5" s="20" t="s">
        <v>2910</v>
      </c>
      <c r="C5" s="20" t="s">
        <v>2911</v>
      </c>
      <c r="D5" s="20" t="s">
        <v>2912</v>
      </c>
      <c r="E5" s="20" t="s">
        <v>2913</v>
      </c>
      <c r="F5" s="20" t="s">
        <v>2610</v>
      </c>
      <c r="G5" s="2"/>
      <c r="H5" s="2"/>
      <c r="I5" s="2"/>
    </row>
    <row r="6" customFormat="false" ht="15" hidden="false" customHeight="false" outlineLevel="0" collapsed="false">
      <c r="A6" s="2"/>
      <c r="B6" s="5" t="s">
        <v>2914</v>
      </c>
      <c r="C6" s="60" t="n">
        <f aca="false">Trajectoire!$AE$46</f>
        <v>-534.954329754553</v>
      </c>
      <c r="D6" s="60" t="n">
        <f aca="false">Trajectoire!$D$46</f>
        <v>1570.67466937297</v>
      </c>
      <c r="E6" s="60" t="n">
        <f aca="false">Trajectoire!$AF$46</f>
        <v>3490.715111665</v>
      </c>
      <c r="F6" s="23"/>
      <c r="G6" s="2"/>
      <c r="H6" s="2"/>
      <c r="I6" s="2"/>
    </row>
    <row r="7" customFormat="false" ht="15" hidden="false" customHeight="false" outlineLevel="0" collapsed="false">
      <c r="A7" s="2"/>
      <c r="B7" s="5" t="s">
        <v>2915</v>
      </c>
      <c r="C7" s="60" t="n">
        <f aca="false">Trajectoire!$AE$57</f>
        <v>520.777298940298</v>
      </c>
      <c r="D7" s="60" t="n">
        <f aca="false">Trajectoire!$D$57</f>
        <v>4333.42681779325</v>
      </c>
      <c r="E7" s="60" t="n">
        <f aca="false">Trajectoire!$AF$57</f>
        <v>7354.90055648408</v>
      </c>
      <c r="F7" s="23"/>
      <c r="G7" s="2"/>
      <c r="H7" s="2"/>
      <c r="I7" s="2"/>
    </row>
    <row r="8" customFormat="false" ht="15" hidden="false" customHeight="false" outlineLevel="0" collapsed="false">
      <c r="A8" s="2"/>
      <c r="B8" s="21" t="s">
        <v>2459</v>
      </c>
      <c r="C8" s="67" t="n">
        <f aca="false">Trajectoire!$AE$58</f>
        <v>-534.954329754553</v>
      </c>
      <c r="D8" s="67" t="n">
        <f aca="false">Trajectoire!$D$58</f>
        <v>1570.67466937297</v>
      </c>
      <c r="E8" s="67" t="n">
        <f aca="false">Trajectoire!$AF$58</f>
        <v>3490.715111665</v>
      </c>
      <c r="F8" s="23" t="s">
        <v>2916</v>
      </c>
      <c r="G8" s="2"/>
      <c r="H8" s="2"/>
      <c r="I8" s="2"/>
    </row>
    <row r="9" customFormat="false" ht="15" hidden="false" customHeight="false" outlineLevel="0" collapsed="false">
      <c r="A9" s="2"/>
      <c r="B9" s="46" t="n">
        <v>8</v>
      </c>
      <c r="C9" s="63" t="n">
        <f aca="false">IF($B9&gt;Hypothèses!$J$26,MAX(0,C$8)/(1-Hypothèses!$J$26/$B9),0)</f>
        <v>0</v>
      </c>
      <c r="D9" s="63" t="n">
        <f aca="false">IF($B9&gt;Hypothèses!$J$26,MAX(0,D$8)/(1-Hypothèses!$J$26/$B9),0)</f>
        <v>2513.07947099675</v>
      </c>
      <c r="E9" s="63" t="n">
        <f aca="false">IF($B9&gt;Hypothèses!$J$26,MAX(0,E$8)/(1-Hypothèses!$J$26/$B9),0)</f>
        <v>5585.144178664</v>
      </c>
      <c r="F9" s="23" t="s">
        <v>2917</v>
      </c>
      <c r="G9" s="2"/>
      <c r="H9" s="2"/>
      <c r="I9" s="2"/>
    </row>
    <row r="10" customFormat="false" ht="15" hidden="false" customHeight="false" outlineLevel="0" collapsed="false">
      <c r="A10" s="2"/>
      <c r="B10" s="88" t="n">
        <f aca="false">Entrées!$C$53</f>
        <v>9.8</v>
      </c>
      <c r="C10" s="63" t="n">
        <f aca="false">IF($B10&gt;Hypothèses!$J$26,MAX(0,C$8)/(1-Hypothèses!$J$26/$B10),0)</f>
        <v>0</v>
      </c>
      <c r="D10" s="63" t="n">
        <f aca="false">IF($B10&gt;Hypothèses!$J$26,MAX(0,D$8)/(1-Hypothèses!$J$26/$B10),0)</f>
        <v>2263.61937644927</v>
      </c>
      <c r="E10" s="63" t="n">
        <f aca="false">IF($B10&gt;Hypothèses!$J$26,MAX(0,E$8)/(1-Hypothèses!$J$26/$B10),0)</f>
        <v>5030.73648445838</v>
      </c>
      <c r="F10" s="23" t="s">
        <v>2918</v>
      </c>
      <c r="G10" s="2"/>
      <c r="H10" s="2"/>
      <c r="I10" s="2"/>
    </row>
    <row r="11" customFormat="false" ht="15" hidden="false" customHeight="false" outlineLevel="0" collapsed="false">
      <c r="A11" s="2"/>
      <c r="B11" s="46" t="n">
        <v>12</v>
      </c>
      <c r="C11" s="63" t="n">
        <f aca="false">IF($B11&gt;Hypothèses!$J$26,MAX(0,C$8)/(1-Hypothèses!$J$26/$B11),0)</f>
        <v>0</v>
      </c>
      <c r="D11" s="63" t="n">
        <f aca="false">IF($B11&gt;Hypothèses!$J$26,MAX(0,D$8)/(1-Hypothèses!$J$26/$B11),0)</f>
        <v>2094.23289249729</v>
      </c>
      <c r="E11" s="63" t="n">
        <f aca="false">IF($B11&gt;Hypothèses!$J$26,MAX(0,E$8)/(1-Hypothèses!$J$26/$B11),0)</f>
        <v>4654.28681555333</v>
      </c>
      <c r="F11" s="23" t="s">
        <v>2919</v>
      </c>
      <c r="G11" s="2"/>
      <c r="H11" s="2"/>
      <c r="I11" s="2"/>
    </row>
    <row r="12" customFormat="false" ht="15" hidden="false" customHeight="false" outlineLevel="0" collapsed="false">
      <c r="A12" s="2"/>
      <c r="B12" s="88" t="n">
        <f aca="false">Entrées!$C$51*1000/Entrées!$C$56</f>
        <v>15</v>
      </c>
      <c r="C12" s="63" t="n">
        <f aca="false">IF($B12&gt;Hypothèses!$J$26,MAX(0,C$8)/(1-Hypothèses!$J$26/$B12),0)</f>
        <v>0</v>
      </c>
      <c r="D12" s="63" t="n">
        <f aca="false">IF($B12&gt;Hypothèses!$J$26,MAX(0,D$8)/(1-Hypothèses!$J$26/$B12),0)</f>
        <v>1963.34333671621</v>
      </c>
      <c r="E12" s="63" t="n">
        <f aca="false">IF($B12&gt;Hypothèses!$J$26,MAX(0,E$8)/(1-Hypothèses!$J$26/$B12),0)</f>
        <v>4363.39388958125</v>
      </c>
      <c r="F12" s="23" t="s">
        <v>2920</v>
      </c>
      <c r="G12" s="2"/>
      <c r="H12" s="2"/>
      <c r="I12" s="2"/>
    </row>
    <row r="13" customFormat="false" ht="15" hidden="false" customHeight="false" outlineLevel="0" collapsed="false">
      <c r="A13" s="2"/>
      <c r="B13" s="3" t="s">
        <v>2921</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1" t="s">
        <v>1934</v>
      </c>
      <c r="B15" s="21" t="s">
        <v>2922</v>
      </c>
      <c r="C15" s="2"/>
      <c r="D15" s="2"/>
      <c r="E15" s="2"/>
      <c r="F15" s="2"/>
      <c r="G15" s="2"/>
      <c r="H15" s="2"/>
      <c r="I15" s="2"/>
    </row>
    <row r="16" customFormat="false" ht="15" hidden="false" customHeight="false" outlineLevel="0" collapsed="false">
      <c r="A16" s="2"/>
      <c r="B16" s="5" t="s">
        <v>2923</v>
      </c>
      <c r="C16" s="63" t="n">
        <f aca="false">Entrées!$C$51*1000</f>
        <v>3000</v>
      </c>
      <c r="D16" s="23" t="s">
        <v>246</v>
      </c>
      <c r="E16" s="23" t="s">
        <v>264</v>
      </c>
      <c r="F16" s="2"/>
      <c r="G16" s="2"/>
      <c r="H16" s="2"/>
      <c r="I16" s="2"/>
    </row>
    <row r="17" customFormat="false" ht="15" hidden="false" customHeight="false" outlineLevel="0" collapsed="false">
      <c r="A17" s="2"/>
      <c r="B17" s="5" t="s">
        <v>2924</v>
      </c>
      <c r="C17" s="60" t="n">
        <f aca="false">Entrées!$C$56</f>
        <v>200</v>
      </c>
      <c r="D17" s="23" t="s">
        <v>246</v>
      </c>
      <c r="E17" s="23" t="s">
        <v>287</v>
      </c>
      <c r="F17" s="2"/>
      <c r="G17" s="2"/>
      <c r="H17" s="2"/>
      <c r="I17" s="2"/>
    </row>
    <row r="18" customFormat="false" ht="15" hidden="false" customHeight="false" outlineLevel="0" collapsed="false">
      <c r="A18" s="2"/>
      <c r="B18" s="5" t="s">
        <v>2925</v>
      </c>
      <c r="C18" s="60" t="n">
        <f aca="false">Entrées!$C$54</f>
        <v>120</v>
      </c>
      <c r="D18" s="23" t="s">
        <v>246</v>
      </c>
      <c r="E18" s="23" t="s">
        <v>279</v>
      </c>
      <c r="F18" s="2"/>
      <c r="G18" s="2"/>
      <c r="H18" s="2"/>
      <c r="I18" s="2"/>
    </row>
    <row r="19" customFormat="false" ht="15" hidden="false" customHeight="false" outlineLevel="0" collapsed="false">
      <c r="A19" s="2"/>
      <c r="B19" s="21" t="s">
        <v>2926</v>
      </c>
      <c r="C19" s="47" t="n">
        <f aca="false">C16/C17</f>
        <v>15</v>
      </c>
      <c r="D19" s="23" t="s">
        <v>130</v>
      </c>
      <c r="E19" s="23"/>
      <c r="F19" s="2"/>
      <c r="G19" s="2"/>
      <c r="H19" s="2"/>
      <c r="I19" s="2"/>
    </row>
    <row r="20" customFormat="false" ht="15" hidden="false" customHeight="false" outlineLevel="0" collapsed="false">
      <c r="A20" s="2"/>
      <c r="B20" s="21" t="s">
        <v>2927</v>
      </c>
      <c r="C20" s="47" t="n">
        <f aca="false">C16/(C17+C18)</f>
        <v>9.375</v>
      </c>
      <c r="D20" s="23" t="s">
        <v>130</v>
      </c>
      <c r="E20" s="23"/>
      <c r="F20" s="2"/>
      <c r="G20" s="2"/>
      <c r="H20" s="2"/>
      <c r="I20" s="2"/>
    </row>
    <row r="21" customFormat="false" ht="15" hidden="false" customHeight="false" outlineLevel="0" collapsed="false">
      <c r="A21" s="2"/>
      <c r="B21" s="5" t="s">
        <v>2928</v>
      </c>
      <c r="C21" s="88" t="n">
        <f aca="false">Entrées!$C$53</f>
        <v>9.8</v>
      </c>
      <c r="D21" s="23" t="s">
        <v>130</v>
      </c>
      <c r="E21" s="23" t="s">
        <v>275</v>
      </c>
      <c r="F21" s="2"/>
      <c r="G21" s="2"/>
      <c r="H21" s="2"/>
      <c r="I21" s="2"/>
    </row>
    <row r="22" customFormat="false" ht="30" hidden="false" customHeight="true" outlineLevel="0" collapsed="false">
      <c r="A22" s="2"/>
      <c r="B22" s="68" t="s">
        <v>2929</v>
      </c>
      <c r="C22" s="68"/>
      <c r="D22" s="68"/>
      <c r="E22" s="68"/>
      <c r="F22" s="68"/>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1" t="s">
        <v>2256</v>
      </c>
      <c r="B24" s="21" t="s">
        <v>2930</v>
      </c>
      <c r="C24" s="2"/>
      <c r="D24" s="2"/>
      <c r="E24" s="2"/>
      <c r="F24" s="2"/>
      <c r="G24" s="2"/>
      <c r="H24" s="2"/>
      <c r="I24" s="2"/>
    </row>
    <row r="25" customFormat="false" ht="23.85" hidden="false" customHeight="false" outlineLevel="0" collapsed="false">
      <c r="A25" s="20"/>
      <c r="B25" s="20" t="s">
        <v>2931</v>
      </c>
      <c r="C25" s="20" t="s">
        <v>2932</v>
      </c>
      <c r="D25" s="20" t="s">
        <v>1835</v>
      </c>
      <c r="E25" s="20" t="s">
        <v>1839</v>
      </c>
      <c r="F25" s="20" t="s">
        <v>2933</v>
      </c>
      <c r="G25" s="2"/>
      <c r="H25" s="2"/>
      <c r="I25" s="2"/>
    </row>
    <row r="26" customFormat="false" ht="15" hidden="false" customHeight="false" outlineLevel="0" collapsed="false">
      <c r="A26" s="2"/>
      <c r="B26" s="5" t="s">
        <v>2934</v>
      </c>
      <c r="C26" s="88" t="n">
        <f aca="false">Entrées!$C$450</f>
        <v>7.4</v>
      </c>
      <c r="D26" s="23" t="s">
        <v>2935</v>
      </c>
      <c r="E26" s="23" t="s">
        <v>1396</v>
      </c>
      <c r="F26" s="23" t="s">
        <v>2936</v>
      </c>
      <c r="G26" s="2"/>
      <c r="H26" s="2"/>
      <c r="I26" s="2"/>
    </row>
    <row r="27" customFormat="false" ht="15" hidden="false" customHeight="false" outlineLevel="0" collapsed="false">
      <c r="A27" s="2"/>
      <c r="B27" s="5" t="s">
        <v>2937</v>
      </c>
      <c r="C27" s="88" t="n">
        <f aca="false">Entrées!$C$477</f>
        <v>9</v>
      </c>
      <c r="D27" s="23" t="s">
        <v>2938</v>
      </c>
      <c r="E27" s="23" t="s">
        <v>1472</v>
      </c>
      <c r="F27" s="23" t="s">
        <v>2939</v>
      </c>
      <c r="G27" s="2"/>
      <c r="H27" s="2"/>
      <c r="I27" s="2"/>
    </row>
    <row r="28" customFormat="false" ht="15" hidden="false" customHeight="false" outlineLevel="0" collapsed="false">
      <c r="A28" s="2"/>
      <c r="B28" s="5" t="s">
        <v>2940</v>
      </c>
      <c r="C28" s="88" t="n">
        <f aca="false">Entrées!$C$53</f>
        <v>9.8</v>
      </c>
      <c r="D28" s="23" t="s">
        <v>2941</v>
      </c>
      <c r="E28" s="23" t="s">
        <v>275</v>
      </c>
      <c r="F28" s="23" t="s">
        <v>2942</v>
      </c>
      <c r="G28" s="2"/>
      <c r="H28" s="2"/>
      <c r="I28" s="2"/>
    </row>
    <row r="29" customFormat="false" ht="15" hidden="false" customHeight="false" outlineLevel="0" collapsed="false">
      <c r="A29" s="2"/>
      <c r="B29" s="5" t="s">
        <v>2943</v>
      </c>
      <c r="C29" s="88" t="n">
        <f aca="false">Entrées!$C$478</f>
        <v>11</v>
      </c>
      <c r="D29" s="23" t="s">
        <v>2944</v>
      </c>
      <c r="E29" s="23" t="s">
        <v>1474</v>
      </c>
      <c r="F29" s="23" t="s">
        <v>2945</v>
      </c>
      <c r="G29" s="2"/>
      <c r="H29" s="2"/>
      <c r="I29" s="2"/>
    </row>
    <row r="30" customFormat="false" ht="15" hidden="false" customHeight="false" outlineLevel="0" collapsed="false">
      <c r="A30" s="2"/>
      <c r="B30" s="5" t="s">
        <v>2946</v>
      </c>
      <c r="C30" s="88" t="n">
        <f aca="false">Cibles!$C$19</f>
        <v>15</v>
      </c>
      <c r="D30" s="23" t="s">
        <v>2947</v>
      </c>
      <c r="E30" s="23" t="s">
        <v>2948</v>
      </c>
      <c r="F30" s="23" t="s">
        <v>2949</v>
      </c>
      <c r="G30" s="2"/>
      <c r="H30" s="2"/>
      <c r="I30" s="2"/>
    </row>
    <row r="31" customFormat="false" ht="15" hidden="false" customHeight="false" outlineLevel="0" collapsed="false">
      <c r="A31" s="2"/>
      <c r="B31" s="5" t="s">
        <v>2950</v>
      </c>
      <c r="C31" s="88" t="n">
        <f aca="false">Booster!$C$52</f>
        <v>19.339616559869</v>
      </c>
      <c r="D31" s="23" t="s">
        <v>2951</v>
      </c>
      <c r="E31" s="23" t="s">
        <v>2952</v>
      </c>
      <c r="F31" s="23" t="s">
        <v>2949</v>
      </c>
      <c r="G31" s="2"/>
      <c r="H31" s="2"/>
      <c r="I31" s="2"/>
    </row>
    <row r="32" customFormat="false" ht="15" hidden="false" customHeight="false" outlineLevel="0" collapsed="false">
      <c r="A32" s="2"/>
      <c r="B32" s="21" t="s">
        <v>2953</v>
      </c>
      <c r="C32" s="47" t="n">
        <f aca="false">MIN(C26:C29)</f>
        <v>7.4</v>
      </c>
      <c r="D32" s="23" t="s">
        <v>130</v>
      </c>
      <c r="E32" s="23" t="s">
        <v>2954</v>
      </c>
      <c r="F32" s="2"/>
      <c r="G32" s="2"/>
      <c r="H32" s="2"/>
      <c r="I32" s="2"/>
    </row>
    <row r="33" customFormat="false" ht="15" hidden="false" customHeight="false" outlineLevel="0" collapsed="false">
      <c r="A33" s="2"/>
      <c r="B33" s="5" t="s">
        <v>2955</v>
      </c>
      <c r="C33" s="89" t="n">
        <f aca="false">MEDIAN(C26:C29)</f>
        <v>9.4</v>
      </c>
      <c r="D33" s="23" t="s">
        <v>130</v>
      </c>
      <c r="E33" s="23"/>
      <c r="F33" s="2"/>
      <c r="G33" s="2"/>
      <c r="H33" s="2"/>
      <c r="I33" s="2"/>
    </row>
    <row r="34" customFormat="false" ht="15" hidden="false" customHeight="false" outlineLevel="0" collapsed="false">
      <c r="A34" s="2"/>
      <c r="B34" s="21" t="s">
        <v>2956</v>
      </c>
      <c r="C34" s="47" t="n">
        <f aca="false">MAX(C26:C29)</f>
        <v>11</v>
      </c>
      <c r="D34" s="23" t="s">
        <v>130</v>
      </c>
      <c r="E34" s="23" t="s">
        <v>2957</v>
      </c>
      <c r="F34" s="2"/>
      <c r="G34" s="2"/>
      <c r="H34" s="2"/>
      <c r="I34" s="2"/>
    </row>
    <row r="35" customFormat="false" ht="15" hidden="false" customHeight="false" outlineLevel="0" collapsed="false">
      <c r="A35" s="2"/>
      <c r="B35" s="5" t="s">
        <v>2958</v>
      </c>
      <c r="C35" s="89" t="n">
        <f aca="false">C30-C28</f>
        <v>5.2</v>
      </c>
      <c r="D35" s="23" t="s">
        <v>130</v>
      </c>
      <c r="E35" s="23" t="s">
        <v>2959</v>
      </c>
      <c r="F35" s="2"/>
      <c r="G35" s="2"/>
      <c r="H35" s="2"/>
      <c r="I35" s="2"/>
    </row>
    <row r="36" customFormat="false" ht="43.5" hidden="false" customHeight="true" outlineLevel="0" collapsed="false">
      <c r="A36" s="2"/>
      <c r="B36" s="68" t="s">
        <v>2960</v>
      </c>
      <c r="C36" s="68"/>
      <c r="D36" s="68"/>
      <c r="E36" s="68"/>
      <c r="F36" s="68"/>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1" t="s">
        <v>2275</v>
      </c>
      <c r="B38" s="21" t="s">
        <v>2961</v>
      </c>
      <c r="C38" s="2"/>
      <c r="D38" s="2"/>
      <c r="E38" s="2"/>
      <c r="F38" s="2"/>
      <c r="G38" s="2"/>
      <c r="H38" s="2"/>
      <c r="I38" s="2"/>
    </row>
    <row r="39" customFormat="false" ht="23.85" hidden="false" customHeight="false" outlineLevel="0" collapsed="false">
      <c r="A39" s="20"/>
      <c r="B39" s="20" t="s">
        <v>2962</v>
      </c>
      <c r="C39" s="20" t="s">
        <v>2963</v>
      </c>
      <c r="D39" s="20" t="s">
        <v>2964</v>
      </c>
      <c r="E39" s="20" t="s">
        <v>2965</v>
      </c>
      <c r="F39" s="20" t="s">
        <v>2928</v>
      </c>
      <c r="G39" s="20" t="s">
        <v>2966</v>
      </c>
      <c r="H39" s="20" t="s">
        <v>1839</v>
      </c>
      <c r="I39" s="2"/>
    </row>
    <row r="40" customFormat="false" ht="15" hidden="false" customHeight="false" outlineLevel="0" collapsed="false">
      <c r="A40" s="2"/>
      <c r="B40" s="5" t="s">
        <v>2967</v>
      </c>
      <c r="C40" s="60" t="n">
        <f aca="false">Entrées!$C$483</f>
        <v>400</v>
      </c>
      <c r="D40" s="60" t="n">
        <f aca="false">Entrées!$C$484</f>
        <v>36</v>
      </c>
      <c r="E40" s="47" t="n">
        <f aca="false">C40/D40</f>
        <v>11.1111111111111</v>
      </c>
      <c r="F40" s="88" t="n">
        <f aca="false">Entrées!$C$488</f>
        <v>7.1</v>
      </c>
      <c r="G40" s="23" t="s">
        <v>2968</v>
      </c>
      <c r="H40" s="23" t="s">
        <v>2969</v>
      </c>
      <c r="I40" s="2"/>
    </row>
    <row r="41" customFormat="false" ht="15" hidden="false" customHeight="false" outlineLevel="0" collapsed="false">
      <c r="A41" s="2"/>
      <c r="B41" s="5" t="s">
        <v>2970</v>
      </c>
      <c r="C41" s="60" t="n">
        <f aca="false">Entrées!$C$489*1000</f>
        <v>5300</v>
      </c>
      <c r="D41" s="60" t="n">
        <f aca="false">Entrées!$C$491</f>
        <v>460</v>
      </c>
      <c r="E41" s="47" t="n">
        <f aca="false">C41/D41</f>
        <v>11.5217391304348</v>
      </c>
      <c r="F41" s="52" t="s">
        <v>1848</v>
      </c>
      <c r="G41" s="23" t="s">
        <v>2971</v>
      </c>
      <c r="H41" s="23" t="s">
        <v>2972</v>
      </c>
      <c r="I41" s="2"/>
    </row>
    <row r="42" customFormat="false" ht="15" hidden="false" customHeight="false" outlineLevel="0" collapsed="false">
      <c r="A42" s="2"/>
      <c r="B42" s="5" t="s">
        <v>2973</v>
      </c>
      <c r="C42" s="60" t="n">
        <f aca="false">Entrées!$C$479*1000</f>
        <v>7200</v>
      </c>
      <c r="D42" s="106" t="s">
        <v>2319</v>
      </c>
      <c r="E42" s="52" t="s">
        <v>1848</v>
      </c>
      <c r="F42" s="52" t="s">
        <v>1848</v>
      </c>
      <c r="G42" s="23" t="s">
        <v>2974</v>
      </c>
      <c r="H42" s="23" t="s">
        <v>1480</v>
      </c>
      <c r="I42" s="2"/>
    </row>
    <row r="43" customFormat="false" ht="15" hidden="false" customHeight="false" outlineLevel="0" collapsed="false">
      <c r="A43" s="2"/>
      <c r="B43" s="5" t="s">
        <v>2975</v>
      </c>
      <c r="C43" s="60" t="n">
        <f aca="false">Entrées!$C$530*1000</f>
        <v>2200</v>
      </c>
      <c r="D43" s="60" t="n">
        <f aca="false">Entrées!$C$532</f>
        <v>156</v>
      </c>
      <c r="E43" s="47" t="n">
        <f aca="false">C43/D43</f>
        <v>14.1025641025641</v>
      </c>
      <c r="F43" s="52" t="s">
        <v>1848</v>
      </c>
      <c r="G43" s="23" t="s">
        <v>2976</v>
      </c>
      <c r="H43" s="23" t="s">
        <v>2977</v>
      </c>
      <c r="I43" s="2"/>
    </row>
    <row r="44" customFormat="false" ht="15" hidden="false" customHeight="false" outlineLevel="0" collapsed="false">
      <c r="A44" s="2"/>
      <c r="B44" s="21" t="s">
        <v>2978</v>
      </c>
      <c r="C44" s="47" t="n">
        <f aca="false">MIN(E40:E43)</f>
        <v>11.1111111111111</v>
      </c>
      <c r="D44" s="23" t="s">
        <v>130</v>
      </c>
      <c r="E44" s="23"/>
      <c r="F44" s="2"/>
      <c r="G44" s="2"/>
      <c r="H44" s="2"/>
      <c r="I44" s="2"/>
    </row>
    <row r="45" customFormat="false" ht="15" hidden="false" customHeight="false" outlineLevel="0" collapsed="false">
      <c r="A45" s="2"/>
      <c r="B45" s="21" t="s">
        <v>2979</v>
      </c>
      <c r="C45" s="47" t="n">
        <f aca="false">MAX(E40:E43)</f>
        <v>14.1025641025641</v>
      </c>
      <c r="D45" s="23" t="s">
        <v>130</v>
      </c>
      <c r="E45" s="23"/>
      <c r="F45" s="2"/>
      <c r="G45" s="2"/>
      <c r="H45" s="2"/>
      <c r="I45" s="2"/>
    </row>
    <row r="46" customFormat="false" ht="15" hidden="false" customHeight="false" outlineLevel="0" collapsed="false">
      <c r="A46" s="2"/>
      <c r="B46" s="21" t="s">
        <v>2980</v>
      </c>
      <c r="C46" s="47" t="n">
        <f aca="false">Cibles!$C$19-Cibles!$C$45</f>
        <v>0.897435897435898</v>
      </c>
      <c r="D46" s="23" t="s">
        <v>130</v>
      </c>
      <c r="E46" s="23" t="s">
        <v>2981</v>
      </c>
      <c r="F46" s="2"/>
      <c r="G46" s="2"/>
      <c r="H46" s="2"/>
      <c r="I46" s="2"/>
    </row>
    <row r="47" customFormat="false" ht="57.75" hidden="false" customHeight="true" outlineLevel="0" collapsed="false">
      <c r="A47" s="2"/>
      <c r="B47" s="68" t="s">
        <v>2982</v>
      </c>
      <c r="C47" s="68"/>
      <c r="D47" s="68"/>
      <c r="E47" s="68"/>
      <c r="F47" s="68"/>
      <c r="G47" s="68"/>
      <c r="H47" s="68"/>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1" t="s">
        <v>2104</v>
      </c>
      <c r="B49" s="21" t="s">
        <v>2983</v>
      </c>
      <c r="C49" s="2"/>
      <c r="D49" s="2"/>
      <c r="E49" s="2"/>
      <c r="F49" s="2"/>
      <c r="G49" s="2"/>
      <c r="H49" s="2"/>
      <c r="I49" s="2"/>
    </row>
    <row r="50" customFormat="false" ht="23.85" hidden="false" customHeight="false" outlineLevel="0" collapsed="false">
      <c r="A50" s="20"/>
      <c r="B50" s="20" t="s">
        <v>2984</v>
      </c>
      <c r="C50" s="20" t="s">
        <v>2790</v>
      </c>
      <c r="D50" s="20" t="s">
        <v>2985</v>
      </c>
      <c r="E50" s="20" t="s">
        <v>2986</v>
      </c>
      <c r="F50" s="20" t="s">
        <v>2932</v>
      </c>
      <c r="G50" s="20" t="s">
        <v>2987</v>
      </c>
      <c r="H50" s="20" t="s">
        <v>93</v>
      </c>
      <c r="I50" s="20" t="s">
        <v>94</v>
      </c>
    </row>
    <row r="51" customFormat="false" ht="15" hidden="false" customHeight="false" outlineLevel="0" collapsed="false">
      <c r="A51" s="2"/>
      <c r="B51" s="116" t="s">
        <v>2988</v>
      </c>
      <c r="C51" s="116" t="s">
        <v>2282</v>
      </c>
      <c r="D51" s="116" t="s">
        <v>2989</v>
      </c>
      <c r="E51" s="60" t="n">
        <f aca="false">-Entrées!$C$81</f>
        <v>2778</v>
      </c>
      <c r="F51" s="88" t="n">
        <f aca="false">Entrées!$C$53</f>
        <v>9.8</v>
      </c>
      <c r="G51" s="5" t="str">
        <f aca="false">IF(AND(ISNUMBER(E51),ISNUMBER(F51)),IF(E51&lt;=IF(F51&gt;Hypothèses!$J$26,MAX(0,$D$8)/(1-Hypothèses!$J$26/F51),0),"oui","non"),"")</f>
        <v>non</v>
      </c>
      <c r="H51" s="23" t="s">
        <v>146</v>
      </c>
      <c r="I51" s="23" t="n">
        <v>25</v>
      </c>
    </row>
    <row r="52" customFormat="false" ht="15" hidden="false" customHeight="false" outlineLevel="0" collapsed="false">
      <c r="A52" s="2"/>
      <c r="B52" s="113"/>
      <c r="C52" s="113"/>
      <c r="D52" s="113"/>
      <c r="E52" s="45"/>
      <c r="F52" s="117"/>
      <c r="G52" s="5" t="str">
        <f aca="false">IF(AND(ISNUMBER(E52),ISNUMBER(F52)),IF(E52&lt;=IF(F52&gt;Hypothèses!$J$26,MAX(0,$D$8)/(1-Hypothèses!$J$26/F52),0),"oui","non"),"")</f>
        <v/>
      </c>
      <c r="H52" s="113"/>
      <c r="I52" s="113"/>
    </row>
    <row r="53" customFormat="false" ht="15" hidden="false" customHeight="false" outlineLevel="0" collapsed="false">
      <c r="A53" s="2"/>
      <c r="B53" s="113"/>
      <c r="C53" s="113"/>
      <c r="D53" s="113"/>
      <c r="E53" s="45"/>
      <c r="F53" s="117"/>
      <c r="G53" s="5" t="str">
        <f aca="false">IF(AND(ISNUMBER(E53),ISNUMBER(F53)),IF(E53&lt;=IF(F53&gt;Hypothèses!$J$26,MAX(0,$D$8)/(1-Hypothèses!$J$26/F53),0),"oui","non"),"")</f>
        <v/>
      </c>
      <c r="H53" s="113"/>
      <c r="I53" s="113"/>
    </row>
    <row r="54" customFormat="false" ht="15" hidden="false" customHeight="false" outlineLevel="0" collapsed="false">
      <c r="A54" s="2"/>
      <c r="B54" s="113"/>
      <c r="C54" s="113"/>
      <c r="D54" s="113"/>
      <c r="E54" s="45"/>
      <c r="F54" s="117"/>
      <c r="G54" s="5" t="str">
        <f aca="false">IF(AND(ISNUMBER(E54),ISNUMBER(F54)),IF(E54&lt;=IF(F54&gt;Hypothèses!$J$26,MAX(0,$D$8)/(1-Hypothèses!$J$26/F54),0),"oui","non"),"")</f>
        <v/>
      </c>
      <c r="H54" s="113"/>
      <c r="I54" s="113"/>
    </row>
    <row r="55" customFormat="false" ht="15" hidden="false" customHeight="false" outlineLevel="0" collapsed="false">
      <c r="A55" s="2"/>
      <c r="B55" s="113"/>
      <c r="C55" s="113"/>
      <c r="D55" s="113"/>
      <c r="E55" s="45"/>
      <c r="F55" s="117"/>
      <c r="G55" s="5" t="str">
        <f aca="false">IF(AND(ISNUMBER(E55),ISNUMBER(F55)),IF(E55&lt;=IF(F55&gt;Hypothèses!$J$26,MAX(0,$D$8)/(1-Hypothèses!$J$26/F55),0),"oui","non"),"")</f>
        <v/>
      </c>
      <c r="H55" s="113"/>
      <c r="I55" s="113"/>
    </row>
    <row r="56" customFormat="false" ht="15" hidden="false" customHeight="false" outlineLevel="0" collapsed="false">
      <c r="A56" s="2"/>
      <c r="B56" s="113"/>
      <c r="C56" s="113"/>
      <c r="D56" s="113"/>
      <c r="E56" s="45"/>
      <c r="F56" s="117"/>
      <c r="G56" s="5" t="str">
        <f aca="false">IF(AND(ISNUMBER(E56),ISNUMBER(F56)),IF(E56&lt;=IF(F56&gt;Hypothèses!$J$26,MAX(0,$D$8)/(1-Hypothèses!$J$26/F56),0),"oui","non"),"")</f>
        <v/>
      </c>
      <c r="H56" s="113"/>
      <c r="I56" s="113"/>
    </row>
    <row r="57" customFormat="false" ht="15" hidden="false" customHeight="false" outlineLevel="0" collapsed="false">
      <c r="A57" s="2"/>
      <c r="B57" s="113"/>
      <c r="C57" s="113"/>
      <c r="D57" s="113"/>
      <c r="E57" s="45"/>
      <c r="F57" s="117"/>
      <c r="G57" s="5" t="str">
        <f aca="false">IF(AND(ISNUMBER(E57),ISNUMBER(F57)),IF(E57&lt;=IF(F57&gt;Hypothèses!$J$26,MAX(0,$D$8)/(1-Hypothèses!$J$26/F57),0),"oui","non"),"")</f>
        <v/>
      </c>
      <c r="H57" s="113"/>
      <c r="I57" s="113"/>
    </row>
    <row r="58" customFormat="false" ht="15" hidden="false" customHeight="false" outlineLevel="0" collapsed="false">
      <c r="A58" s="2"/>
      <c r="B58" s="113"/>
      <c r="C58" s="113"/>
      <c r="D58" s="113"/>
      <c r="E58" s="45"/>
      <c r="F58" s="117"/>
      <c r="G58" s="5" t="str">
        <f aca="false">IF(AND(ISNUMBER(E58),ISNUMBER(F58)),IF(E58&lt;=IF(F58&gt;Hypothèses!$J$26,MAX(0,$D$8)/(1-Hypothèses!$J$26/F58),0),"oui","non"),"")</f>
        <v/>
      </c>
      <c r="H58" s="113"/>
      <c r="I58" s="113"/>
    </row>
    <row r="59" customFormat="false" ht="15" hidden="false" customHeight="false" outlineLevel="0" collapsed="false">
      <c r="A59" s="2"/>
      <c r="B59" s="113"/>
      <c r="C59" s="113"/>
      <c r="D59" s="113"/>
      <c r="E59" s="45"/>
      <c r="F59" s="117"/>
      <c r="G59" s="5" t="str">
        <f aca="false">IF(AND(ISNUMBER(E59),ISNUMBER(F59)),IF(E59&lt;=IF(F59&gt;Hypothèses!$J$26,MAX(0,$D$8)/(1-Hypothèses!$J$26/F59),0),"oui","non"),"")</f>
        <v/>
      </c>
      <c r="H59" s="113"/>
      <c r="I59" s="113"/>
    </row>
    <row r="60" customFormat="false" ht="15" hidden="false" customHeight="false" outlineLevel="0" collapsed="false">
      <c r="A60" s="2"/>
      <c r="B60" s="3" t="s">
        <v>2990</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2991</v>
      </c>
      <c r="B1" s="2"/>
      <c r="C1" s="2"/>
      <c r="D1" s="2"/>
      <c r="E1" s="2"/>
      <c r="F1" s="2"/>
      <c r="G1" s="2"/>
    </row>
    <row r="2" customFormat="false" ht="15" hidden="false" customHeight="false" outlineLevel="0" collapsed="false">
      <c r="A2" s="3" t="s">
        <v>2992</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0" t="s">
        <v>2993</v>
      </c>
      <c r="B4" s="20" t="s">
        <v>2994</v>
      </c>
      <c r="C4" s="20" t="s">
        <v>2995</v>
      </c>
      <c r="D4" s="20" t="s">
        <v>2996</v>
      </c>
      <c r="E4" s="20" t="s">
        <v>2997</v>
      </c>
      <c r="F4" s="20" t="s">
        <v>2998</v>
      </c>
      <c r="G4" s="20" t="s">
        <v>2999</v>
      </c>
    </row>
    <row r="5" customFormat="false" ht="27.75" hidden="false" customHeight="true" outlineLevel="0" collapsed="false">
      <c r="A5" s="24" t="n">
        <v>1</v>
      </c>
      <c r="B5" s="37" t="s">
        <v>3000</v>
      </c>
      <c r="C5" s="62" t="n">
        <f aca="false">Levier!$C$8</f>
        <v>2.62507365939894</v>
      </c>
      <c r="D5" s="62" t="n">
        <f aca="false">Levier!$C$9</f>
        <v>2.63</v>
      </c>
      <c r="E5" s="118" t="n">
        <v>0.006</v>
      </c>
      <c r="F5" s="110" t="str">
        <f aca="false">IF(ABS(C5-D5)&lt;=E5,"OK","ÉCART")</f>
        <v>OK</v>
      </c>
      <c r="G5" s="23" t="s">
        <v>3001</v>
      </c>
    </row>
    <row r="6" customFormat="false" ht="27.75" hidden="false" customHeight="true" outlineLevel="0" collapsed="false">
      <c r="A6" s="24" t="n">
        <v>2</v>
      </c>
      <c r="B6" s="37" t="s">
        <v>3002</v>
      </c>
      <c r="C6" s="62" t="n">
        <f aca="false">Levier!$C$12</f>
        <v>2.78822695035461</v>
      </c>
      <c r="D6" s="62" t="n">
        <f aca="false">Levier!$C$13</f>
        <v>2.79</v>
      </c>
      <c r="E6" s="118" t="n">
        <v>0.006</v>
      </c>
      <c r="F6" s="110" t="str">
        <f aca="false">IF(ABS(C6-D6)&lt;=E6,"OK","ÉCART")</f>
        <v>OK</v>
      </c>
      <c r="G6" s="23" t="s">
        <v>3001</v>
      </c>
    </row>
    <row r="7" customFormat="false" ht="27.75" hidden="false" customHeight="true" outlineLevel="0" collapsed="false">
      <c r="A7" s="24" t="n">
        <v>3</v>
      </c>
      <c r="B7" s="37" t="s">
        <v>3003</v>
      </c>
      <c r="C7" s="60" t="n">
        <f aca="false">'Pont de dette'!$C$16</f>
        <v>24547</v>
      </c>
      <c r="D7" s="60" t="n">
        <f aca="false">'Pont de dette'!$C$17</f>
        <v>24548</v>
      </c>
      <c r="E7" s="81" t="n">
        <v>2</v>
      </c>
      <c r="F7" s="110" t="str">
        <f aca="false">IF(ABS(C7-D7)&lt;=E7,"OK","ÉCART")</f>
        <v>OK</v>
      </c>
      <c r="G7" s="23" t="s">
        <v>3001</v>
      </c>
    </row>
    <row r="8" customFormat="false" ht="27.75" hidden="false" customHeight="true" outlineLevel="0" collapsed="false">
      <c r="A8" s="24" t="n">
        <v>4</v>
      </c>
      <c r="B8" s="37" t="s">
        <v>3004</v>
      </c>
      <c r="C8" s="77" t="n">
        <f aca="false">Cessions!$C$9</f>
        <v>3.1</v>
      </c>
      <c r="D8" s="77" t="n">
        <f aca="false">Cessions!$C$10</f>
        <v>3.1</v>
      </c>
      <c r="E8" s="119" t="n">
        <v>0.001</v>
      </c>
      <c r="F8" s="110" t="str">
        <f aca="false">IF(ABS(C8-D8)&lt;=E8,"OK","ÉCART")</f>
        <v>OK</v>
      </c>
      <c r="G8" s="23" t="s">
        <v>3001</v>
      </c>
    </row>
    <row r="9" customFormat="false" ht="27.75" hidden="false" customHeight="true" outlineLevel="0" collapsed="false">
      <c r="A9" s="24" t="n">
        <v>5</v>
      </c>
      <c r="B9" s="37" t="s">
        <v>3005</v>
      </c>
      <c r="C9" s="60" t="n">
        <f aca="false">ESG!$C$14</f>
        <v>1214</v>
      </c>
      <c r="D9" s="60" t="n">
        <f aca="false">Entrées!$C$105</f>
        <v>1214</v>
      </c>
      <c r="E9" s="81" t="n">
        <v>0.5</v>
      </c>
      <c r="F9" s="110" t="str">
        <f aca="false">IF(ABS(C9-D9)&lt;=E9,"OK","ÉCART")</f>
        <v>OK</v>
      </c>
      <c r="G9" s="23" t="s">
        <v>3001</v>
      </c>
    </row>
    <row r="10" customFormat="false" ht="27.75" hidden="false" customHeight="true" outlineLevel="0" collapsed="false">
      <c r="A10" s="24" t="n">
        <v>6</v>
      </c>
      <c r="B10" s="37" t="s">
        <v>3006</v>
      </c>
      <c r="C10" s="63" t="n">
        <f aca="false">Entrées!$C$32*Entrées!$C$91/1000000</f>
        <v>1097.5460085</v>
      </c>
      <c r="D10" s="60" t="n">
        <f aca="false">Entrées!$C$79</f>
        <v>1099</v>
      </c>
      <c r="E10" s="81" t="n">
        <v>15</v>
      </c>
      <c r="F10" s="110" t="str">
        <f aca="false">IF(ABS(C10-D10)&lt;=E10,"OK","ÉCART")</f>
        <v>OK</v>
      </c>
      <c r="G10" s="23" t="s">
        <v>3001</v>
      </c>
    </row>
    <row r="11" customFormat="false" ht="27.75" hidden="false" customHeight="true" outlineLevel="0" collapsed="false">
      <c r="A11" s="24" t="n">
        <v>7</v>
      </c>
      <c r="B11" s="37" t="s">
        <v>3007</v>
      </c>
      <c r="C11" s="62" t="n">
        <f aca="false">Trajectoire!$D$33</f>
        <v>3.01771731406222</v>
      </c>
      <c r="D11" s="118" t="n">
        <v>3.075</v>
      </c>
      <c r="E11" s="118" t="n">
        <v>0.075</v>
      </c>
      <c r="F11" s="110" t="str">
        <f aca="false">IF(ABS(C11-D11)&lt;=E11,"OK","ÉCART")</f>
        <v>OK</v>
      </c>
      <c r="G11" s="23" t="s">
        <v>3001</v>
      </c>
    </row>
    <row r="12" customFormat="false" ht="27.75" hidden="false" customHeight="true" outlineLevel="0" collapsed="false">
      <c r="A12" s="24" t="n">
        <v>8</v>
      </c>
      <c r="B12" s="37" t="s">
        <v>3008</v>
      </c>
      <c r="C12" s="94" t="n">
        <f aca="false">Hypothèses!$J$19</f>
        <v>1.17584579071597</v>
      </c>
      <c r="D12" s="120" t="n">
        <v>1.175</v>
      </c>
      <c r="E12" s="120" t="n">
        <v>0.125</v>
      </c>
      <c r="F12" s="110" t="str">
        <f aca="false">IF(ABS(C12-D12)&lt;=E12,"OK","ÉCART")</f>
        <v>OK</v>
      </c>
      <c r="G12" s="23" t="s">
        <v>3001</v>
      </c>
    </row>
    <row r="13" customFormat="false" ht="27.75" hidden="false" customHeight="true" outlineLevel="0" collapsed="false">
      <c r="A13" s="24" t="n">
        <v>9</v>
      </c>
      <c r="B13" s="37" t="s">
        <v>3009</v>
      </c>
      <c r="C13" s="77" t="n">
        <f aca="false">Cessions!$C$16</f>
        <v>0.5</v>
      </c>
      <c r="D13" s="77" t="n">
        <f aca="false">Cessions!$C$17</f>
        <v>0.5</v>
      </c>
      <c r="E13" s="119" t="n">
        <v>0.001</v>
      </c>
      <c r="F13" s="110" t="str">
        <f aca="false">IF(ABS(C13-D13)&lt;=E13,"OK","ÉCART")</f>
        <v>OK</v>
      </c>
      <c r="G13" s="23" t="s">
        <v>3001</v>
      </c>
    </row>
    <row r="14" customFormat="false" ht="27.75" hidden="false" customHeight="true" outlineLevel="0" collapsed="false">
      <c r="A14" s="24" t="n">
        <v>10</v>
      </c>
      <c r="B14" s="37" t="s">
        <v>3010</v>
      </c>
      <c r="C14" s="63" t="n">
        <f aca="false">-Entrées!$C$124*1000</f>
        <v>400</v>
      </c>
      <c r="D14" s="60" t="n">
        <f aca="false">Entrées!$C$126</f>
        <v>397</v>
      </c>
      <c r="E14" s="81" t="n">
        <v>60</v>
      </c>
      <c r="F14" s="110" t="str">
        <f aca="false">IF(ABS(C14-D14)&lt;=E14,"OK","ÉCART")</f>
        <v>OK</v>
      </c>
      <c r="G14" s="23" t="s">
        <v>3001</v>
      </c>
    </row>
    <row r="15" customFormat="false" ht="27.75" hidden="false" customHeight="true" outlineLevel="0" collapsed="false">
      <c r="A15" s="24" t="n">
        <v>11</v>
      </c>
      <c r="B15" s="37" t="s">
        <v>3011</v>
      </c>
      <c r="C15" s="60" t="n">
        <f aca="false">Levier!$C$30</f>
        <v>24000</v>
      </c>
      <c r="D15" s="81" t="n">
        <v>24000</v>
      </c>
      <c r="E15" s="81" t="n">
        <v>1</v>
      </c>
      <c r="F15" s="110" t="str">
        <f aca="false">IF(ABS(C15-D15)&lt;=E15,"OK","ÉCART")</f>
        <v>OK</v>
      </c>
      <c r="G15" s="23" t="s">
        <v>3001</v>
      </c>
    </row>
    <row r="16" customFormat="false" ht="27.75" hidden="false" customHeight="true" outlineLevel="0" collapsed="false">
      <c r="A16" s="24" t="n">
        <v>12</v>
      </c>
      <c r="B16" s="37" t="s">
        <v>3012</v>
      </c>
      <c r="C16" s="71" t="n">
        <f aca="false">Trajectoire!$D$52</f>
        <v>0.193486847370753</v>
      </c>
      <c r="D16" s="71" t="n">
        <f aca="false">Entrées!$C$232/100</f>
        <v>0.185</v>
      </c>
      <c r="E16" s="121" t="n">
        <v>0.02</v>
      </c>
      <c r="F16" s="110" t="str">
        <f aca="false">IF(ABS(C16-D16)&lt;=E16,"OK","ÉCART")</f>
        <v>OK</v>
      </c>
      <c r="G16" s="23" t="s">
        <v>3001</v>
      </c>
    </row>
    <row r="17" customFormat="false" ht="27.75" hidden="false" customHeight="true" outlineLevel="0" collapsed="false">
      <c r="A17" s="24" t="n">
        <v>13</v>
      </c>
      <c r="B17" s="37" t="s">
        <v>3013</v>
      </c>
      <c r="C17" s="71" t="n">
        <f aca="false">Trajectoire!$D$56</f>
        <v>0.207738254508974</v>
      </c>
      <c r="D17" s="71" t="n">
        <f aca="false">Entrées!$C$233/100</f>
        <v>0.195</v>
      </c>
      <c r="E17" s="121" t="n">
        <v>0.025</v>
      </c>
      <c r="F17" s="110" t="str">
        <f aca="false">IF(ABS(C17-D17)&lt;=E17,"OK","ÉCART")</f>
        <v>OK</v>
      </c>
      <c r="G17" s="23" t="s">
        <v>3001</v>
      </c>
    </row>
    <row r="18" customFormat="false" ht="27.75" hidden="false" customHeight="true" outlineLevel="0" collapsed="false">
      <c r="A18" s="24" t="n">
        <v>14</v>
      </c>
      <c r="B18" s="37" t="s">
        <v>3014</v>
      </c>
      <c r="C18" s="60" t="n">
        <f aca="false">Levier!$C$51</f>
        <v>29518</v>
      </c>
      <c r="D18" s="60" t="n">
        <f aca="false">Entrées!$C$259</f>
        <v>29518</v>
      </c>
      <c r="E18" s="81" t="n">
        <v>1</v>
      </c>
      <c r="F18" s="110" t="str">
        <f aca="false">IF(ABS(C18-D18)&lt;=E18,"OK","ÉCART")</f>
        <v>OK</v>
      </c>
      <c r="G18" s="23" t="s">
        <v>3001</v>
      </c>
    </row>
    <row r="19" customFormat="false" ht="27.75" hidden="false" customHeight="true" outlineLevel="0" collapsed="false">
      <c r="A19" s="24" t="n">
        <v>15</v>
      </c>
      <c r="B19" s="37" t="s">
        <v>3015</v>
      </c>
      <c r="C19" s="60" t="n">
        <f aca="false">Levier!$C$56</f>
        <v>34879</v>
      </c>
      <c r="D19" s="60" t="n">
        <f aca="false">Levier!$C$57</f>
        <v>34879</v>
      </c>
      <c r="E19" s="81" t="n">
        <v>1</v>
      </c>
      <c r="F19" s="110" t="str">
        <f aca="false">IF(ABS(C19-D19)&lt;=E19,"OK","ÉCART")</f>
        <v>OK</v>
      </c>
      <c r="G19" s="23" t="s">
        <v>3001</v>
      </c>
    </row>
    <row r="20" customFormat="false" ht="27.75" hidden="false" customHeight="true" outlineLevel="0" collapsed="false">
      <c r="A20" s="24" t="n">
        <v>16</v>
      </c>
      <c r="B20" s="37" t="s">
        <v>3016</v>
      </c>
      <c r="C20" s="60" t="n">
        <f aca="false">Levier!$C$59</f>
        <v>25404</v>
      </c>
      <c r="D20" s="60" t="n">
        <f aca="false">Levier!$C$60</f>
        <v>25404</v>
      </c>
      <c r="E20" s="81" t="n">
        <v>1</v>
      </c>
      <c r="F20" s="110" t="str">
        <f aca="false">IF(ABS(C20-D20)&lt;=E20,"OK","ÉCART")</f>
        <v>OK</v>
      </c>
      <c r="G20" s="23" t="s">
        <v>3001</v>
      </c>
    </row>
    <row r="21" customFormat="false" ht="27.75" hidden="false" customHeight="true" outlineLevel="0" collapsed="false">
      <c r="A21" s="24" t="n">
        <v>17</v>
      </c>
      <c r="B21" s="37" t="s">
        <v>3017</v>
      </c>
      <c r="C21" s="60" t="n">
        <f aca="false">Levier!$C$44</f>
        <v>5156.2</v>
      </c>
      <c r="D21" s="60" t="n">
        <f aca="false">Levier!$C$67</f>
        <v>5160</v>
      </c>
      <c r="E21" s="81" t="n">
        <v>60</v>
      </c>
      <c r="F21" s="110" t="str">
        <f aca="false">IF(ABS(C21-D21)&lt;=E21,"OK","ÉCART")</f>
        <v>OK</v>
      </c>
      <c r="G21" s="23" t="s">
        <v>3001</v>
      </c>
    </row>
    <row r="22" customFormat="false" ht="27.75" hidden="false" customHeight="true" outlineLevel="0" collapsed="false">
      <c r="A22" s="24" t="n">
        <v>18</v>
      </c>
      <c r="B22" s="37" t="s">
        <v>3018</v>
      </c>
      <c r="C22" s="60" t="n">
        <f aca="false">Levier!$C$61</f>
        <v>19821</v>
      </c>
      <c r="D22" s="60" t="n">
        <f aca="false">Entrées!$C$13</f>
        <v>19657</v>
      </c>
      <c r="E22" s="52" t="s">
        <v>1848</v>
      </c>
      <c r="F22" s="110" t="s">
        <v>3019</v>
      </c>
      <c r="G22" s="23" t="s">
        <v>3020</v>
      </c>
    </row>
    <row r="23" customFormat="false" ht="27.75" hidden="false" customHeight="true" outlineLevel="0" collapsed="false">
      <c r="A23" s="24" t="n">
        <v>19</v>
      </c>
      <c r="B23" s="37" t="s">
        <v>3021</v>
      </c>
      <c r="C23" s="71" t="n">
        <f aca="false">Segments!$G$16</f>
        <v>0.126449852171935</v>
      </c>
      <c r="D23" s="71" t="n">
        <f aca="false">Segments!$G$19</f>
        <v>0.126</v>
      </c>
      <c r="E23" s="121" t="n">
        <v>0.002</v>
      </c>
      <c r="F23" s="110" t="str">
        <f aca="false">IF(ABS(C23-D23)&lt;=E23,"OK","ÉCART")</f>
        <v>OK</v>
      </c>
      <c r="G23" s="23" t="s">
        <v>3001</v>
      </c>
    </row>
    <row r="24" customFormat="false" ht="27.75" hidden="false" customHeight="true" outlineLevel="0" collapsed="false">
      <c r="A24" s="24" t="n">
        <v>20</v>
      </c>
      <c r="B24" s="37" t="s">
        <v>3022</v>
      </c>
      <c r="C24" s="71" t="n">
        <f aca="false">Entrées!$C$213/1000/Entrées!$C$212</f>
        <v>0.193993997479605</v>
      </c>
      <c r="D24" s="71" t="n">
        <f aca="false">Booster!$G$39</f>
        <v>0.194</v>
      </c>
      <c r="E24" s="121" t="n">
        <v>0.002</v>
      </c>
      <c r="F24" s="110" t="str">
        <f aca="false">IF(ABS(C24-D24)&lt;=E24,"OK","ÉCART")</f>
        <v>OK</v>
      </c>
      <c r="G24" s="23" t="s">
        <v>3001</v>
      </c>
    </row>
    <row r="25" customFormat="false" ht="27.75" hidden="false" customHeight="true" outlineLevel="0" collapsed="false">
      <c r="A25" s="24" t="n">
        <v>21</v>
      </c>
      <c r="B25" s="37" t="s">
        <v>3023</v>
      </c>
      <c r="C25" s="60" t="n">
        <f aca="false">Segments!$F$12</f>
        <v>139</v>
      </c>
      <c r="D25" s="81" t="n">
        <v>139</v>
      </c>
      <c r="E25" s="81" t="n">
        <v>60</v>
      </c>
      <c r="F25" s="110" t="str">
        <f aca="false">IF(ABS(C25-D25)&lt;=E25,"OK","ÉCART")</f>
        <v>OK</v>
      </c>
      <c r="G25" s="23" t="s">
        <v>3001</v>
      </c>
    </row>
    <row r="26" customFormat="false" ht="27.75" hidden="false" customHeight="true" outlineLevel="0" collapsed="false">
      <c r="A26" s="24" t="n">
        <v>22</v>
      </c>
      <c r="B26" s="37" t="s">
        <v>3024</v>
      </c>
      <c r="C26" s="77" t="n">
        <f aca="false">Segments!$F$38</f>
        <v>17.485</v>
      </c>
      <c r="D26" s="119" t="n">
        <v>18</v>
      </c>
      <c r="E26" s="52" t="s">
        <v>1848</v>
      </c>
      <c r="F26" s="110" t="s">
        <v>3019</v>
      </c>
      <c r="G26" s="23" t="s">
        <v>3020</v>
      </c>
    </row>
    <row r="27" customFormat="false" ht="27.75" hidden="false" customHeight="true" outlineLevel="0" collapsed="false">
      <c r="A27" s="24" t="n">
        <v>23</v>
      </c>
      <c r="B27" s="37" t="s">
        <v>3025</v>
      </c>
      <c r="C27" s="60" t="n">
        <f aca="false">Segments!$E$31</f>
        <v>8094.42222686603</v>
      </c>
      <c r="D27" s="81" t="n">
        <v>8000</v>
      </c>
      <c r="E27" s="52" t="s">
        <v>1848</v>
      </c>
      <c r="F27" s="110" t="s">
        <v>3019</v>
      </c>
      <c r="G27" s="23" t="s">
        <v>3020</v>
      </c>
    </row>
    <row r="28" customFormat="false" ht="27.75" hidden="false" customHeight="true" outlineLevel="0" collapsed="false">
      <c r="A28" s="24" t="n">
        <v>24</v>
      </c>
      <c r="B28" s="37" t="s">
        <v>3026</v>
      </c>
      <c r="C28" s="60" t="n">
        <f aca="false">Trajectoire!$D$50</f>
        <v>28416</v>
      </c>
      <c r="D28" s="81" t="n">
        <v>29000</v>
      </c>
      <c r="E28" s="81" t="n">
        <v>1500</v>
      </c>
      <c r="F28" s="110" t="str">
        <f aca="false">IF(ABS(C28-D28)&lt;=E28,"OK","ÉCART")</f>
        <v>OK</v>
      </c>
      <c r="G28" s="23" t="s">
        <v>3001</v>
      </c>
    </row>
    <row r="29" customFormat="false" ht="27.75" hidden="false" customHeight="true" outlineLevel="0" collapsed="false">
      <c r="A29" s="24" t="n">
        <v>25</v>
      </c>
      <c r="B29" s="37" t="s">
        <v>3027</v>
      </c>
      <c r="C29" s="60" t="n">
        <f aca="false">Trajectoire!$D$41</f>
        <v>7981.43050727668</v>
      </c>
      <c r="D29" s="60" t="n">
        <f aca="false">Entrées!$C$17*1000</f>
        <v>8000</v>
      </c>
      <c r="E29" s="52" t="s">
        <v>1848</v>
      </c>
      <c r="F29" s="110" t="s">
        <v>3019</v>
      </c>
      <c r="G29" s="23" t="s">
        <v>3020</v>
      </c>
    </row>
    <row r="30" customFormat="false" ht="27.75" hidden="false" customHeight="true" outlineLevel="0" collapsed="false">
      <c r="A30" s="24" t="n">
        <v>26</v>
      </c>
      <c r="B30" s="37" t="s">
        <v>3028</v>
      </c>
      <c r="C30" s="60" t="n">
        <f aca="false">Levier!$C$46</f>
        <v>-63.7999999999993</v>
      </c>
      <c r="D30" s="81" t="n">
        <v>0</v>
      </c>
      <c r="E30" s="52" t="s">
        <v>1848</v>
      </c>
      <c r="F30" s="110" t="s">
        <v>3019</v>
      </c>
      <c r="G30" s="23" t="s">
        <v>3020</v>
      </c>
    </row>
    <row r="31" customFormat="false" ht="27.75" hidden="false" customHeight="true" outlineLevel="0" collapsed="false">
      <c r="A31" s="24" t="n">
        <v>27</v>
      </c>
      <c r="B31" s="37" t="s">
        <v>3029</v>
      </c>
      <c r="C31" s="60" t="n">
        <f aca="false">'Pont de dette'!$C$35</f>
        <v>398</v>
      </c>
      <c r="D31" s="81" t="n">
        <v>0</v>
      </c>
      <c r="E31" s="52" t="s">
        <v>1848</v>
      </c>
      <c r="F31" s="110" t="s">
        <v>3019</v>
      </c>
      <c r="G31" s="23" t="s">
        <v>3020</v>
      </c>
    </row>
    <row r="32" customFormat="false" ht="27.75" hidden="false" customHeight="true" outlineLevel="0" collapsed="false">
      <c r="A32" s="24" t="n">
        <v>28</v>
      </c>
      <c r="B32" s="37" t="s">
        <v>3030</v>
      </c>
      <c r="C32" s="60" t="n">
        <f aca="false">'Pont de dette'!$C$20</f>
        <v>236</v>
      </c>
      <c r="D32" s="81" t="n">
        <v>0</v>
      </c>
      <c r="E32" s="52" t="s">
        <v>1848</v>
      </c>
      <c r="F32" s="110" t="s">
        <v>3019</v>
      </c>
      <c r="G32" s="23" t="s">
        <v>3020</v>
      </c>
    </row>
    <row r="33" customFormat="false" ht="27.75" hidden="false" customHeight="true" outlineLevel="0" collapsed="false">
      <c r="A33" s="24" t="n">
        <v>29</v>
      </c>
      <c r="B33" s="37" t="s">
        <v>3031</v>
      </c>
      <c r="C33" s="88" t="n">
        <f aca="false">Cibles!$C$20</f>
        <v>9.375</v>
      </c>
      <c r="D33" s="88" t="n">
        <f aca="false">Cibles!$C$21</f>
        <v>9.8</v>
      </c>
      <c r="E33" s="52" t="s">
        <v>1848</v>
      </c>
      <c r="F33" s="110" t="s">
        <v>3019</v>
      </c>
      <c r="G33" s="23" t="s">
        <v>3020</v>
      </c>
    </row>
    <row r="34" customFormat="false" ht="27.75" hidden="false" customHeight="true" outlineLevel="0" collapsed="false">
      <c r="A34" s="24" t="n">
        <v>30</v>
      </c>
      <c r="B34" s="37" t="s">
        <v>3032</v>
      </c>
      <c r="C34" s="88" t="n">
        <f aca="false">Cibles!$C$32</f>
        <v>7.4</v>
      </c>
      <c r="D34" s="88" t="n">
        <f aca="false">Hypothèses!$D$21</f>
        <v>7.4</v>
      </c>
      <c r="E34" s="122" t="n">
        <v>0.001</v>
      </c>
      <c r="F34" s="110" t="str">
        <f aca="false">IF(ABS(C34-D34)&lt;=E34,"OK","ÉCART")</f>
        <v>OK</v>
      </c>
      <c r="G34" s="23" t="s">
        <v>3001</v>
      </c>
    </row>
    <row r="35" customFormat="false" ht="27.75" hidden="false" customHeight="true" outlineLevel="0" collapsed="false">
      <c r="A35" s="24" t="n">
        <v>31</v>
      </c>
      <c r="B35" s="37" t="s">
        <v>3033</v>
      </c>
      <c r="C35" s="88" t="n">
        <f aca="false">Cibles!$C$34</f>
        <v>11</v>
      </c>
      <c r="D35" s="88" t="n">
        <f aca="false">Hypothèses!$E$21</f>
        <v>11</v>
      </c>
      <c r="E35" s="122" t="n">
        <v>0.001</v>
      </c>
      <c r="F35" s="110" t="str">
        <f aca="false">IF(ABS(C35-D35)&lt;=E35,"OK","ÉCART")</f>
        <v>OK</v>
      </c>
      <c r="G35" s="23" t="s">
        <v>3001</v>
      </c>
    </row>
    <row r="36" customFormat="false" ht="27.75" hidden="false" customHeight="true" outlineLevel="0" collapsed="false">
      <c r="A36" s="24" t="n">
        <v>32</v>
      </c>
      <c r="B36" s="37" t="s">
        <v>3034</v>
      </c>
      <c r="C36" s="60" t="n">
        <f aca="false">IF(COUNTIF(Hypothèses!$I$5:$I$27,"Bas")+COUNTIF(Hypothèses!$I$5:$I$27,"Haut")=0,Simulation!$BG$15-Trajectoire!$D$58,0)</f>
        <v>0</v>
      </c>
      <c r="D36" s="81" t="n">
        <v>0</v>
      </c>
      <c r="E36" s="81" t="n">
        <v>0.5</v>
      </c>
      <c r="F36" s="110" t="str">
        <f aca="false">IF(ABS(C36-D36)&lt;=E36,"OK","ÉCART")</f>
        <v>OK</v>
      </c>
      <c r="G36" s="23" t="s">
        <v>3001</v>
      </c>
    </row>
    <row r="37" customFormat="false" ht="27.75" hidden="false" customHeight="true" outlineLevel="0" collapsed="false">
      <c r="A37" s="24" t="n">
        <v>33</v>
      </c>
      <c r="B37" s="37" t="s">
        <v>3035</v>
      </c>
      <c r="C37" s="107"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23" t="n">
        <v>0.5</v>
      </c>
      <c r="E37" s="123" t="n">
        <v>0.02</v>
      </c>
      <c r="F37" s="110" t="str">
        <f aca="false">IF(ABS(C37-D37)&lt;=E37,"OK","ÉCART")</f>
        <v>OK</v>
      </c>
      <c r="G37" s="23" t="s">
        <v>3001</v>
      </c>
    </row>
    <row r="38" customFormat="false" ht="27.75" hidden="false" customHeight="true" outlineLevel="0" collapsed="false">
      <c r="A38" s="24" t="n">
        <v>34</v>
      </c>
      <c r="B38" s="37" t="s">
        <v>3036</v>
      </c>
      <c r="C38" s="60" t="n">
        <f aca="false">'Pont EBITDA'!$C$49</f>
        <v>7981.43050727668</v>
      </c>
      <c r="D38" s="60" t="n">
        <f aca="false">'Pont EBITDA'!$C$50</f>
        <v>7981.43050727668</v>
      </c>
      <c r="E38" s="81" t="n">
        <v>1</v>
      </c>
      <c r="F38" s="110" t="str">
        <f aca="false">IF(ABS(C38-D38)&lt;=E38,"OK","ÉCART")</f>
        <v>OK</v>
      </c>
      <c r="G38" s="23" t="s">
        <v>3001</v>
      </c>
    </row>
    <row r="39" customFormat="false" ht="27.75" hidden="false" customHeight="true" outlineLevel="0" collapsed="false">
      <c r="A39" s="24" t="n">
        <v>35</v>
      </c>
      <c r="B39" s="37" t="s">
        <v>3037</v>
      </c>
      <c r="C39" s="71" t="n">
        <f aca="false">'Pont EBITDA'!$C$9</f>
        <v>0.0532807756958533</v>
      </c>
      <c r="D39" s="71" t="n">
        <f aca="false">'Pont EBITDA'!$C$10</f>
        <v>0.05</v>
      </c>
      <c r="E39" s="121" t="n">
        <v>0.01</v>
      </c>
      <c r="F39" s="110" t="str">
        <f aca="false">IF(ABS(C39-D39)&lt;=E39,"OK","ÉCART")</f>
        <v>OK</v>
      </c>
      <c r="G39" s="23" t="s">
        <v>3001</v>
      </c>
    </row>
    <row r="40" customFormat="false" ht="27.75" hidden="false" customHeight="true" outlineLevel="0" collapsed="false">
      <c r="A40" s="24" t="n">
        <v>36</v>
      </c>
      <c r="B40" s="37" t="s">
        <v>3038</v>
      </c>
      <c r="C40" s="60" t="n">
        <f aca="false">'Pont EBITDA'!$C$34</f>
        <v>460.212</v>
      </c>
      <c r="D40" s="60" t="n">
        <f aca="false">'Pont EBITDA'!$C$24</f>
        <v>427.644</v>
      </c>
      <c r="E40" s="52" t="s">
        <v>1848</v>
      </c>
      <c r="F40" s="110" t="s">
        <v>3019</v>
      </c>
      <c r="G40" s="23" t="s">
        <v>3020</v>
      </c>
    </row>
    <row r="41" customFormat="false" ht="27.75" hidden="false" customHeight="true" outlineLevel="0" collapsed="false">
      <c r="A41" s="24" t="n">
        <v>37</v>
      </c>
      <c r="B41" s="37" t="s">
        <v>3039</v>
      </c>
      <c r="C41" s="71" t="n">
        <f aca="false">'Pont EBITDA'!$C$13</f>
        <v>0.933333333333333</v>
      </c>
      <c r="D41" s="121" t="n">
        <v>1</v>
      </c>
      <c r="E41" s="52" t="s">
        <v>1848</v>
      </c>
      <c r="F41" s="110" t="s">
        <v>3019</v>
      </c>
      <c r="G41" s="23" t="s">
        <v>3020</v>
      </c>
    </row>
    <row r="42" customFormat="false" ht="27.75" hidden="false" customHeight="true" outlineLevel="0" collapsed="false">
      <c r="A42" s="24" t="n">
        <v>38</v>
      </c>
      <c r="B42" s="37" t="s">
        <v>3040</v>
      </c>
      <c r="C42" s="60" t="n">
        <f aca="false">'Pont EBITDA'!$C$29</f>
        <v>-70.356</v>
      </c>
      <c r="D42" s="81" t="n">
        <v>0</v>
      </c>
      <c r="E42" s="52" t="s">
        <v>1848</v>
      </c>
      <c r="F42" s="110" t="s">
        <v>3019</v>
      </c>
      <c r="G42" s="23" t="s">
        <v>3020</v>
      </c>
    </row>
    <row r="43" customFormat="false" ht="27.75" hidden="false" customHeight="true" outlineLevel="0" collapsed="false">
      <c r="A43" s="24" t="n">
        <v>39</v>
      </c>
      <c r="B43" s="37" t="s">
        <v>3041</v>
      </c>
      <c r="C43" s="60" t="n">
        <f aca="false">Cessions!$C$74</f>
        <v>44394</v>
      </c>
      <c r="D43" s="60" t="n">
        <f aca="false">Cessions!$C$75</f>
        <v>44396</v>
      </c>
      <c r="E43" s="81" t="n">
        <v>5</v>
      </c>
      <c r="F43" s="110" t="str">
        <f aca="false">IF(ABS(C43-D43)&lt;=E43,"OK","ÉCART")</f>
        <v>OK</v>
      </c>
      <c r="G43" s="23" t="s">
        <v>3001</v>
      </c>
    </row>
    <row r="44" customFormat="false" ht="27.75" hidden="false" customHeight="true" outlineLevel="0" collapsed="false">
      <c r="A44" s="24" t="n">
        <v>40</v>
      </c>
      <c r="B44" s="37" t="s">
        <v>3042</v>
      </c>
      <c r="C44" s="60" t="n">
        <f aca="false">Levier!$C$114</f>
        <v>4100</v>
      </c>
      <c r="D44" s="60" t="n">
        <f aca="false">Levier!$C$115</f>
        <v>4100</v>
      </c>
      <c r="E44" s="81" t="n">
        <v>1</v>
      </c>
      <c r="F44" s="110" t="str">
        <f aca="false">IF(ABS(C44-D44)&lt;=E44,"OK","ÉCART")</f>
        <v>OK</v>
      </c>
      <c r="G44" s="23" t="s">
        <v>3001</v>
      </c>
    </row>
    <row r="45" customFormat="false" ht="27.75" hidden="false" customHeight="true" outlineLevel="0" collapsed="false">
      <c r="A45" s="24" t="n">
        <v>41</v>
      </c>
      <c r="B45" s="37" t="s">
        <v>3043</v>
      </c>
      <c r="C45" s="60" t="n">
        <f aca="false">ESG!$F$40</f>
        <v>2100</v>
      </c>
      <c r="D45" s="60" t="n">
        <f aca="false">ESG!$F$41</f>
        <v>2100</v>
      </c>
      <c r="E45" s="81" t="n">
        <v>150</v>
      </c>
      <c r="F45" s="110" t="str">
        <f aca="false">IF(ABS(C45-D45)&lt;=E45,"OK","ÉCART")</f>
        <v>OK</v>
      </c>
      <c r="G45" s="23" t="s">
        <v>3001</v>
      </c>
    </row>
    <row r="46" customFormat="false" ht="27.75" hidden="false" customHeight="true" outlineLevel="0" collapsed="false">
      <c r="A46" s="24" t="n">
        <v>42</v>
      </c>
      <c r="B46" s="37" t="s">
        <v>3044</v>
      </c>
      <c r="C46" s="71" t="n">
        <f aca="false">ESG!$C$43</f>
        <v>0.466666666666667</v>
      </c>
      <c r="D46" s="71" t="n">
        <f aca="false">ESG!$C$44</f>
        <v>0.472</v>
      </c>
      <c r="E46" s="121" t="n">
        <v>0.01</v>
      </c>
      <c r="F46" s="110" t="str">
        <f aca="false">IF(ABS(C46-D46)&lt;=E46,"OK","ÉCART")</f>
        <v>OK</v>
      </c>
      <c r="G46" s="23" t="s">
        <v>3001</v>
      </c>
    </row>
    <row r="47" customFormat="false" ht="27.75" hidden="false" customHeight="true" outlineLevel="0" collapsed="false">
      <c r="A47" s="24" t="n">
        <v>43</v>
      </c>
      <c r="B47" s="37" t="s">
        <v>3045</v>
      </c>
      <c r="C47" s="71" t="n">
        <f aca="false">Cessions!$C$88</f>
        <v>0.127713920817369</v>
      </c>
      <c r="D47" s="121" t="n">
        <v>0</v>
      </c>
      <c r="E47" s="52" t="s">
        <v>1848</v>
      </c>
      <c r="F47" s="110" t="s">
        <v>3019</v>
      </c>
      <c r="G47" s="23" t="s">
        <v>3020</v>
      </c>
    </row>
    <row r="48" customFormat="false" ht="27.75" hidden="false" customHeight="true" outlineLevel="0" collapsed="false">
      <c r="A48" s="24" t="n">
        <v>44</v>
      </c>
      <c r="B48" s="37" t="s">
        <v>3046</v>
      </c>
      <c r="C48" s="71" t="n">
        <f aca="false">Levier!$C$91</f>
        <v>-0.000581395348837166</v>
      </c>
      <c r="D48" s="121" t="n">
        <v>0</v>
      </c>
      <c r="E48" s="121" t="n">
        <v>0.05</v>
      </c>
      <c r="F48" s="110" t="str">
        <f aca="false">IF(ABS(C48-D48)&lt;=E48,"OK","ÉCART")</f>
        <v>OK</v>
      </c>
      <c r="G48" s="23" t="s">
        <v>3001</v>
      </c>
    </row>
    <row r="49" customFormat="false" ht="27.75" hidden="false" customHeight="true" outlineLevel="0" collapsed="false">
      <c r="A49" s="24" t="n">
        <v>45</v>
      </c>
      <c r="B49" s="37" t="s">
        <v>3047</v>
      </c>
      <c r="C49" s="71" t="n">
        <f aca="false">Levier!$D$91</f>
        <v>-0.0194017784963622</v>
      </c>
      <c r="D49" s="121" t="n">
        <v>0</v>
      </c>
      <c r="E49" s="121" t="n">
        <v>0.05</v>
      </c>
      <c r="F49" s="110" t="str">
        <f aca="false">IF(ABS(C49-D49)&lt;=E49,"OK","ÉCART")</f>
        <v>OK</v>
      </c>
      <c r="G49" s="23" t="s">
        <v>3001</v>
      </c>
    </row>
    <row r="50" customFormat="false" ht="27.75" hidden="false" customHeight="true" outlineLevel="0" collapsed="false">
      <c r="A50" s="24" t="n">
        <v>46</v>
      </c>
      <c r="B50" s="37" t="s">
        <v>3048</v>
      </c>
      <c r="C50" s="60" t="n">
        <f aca="false">Échéancier!$C$9</f>
        <v>9642</v>
      </c>
      <c r="D50" s="60" t="n">
        <f aca="false">Échéancier!$C$10</f>
        <v>9642</v>
      </c>
      <c r="E50" s="81" t="n">
        <v>1</v>
      </c>
      <c r="F50" s="110" t="str">
        <f aca="false">IF(ABS(C50-D50)&lt;=E50,"OK","ÉCART")</f>
        <v>OK</v>
      </c>
      <c r="G50" s="23" t="s">
        <v>3001</v>
      </c>
    </row>
    <row r="51" customFormat="false" ht="27.75" hidden="false" customHeight="true" outlineLevel="0" collapsed="false">
      <c r="A51" s="24" t="n">
        <v>47</v>
      </c>
      <c r="B51" s="37" t="s">
        <v>3049</v>
      </c>
      <c r="C51" s="60" t="n">
        <f aca="false">Échéancier!$J$6</f>
        <v>22266</v>
      </c>
      <c r="D51" s="60" t="n">
        <f aca="false">Échéancier!$I$6</f>
        <v>22265</v>
      </c>
      <c r="E51" s="81" t="n">
        <v>1</v>
      </c>
      <c r="F51" s="110" t="str">
        <f aca="false">IF(ABS(C51-D51)&lt;=E51,"OK","ÉCART")</f>
        <v>OK</v>
      </c>
      <c r="G51" s="23" t="s">
        <v>3001</v>
      </c>
    </row>
    <row r="52" customFormat="false" ht="27.75" hidden="false" customHeight="true" outlineLevel="0" collapsed="false">
      <c r="A52" s="24" t="n">
        <v>48</v>
      </c>
      <c r="B52" s="37" t="s">
        <v>3050</v>
      </c>
      <c r="C52" s="60" t="n">
        <f aca="false">Échéancier!$J$10</f>
        <v>34405</v>
      </c>
      <c r="D52" s="60" t="n">
        <f aca="false">Échéancier!$I$10</f>
        <v>34404</v>
      </c>
      <c r="E52" s="81" t="n">
        <v>1</v>
      </c>
      <c r="F52" s="110" t="str">
        <f aca="false">IF(ABS(C52-D52)&lt;=E52,"OK","ÉCART")</f>
        <v>OK</v>
      </c>
      <c r="G52" s="23" t="s">
        <v>3001</v>
      </c>
    </row>
    <row r="53" customFormat="false" ht="27.75" hidden="false" customHeight="true" outlineLevel="0" collapsed="false">
      <c r="A53" s="24" t="n">
        <v>49</v>
      </c>
      <c r="B53" s="37" t="s">
        <v>3051</v>
      </c>
      <c r="C53" s="60" t="n">
        <f aca="false">Échéancier!$C$37</f>
        <v>15911</v>
      </c>
      <c r="D53" s="60" t="n">
        <f aca="false">Échéancier!$C$38</f>
        <v>15911</v>
      </c>
      <c r="E53" s="81" t="n">
        <v>1</v>
      </c>
      <c r="F53" s="110" t="str">
        <f aca="false">IF(ABS(C53-D53)&lt;=E53,"OK","ÉCART")</f>
        <v>OK</v>
      </c>
      <c r="G53" s="23" t="s">
        <v>3001</v>
      </c>
    </row>
    <row r="54" customFormat="false" ht="27.75" hidden="false" customHeight="true" outlineLevel="0" collapsed="false">
      <c r="A54" s="24" t="n">
        <v>50</v>
      </c>
      <c r="B54" s="37" t="s">
        <v>3052</v>
      </c>
      <c r="C54" s="60" t="n">
        <f aca="false">Échéancier!$C$6-Échéancier!$C$16</f>
        <v>473</v>
      </c>
      <c r="D54" s="81" t="n">
        <v>0</v>
      </c>
      <c r="E54" s="52" t="s">
        <v>1848</v>
      </c>
      <c r="F54" s="110" t="s">
        <v>3019</v>
      </c>
      <c r="G54" s="23" t="s">
        <v>3020</v>
      </c>
    </row>
    <row r="55" customFormat="false" ht="27.75" hidden="false" customHeight="true" outlineLevel="0" collapsed="false">
      <c r="A55" s="24" t="n">
        <v>51</v>
      </c>
      <c r="B55" s="37" t="s">
        <v>3053</v>
      </c>
      <c r="C55" s="96" t="n">
        <f aca="false">COUNTIF(Entrées!$L$6:$L$601,"à relire")</f>
        <v>596</v>
      </c>
      <c r="D55" s="22" t="n">
        <v>0</v>
      </c>
      <c r="E55" s="52" t="s">
        <v>1848</v>
      </c>
      <c r="F55" s="110" t="s">
        <v>3019</v>
      </c>
      <c r="G55" s="23" t="s">
        <v>3020</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1" t="s">
        <v>3054</v>
      </c>
      <c r="C57" s="2"/>
      <c r="D57" s="2"/>
      <c r="E57" s="2"/>
      <c r="F57" s="110"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3055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3056</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1" t="s">
        <v>3057</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3" t="s">
        <v>3058</v>
      </c>
      <c r="B5" s="2"/>
      <c r="C5" s="2"/>
      <c r="D5" s="2"/>
      <c r="E5" s="95" t="n">
        <f aca="false">MIN(Hypothèses!$D$5,Hypothèses!$C$5,Hypothèses!$E$5)</f>
        <v>0.05</v>
      </c>
      <c r="F5" s="2"/>
      <c r="G5" s="95" t="n">
        <f aca="false">MIN(Hypothèses!$D$6,Hypothèses!$C$6,Hypothèses!$E$6)</f>
        <v>0.04</v>
      </c>
      <c r="H5" s="2"/>
      <c r="I5" s="95" t="n">
        <f aca="false">MIN(Hypothèses!$D$7,Hypothèses!$C$7,Hypothèses!$E$7)</f>
        <v>180</v>
      </c>
      <c r="J5" s="2"/>
      <c r="K5" s="95" t="n">
        <f aca="false">MIN(Hypothèses!$D$8,Hypothèses!$C$8,Hypothèses!$E$8)</f>
        <v>0</v>
      </c>
      <c r="L5" s="2"/>
      <c r="M5" s="95" t="n">
        <f aca="false">MIN(Hypothèses!$D$9,Hypothèses!$C$9,Hypothèses!$E$9)</f>
        <v>1303.2</v>
      </c>
      <c r="N5" s="2"/>
      <c r="O5" s="95" t="n">
        <f aca="false">MIN(Hypothèses!$D$10,Hypothèses!$C$10,Hypothèses!$E$10)</f>
        <v>0.14</v>
      </c>
      <c r="P5" s="2"/>
      <c r="Q5" s="95" t="n">
        <f aca="false">MIN(Hypothèses!$D$11,Hypothèses!$C$11,Hypothèses!$E$11)</f>
        <v>0.04</v>
      </c>
      <c r="R5" s="2"/>
      <c r="S5" s="95" t="n">
        <f aca="false">MIN(Hypothèses!$D$12,Hypothèses!$C$12,Hypothèses!$E$12)</f>
        <v>0</v>
      </c>
      <c r="T5" s="2"/>
      <c r="U5" s="95" t="n">
        <f aca="false">MIN(Hypothèses!$D$13,Hypothèses!$C$13,Hypothèses!$E$13)</f>
        <v>0</v>
      </c>
      <c r="V5" s="2"/>
      <c r="W5" s="95" t="n">
        <f aca="false">MIN(Hypothèses!$D$14,Hypothèses!$C$14,Hypothèses!$E$14)</f>
        <v>8</v>
      </c>
      <c r="X5" s="2"/>
      <c r="Y5" s="95" t="n">
        <f aca="false">MIN(Hypothèses!$D$15,Hypothèses!$C$15,Hypothèses!$E$15)</f>
        <v>0</v>
      </c>
      <c r="Z5" s="2"/>
      <c r="AA5" s="95" t="n">
        <f aca="false">MIN(Hypothèses!$D$16,Hypothèses!$C$16,Hypothèses!$E$16)</f>
        <v>0.69531914893617</v>
      </c>
      <c r="AB5" s="2"/>
      <c r="AC5" s="95"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3" t="s">
        <v>3059</v>
      </c>
      <c r="B6" s="2"/>
      <c r="C6" s="2"/>
      <c r="D6" s="2"/>
      <c r="E6" s="95" t="n">
        <f aca="false">MEDIAN(Hypothèses!$D$5,Hypothèses!$C$5,Hypothèses!$E$5)</f>
        <v>0.055</v>
      </c>
      <c r="F6" s="2"/>
      <c r="G6" s="95" t="n">
        <f aca="false">MEDIAN(Hypothèses!$D$6,Hypothèses!$C$6,Hypothèses!$E$6)</f>
        <v>0.055</v>
      </c>
      <c r="H6" s="2"/>
      <c r="I6" s="95" t="n">
        <f aca="false">MEDIAN(Hypothèses!$D$7,Hypothèses!$C$7,Hypothèses!$E$7)</f>
        <v>200</v>
      </c>
      <c r="J6" s="2"/>
      <c r="K6" s="95" t="n">
        <f aca="false">MEDIAN(Hypothèses!$D$8,Hypothèses!$C$8,Hypothèses!$E$8)</f>
        <v>0.25</v>
      </c>
      <c r="L6" s="2"/>
      <c r="M6" s="95" t="n">
        <f aca="false">MEDIAN(Hypothèses!$D$9,Hypothèses!$C$9,Hypothèses!$E$9)</f>
        <v>1629</v>
      </c>
      <c r="N6" s="2"/>
      <c r="O6" s="95" t="n">
        <f aca="false">MEDIAN(Hypothèses!$D$10,Hypothèses!$C$10,Hypothèses!$E$10)</f>
        <v>0.168696364464616</v>
      </c>
      <c r="P6" s="2"/>
      <c r="Q6" s="95" t="n">
        <f aca="false">MEDIAN(Hypothèses!$D$11,Hypothèses!$C$11,Hypothèses!$E$11)</f>
        <v>0.08</v>
      </c>
      <c r="R6" s="2"/>
      <c r="S6" s="95" t="n">
        <f aca="false">MEDIAN(Hypothèses!$D$12,Hypothèses!$C$12,Hypothèses!$E$12)</f>
        <v>0.5</v>
      </c>
      <c r="T6" s="2"/>
      <c r="U6" s="95" t="n">
        <f aca="false">MEDIAN(Hypothèses!$D$13,Hypothèses!$C$13,Hypothèses!$E$13)</f>
        <v>0.5</v>
      </c>
      <c r="V6" s="2"/>
      <c r="W6" s="95" t="n">
        <f aca="false">MEDIAN(Hypothèses!$D$14,Hypothèses!$C$14,Hypothèses!$E$14)</f>
        <v>10</v>
      </c>
      <c r="X6" s="2"/>
      <c r="Y6" s="95" t="n">
        <f aca="false">MEDIAN(Hypothèses!$D$15,Hypothèses!$C$15,Hypothèses!$E$15)</f>
        <v>0.5</v>
      </c>
      <c r="Z6" s="2"/>
      <c r="AA6" s="95" t="n">
        <f aca="false">MEDIAN(Hypothèses!$D$16,Hypothèses!$C$16,Hypothèses!$E$16)</f>
        <v>0.731914893617021</v>
      </c>
      <c r="AB6" s="2"/>
      <c r="AC6" s="95"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3" t="s">
        <v>3060</v>
      </c>
      <c r="B7" s="2"/>
      <c r="C7" s="2"/>
      <c r="D7" s="2"/>
      <c r="E7" s="95" t="n">
        <f aca="false">MAX(Hypothèses!$D$5,Hypothèses!$C$5,Hypothèses!$E$5)</f>
        <v>0.06</v>
      </c>
      <c r="F7" s="2"/>
      <c r="G7" s="95" t="n">
        <f aca="false">MAX(Hypothèses!$D$6,Hypothèses!$C$6,Hypothèses!$E$6)</f>
        <v>0.07</v>
      </c>
      <c r="H7" s="2"/>
      <c r="I7" s="95" t="n">
        <f aca="false">MAX(Hypothèses!$D$7,Hypothèses!$C$7,Hypothèses!$E$7)</f>
        <v>220</v>
      </c>
      <c r="J7" s="2"/>
      <c r="K7" s="95" t="n">
        <f aca="false">MAX(Hypothèses!$D$8,Hypothèses!$C$8,Hypothèses!$E$8)</f>
        <v>0.5</v>
      </c>
      <c r="L7" s="2"/>
      <c r="M7" s="95" t="n">
        <f aca="false">MAX(Hypothèses!$D$9,Hypothèses!$C$9,Hypothèses!$E$9)</f>
        <v>1791.9</v>
      </c>
      <c r="N7" s="2"/>
      <c r="O7" s="95" t="n">
        <f aca="false">MAX(Hypothèses!$D$10,Hypothèses!$C$10,Hypothèses!$E$10)</f>
        <v>0.19</v>
      </c>
      <c r="P7" s="2"/>
      <c r="Q7" s="95" t="n">
        <f aca="false">MAX(Hypothèses!$D$11,Hypothèses!$C$11,Hypothèses!$E$11)</f>
        <v>0.12</v>
      </c>
      <c r="R7" s="2"/>
      <c r="S7" s="95" t="n">
        <f aca="false">MAX(Hypothèses!$D$12,Hypothèses!$C$12,Hypothèses!$E$12)</f>
        <v>1</v>
      </c>
      <c r="T7" s="2"/>
      <c r="U7" s="95" t="n">
        <f aca="false">MAX(Hypothèses!$D$13,Hypothèses!$C$13,Hypothèses!$E$13)</f>
        <v>1</v>
      </c>
      <c r="V7" s="2"/>
      <c r="W7" s="95" t="n">
        <f aca="false">MAX(Hypothèses!$D$14,Hypothèses!$C$14,Hypothèses!$E$14)</f>
        <v>12</v>
      </c>
      <c r="X7" s="2"/>
      <c r="Y7" s="95" t="n">
        <f aca="false">MAX(Hypothèses!$D$15,Hypothèses!$C$15,Hypothèses!$E$15)</f>
        <v>1</v>
      </c>
      <c r="Z7" s="2"/>
      <c r="AA7" s="95" t="n">
        <f aca="false">MAX(Hypothèses!$D$16,Hypothèses!$C$16,Hypothèses!$E$16)</f>
        <v>0.753872340425532</v>
      </c>
      <c r="AB7" s="2"/>
      <c r="AC7" s="95"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3" t="s">
        <v>3061</v>
      </c>
      <c r="B8" s="2"/>
      <c r="C8" s="2"/>
      <c r="D8" s="2"/>
      <c r="E8" s="108" t="n">
        <f aca="false">IF(E7=E5,0.5,(E6-E5)/(E7-E5))</f>
        <v>0.5</v>
      </c>
      <c r="F8" s="2"/>
      <c r="G8" s="108" t="n">
        <f aca="false">IF(G7=G5,0.5,(G6-G5)/(G7-G5))</f>
        <v>0.5</v>
      </c>
      <c r="H8" s="2"/>
      <c r="I8" s="108" t="n">
        <f aca="false">IF(I7=I5,0.5,(I6-I5)/(I7-I5))</f>
        <v>0.5</v>
      </c>
      <c r="J8" s="2"/>
      <c r="K8" s="108" t="n">
        <f aca="false">IF(K7=K5,0.5,(K6-K5)/(K7-K5))</f>
        <v>0.5</v>
      </c>
      <c r="L8" s="2"/>
      <c r="M8" s="108" t="n">
        <f aca="false">IF(M7=M5,0.5,(M6-M5)/(M7-M5))</f>
        <v>0.666666666666667</v>
      </c>
      <c r="N8" s="2"/>
      <c r="O8" s="108" t="n">
        <f aca="false">IF(O7=O5,0.5,(O6-O5)/(O7-O5))</f>
        <v>0.573927289292327</v>
      </c>
      <c r="P8" s="2"/>
      <c r="Q8" s="108" t="n">
        <f aca="false">IF(Q7=Q5,0.5,(Q6-Q5)/(Q7-Q5))</f>
        <v>0.5</v>
      </c>
      <c r="R8" s="2"/>
      <c r="S8" s="108" t="n">
        <f aca="false">IF(S7=S5,0.5,(S6-S5)/(S7-S5))</f>
        <v>0.5</v>
      </c>
      <c r="T8" s="2"/>
      <c r="U8" s="108" t="n">
        <f aca="false">IF(U7=U5,0.5,(U6-U5)/(U7-U5))</f>
        <v>0.5</v>
      </c>
      <c r="V8" s="2"/>
      <c r="W8" s="108" t="n">
        <f aca="false">IF(W7=W5,0.5,(W6-W5)/(W7-W5))</f>
        <v>0.5</v>
      </c>
      <c r="X8" s="2"/>
      <c r="Y8" s="108" t="n">
        <f aca="false">IF(Y7=Y5,0.5,(Y6-Y5)/(Y7-Y5))</f>
        <v>0.5</v>
      </c>
      <c r="Z8" s="2"/>
      <c r="AA8" s="108" t="n">
        <f aca="false">IF(AA7=AA5,0.5,(AA6-AA5)/(AA7-AA5))</f>
        <v>0.625</v>
      </c>
      <c r="AB8" s="2"/>
      <c r="AC8" s="108"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3" t="s">
        <v>3062</v>
      </c>
      <c r="B9" s="2"/>
      <c r="C9" s="2"/>
      <c r="D9" s="2"/>
      <c r="E9" s="124" t="n">
        <v>1</v>
      </c>
      <c r="F9" s="2"/>
      <c r="G9" s="124" t="n">
        <v>1</v>
      </c>
      <c r="H9" s="2"/>
      <c r="I9" s="124" t="n">
        <v>1</v>
      </c>
      <c r="J9" s="2"/>
      <c r="K9" s="124" t="n">
        <v>1</v>
      </c>
      <c r="L9" s="2"/>
      <c r="M9" s="124" t="n">
        <v>1</v>
      </c>
      <c r="N9" s="2"/>
      <c r="O9" s="124" t="n">
        <v>1</v>
      </c>
      <c r="P9" s="2"/>
      <c r="Q9" s="124" t="n">
        <v>0</v>
      </c>
      <c r="R9" s="2"/>
      <c r="S9" s="124" t="n">
        <v>1</v>
      </c>
      <c r="T9" s="2"/>
      <c r="U9" s="124" t="n">
        <v>1</v>
      </c>
      <c r="V9" s="2"/>
      <c r="W9" s="124" t="n">
        <v>1</v>
      </c>
      <c r="X9" s="2"/>
      <c r="Y9" s="124" t="n">
        <v>0</v>
      </c>
      <c r="Z9" s="2"/>
      <c r="AA9" s="124" t="n">
        <v>1</v>
      </c>
      <c r="AB9" s="2"/>
      <c r="AC9" s="124"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1" t="s">
        <v>3063</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3064</v>
      </c>
      <c r="B11" s="2"/>
      <c r="C11" s="125" t="n">
        <v>0.4</v>
      </c>
      <c r="D11" s="2"/>
      <c r="E11" s="2"/>
      <c r="F11" s="3" t="s">
        <v>3065</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3066</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5" t="s">
        <v>3067</v>
      </c>
      <c r="B14" s="126" t="s">
        <v>3068</v>
      </c>
      <c r="C14" s="2"/>
      <c r="D14" s="126" t="s">
        <v>3069</v>
      </c>
      <c r="E14" s="126" t="s">
        <v>1841</v>
      </c>
      <c r="F14" s="126" t="s">
        <v>3070</v>
      </c>
      <c r="G14" s="126" t="s">
        <v>1845</v>
      </c>
      <c r="H14" s="126" t="s">
        <v>3071</v>
      </c>
      <c r="I14" s="126" t="s">
        <v>1849</v>
      </c>
      <c r="J14" s="126" t="s">
        <v>3072</v>
      </c>
      <c r="K14" s="126" t="s">
        <v>1852</v>
      </c>
      <c r="L14" s="126" t="s">
        <v>3073</v>
      </c>
      <c r="M14" s="126" t="s">
        <v>1855</v>
      </c>
      <c r="N14" s="126" t="s">
        <v>3074</v>
      </c>
      <c r="O14" s="126" t="s">
        <v>1859</v>
      </c>
      <c r="P14" s="126" t="s">
        <v>3075</v>
      </c>
      <c r="Q14" s="126" t="s">
        <v>1863</v>
      </c>
      <c r="R14" s="126" t="s">
        <v>3076</v>
      </c>
      <c r="S14" s="126" t="s">
        <v>1866</v>
      </c>
      <c r="T14" s="126" t="s">
        <v>3077</v>
      </c>
      <c r="U14" s="126" t="s">
        <v>1869</v>
      </c>
      <c r="V14" s="126" t="s">
        <v>3078</v>
      </c>
      <c r="W14" s="126" t="s">
        <v>1872</v>
      </c>
      <c r="X14" s="126" t="s">
        <v>3079</v>
      </c>
      <c r="Y14" s="126" t="s">
        <v>1875</v>
      </c>
      <c r="Z14" s="126" t="s">
        <v>3080</v>
      </c>
      <c r="AA14" s="126" t="s">
        <v>1879</v>
      </c>
      <c r="AB14" s="126" t="s">
        <v>3081</v>
      </c>
      <c r="AC14" s="126" t="s">
        <v>1893</v>
      </c>
      <c r="AD14" s="126" t="s">
        <v>2400</v>
      </c>
      <c r="AE14" s="126" t="s">
        <v>2402</v>
      </c>
      <c r="AF14" s="126" t="s">
        <v>2404</v>
      </c>
      <c r="AG14" s="126" t="s">
        <v>2406</v>
      </c>
      <c r="AH14" s="126" t="s">
        <v>2408</v>
      </c>
      <c r="AI14" s="126" t="s">
        <v>2410</v>
      </c>
      <c r="AJ14" s="126" t="s">
        <v>2412</v>
      </c>
      <c r="AK14" s="126" t="s">
        <v>2414</v>
      </c>
      <c r="AL14" s="126" t="s">
        <v>2416</v>
      </c>
      <c r="AM14" s="126" t="s">
        <v>2418</v>
      </c>
      <c r="AN14" s="126" t="s">
        <v>2420</v>
      </c>
      <c r="AO14" s="126" t="s">
        <v>2422</v>
      </c>
      <c r="AP14" s="126" t="s">
        <v>2424</v>
      </c>
      <c r="AQ14" s="126" t="s">
        <v>2426</v>
      </c>
      <c r="AR14" s="126" t="s">
        <v>2428</v>
      </c>
      <c r="AS14" s="126" t="s">
        <v>2430</v>
      </c>
      <c r="AT14" s="126" t="s">
        <v>2432</v>
      </c>
      <c r="AU14" s="126" t="s">
        <v>2434</v>
      </c>
      <c r="AV14" s="126" t="s">
        <v>2436</v>
      </c>
      <c r="AW14" s="126" t="s">
        <v>2438</v>
      </c>
      <c r="AX14" s="126" t="s">
        <v>2440</v>
      </c>
      <c r="AY14" s="126" t="s">
        <v>2442</v>
      </c>
      <c r="AZ14" s="126" t="s">
        <v>2444</v>
      </c>
      <c r="BA14" s="126" t="s">
        <v>2446</v>
      </c>
      <c r="BB14" s="126" t="s">
        <v>2448</v>
      </c>
      <c r="BC14" s="126" t="s">
        <v>2450</v>
      </c>
      <c r="BD14" s="126" t="s">
        <v>2452</v>
      </c>
      <c r="BE14" s="126" t="s">
        <v>2454</v>
      </c>
      <c r="BF14" s="126" t="s">
        <v>2456</v>
      </c>
      <c r="BG14" s="126" t="s">
        <v>2458</v>
      </c>
      <c r="BH14" s="126" t="s">
        <v>2462</v>
      </c>
    </row>
    <row r="15" customFormat="false" ht="15" hidden="false" customHeight="false" outlineLevel="0" collapsed="false">
      <c r="A15" s="2" t="s">
        <v>3082</v>
      </c>
      <c r="B15" s="2"/>
      <c r="C15" s="2"/>
      <c r="D15" s="2"/>
      <c r="E15" s="127" t="n">
        <f aca="false">E$6</f>
        <v>0.055</v>
      </c>
      <c r="F15" s="2"/>
      <c r="G15" s="127" t="n">
        <f aca="false">G$6</f>
        <v>0.055</v>
      </c>
      <c r="H15" s="2"/>
      <c r="I15" s="127" t="n">
        <f aca="false">I$6</f>
        <v>200</v>
      </c>
      <c r="J15" s="2"/>
      <c r="K15" s="127" t="n">
        <f aca="false">K$6</f>
        <v>0.25</v>
      </c>
      <c r="L15" s="2"/>
      <c r="M15" s="127" t="n">
        <f aca="false">M$6</f>
        <v>1629</v>
      </c>
      <c r="N15" s="2"/>
      <c r="O15" s="127" t="n">
        <f aca="false">O$6</f>
        <v>0.168696364464616</v>
      </c>
      <c r="P15" s="2"/>
      <c r="Q15" s="127" t="n">
        <f aca="false">Q$6</f>
        <v>0.08</v>
      </c>
      <c r="R15" s="2"/>
      <c r="S15" s="127" t="n">
        <f aca="false">S$6</f>
        <v>0.5</v>
      </c>
      <c r="T15" s="2"/>
      <c r="U15" s="127" t="n">
        <f aca="false">U$6</f>
        <v>0.5</v>
      </c>
      <c r="V15" s="2"/>
      <c r="W15" s="127" t="n">
        <f aca="false">W$6</f>
        <v>10</v>
      </c>
      <c r="X15" s="2"/>
      <c r="Y15" s="127" t="n">
        <f aca="false">Y$6</f>
        <v>0.5</v>
      </c>
      <c r="Z15" s="2"/>
      <c r="AA15" s="127" t="n">
        <f aca="false">AA$6</f>
        <v>0.731914893617021</v>
      </c>
      <c r="AB15" s="2"/>
      <c r="AC15" s="127" t="n">
        <f aca="false">AC$6</f>
        <v>9.8</v>
      </c>
      <c r="AD15" s="44" t="n">
        <f aca="false">Entrées!$C$8*(1+E15)</f>
        <v>7437.75</v>
      </c>
      <c r="AE15" s="44" t="n">
        <f aca="false">I15*Hypothèses!$J$24/12/Hypothèses!$J$19</f>
        <v>99.2193598750976</v>
      </c>
      <c r="AF15" s="44" t="n">
        <f aca="false">Entrées!$C$36*S15*1000</f>
        <v>250</v>
      </c>
      <c r="AG15" s="44" t="n">
        <f aca="false">-AF15/W15</f>
        <v>-25</v>
      </c>
      <c r="AH15" s="44" t="n">
        <f aca="false">AD15+AE15+AG15</f>
        <v>7511.9693598751</v>
      </c>
      <c r="AI15" s="44" t="n">
        <f aca="false">Entrées!$C$16-M15+Hypothèses!$J$22*1000-AF15+Hypothèses!$J$23</f>
        <v>22669</v>
      </c>
      <c r="AJ15" s="61" t="n">
        <f aca="false">AI15/AH15</f>
        <v>3.01771731406222</v>
      </c>
      <c r="AK15" s="61" t="n">
        <f aca="false">AI15/(AH15+I15*(12-Hypothèses!$J$24)/12/Hypothèses!$J$19)</f>
        <v>2.98951303335295</v>
      </c>
      <c r="AL15" s="44" t="n">
        <f aca="false">(AD15+AG15+I15/Hypothèses!$J$19)*(1+G15)</f>
        <v>7999.89654943125</v>
      </c>
      <c r="AM15" s="44" t="n">
        <f aca="false">Entrées!$C$54*K15/Hypothèses!$J$19</f>
        <v>25.513549682168</v>
      </c>
      <c r="AN15" s="44" t="n">
        <f aca="false">Y15*1000/AC15</f>
        <v>51.0204081632653</v>
      </c>
      <c r="AO15" s="44" t="n">
        <f aca="false">(Entrées!$C$36*(1-S15)+MAX(0,Entrées!$C$30-Entrées!$C$35-Entrées!$C$36)*U15)*1000</f>
        <v>950</v>
      </c>
      <c r="AP15" s="44" t="n">
        <f aca="false">-AO15/W15</f>
        <v>-95</v>
      </c>
      <c r="AQ15" s="44" t="n">
        <f aca="false">AL15+AM15+AN15+AP15</f>
        <v>7981.43050727668</v>
      </c>
      <c r="AR15" s="44" t="n">
        <f aca="false">O15*AQ15-Hypothèses!$J$25/Hypothèses!$J$19</f>
        <v>1327.30314754293</v>
      </c>
      <c r="AS15" s="44" t="n">
        <f aca="false">Entrées!$C$79*(1+Q15)+Hypothèses!$J$20</f>
        <v>1481.92</v>
      </c>
      <c r="AT15" s="44" t="n">
        <f aca="false">AI15-AR15+AS15+Y15*1000-AO15+Hypothèses!$J$23</f>
        <v>22373.6168524571</v>
      </c>
      <c r="AU15" s="61" t="n">
        <f aca="false">AT15/AQ15</f>
        <v>2.80320887741352</v>
      </c>
      <c r="AV15" s="44" t="n">
        <f aca="false">Hypothèses!$J$26*AQ15-AT15</f>
        <v>1570.67466937297</v>
      </c>
      <c r="AW15" s="44" t="n">
        <f aca="false">IF(AC15&gt;Hypothèses!$J$26,MAX(0,AV15)/(1-Hypothèses!$J$26/AC15),0)</f>
        <v>2263.61937644927</v>
      </c>
      <c r="AX15" s="44" t="n">
        <f aca="false">AQ15-Entrées!$C$17*1000</f>
        <v>-18.5694927233199</v>
      </c>
      <c r="AY15" s="44" t="n">
        <f aca="false">AI15+(Entrées!$C$244-Entrées!$C$13)</f>
        <v>28416</v>
      </c>
      <c r="AZ15" s="44" t="n">
        <f aca="false">AA15*AH15</f>
        <v>5498.12225488731</v>
      </c>
      <c r="BA15" s="40" t="n">
        <f aca="false">AZ15/AY15</f>
        <v>0.193486847370753</v>
      </c>
      <c r="BB15" s="44" t="n">
        <f aca="false">AZ15/(Entrées!$C$151/100)-AY15</f>
        <v>2129.12363826281</v>
      </c>
      <c r="BC15" s="44" t="n">
        <f aca="false">AT15+(Entrées!$C$244-Entrées!$C$13)</f>
        <v>28120.6168524571</v>
      </c>
      <c r="BD15" s="44" t="n">
        <f aca="false">AA15*AQ15</f>
        <v>5841.72786064506</v>
      </c>
      <c r="BE15" s="40" t="n">
        <f aca="false">BD15/BC15</f>
        <v>0.207738254508974</v>
      </c>
      <c r="BF15" s="44" t="n">
        <f aca="false">BD15/(Entrées!$C$151/100)-BC15</f>
        <v>4333.42681779325</v>
      </c>
      <c r="BG15" s="44" t="n">
        <f aca="false">MIN(AV15,BF15)</f>
        <v>1570.67466937297</v>
      </c>
      <c r="BH15" s="44"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2026-10-06T17:32:19Z</dcterms:created>
  <dc:creator>openpyxl</dc:creator>
  <dc:description/>
  <dc:language>en-US</dc:language>
  <cp:lastModifiedBy/>
  <dcterms:modified xsi:type="dcterms:W3CDTF">2026-10-06T19:33:01Z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